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parenberg\Desktop\anja\Projects\! Monthly Stats\2022 08\"/>
    </mc:Choice>
  </mc:AlternateContent>
  <bookViews>
    <workbookView xWindow="-288" yWindow="5376" windowWidth="4536" windowHeight="3216" tabRatio="679"/>
  </bookViews>
  <sheets>
    <sheet name="TEU Volume" sheetId="46" r:id="rId1"/>
    <sheet name="Container Volume" sheetId="44" r:id="rId2"/>
    <sheet name="GC Tonnage" sheetId="45" r:id="rId3"/>
    <sheet name="Ship Calls" sheetId="47" r:id="rId4"/>
    <sheet name="TEU Volume Breakdown" sheetId="51" r:id="rId5"/>
    <sheet name="Container Volume by Mode" sheetId="50" r:id="rId6"/>
    <sheet name="Data" sheetId="48" r:id="rId7"/>
  </sheets>
  <definedNames>
    <definedName name="ALLTERMINALS" localSheetId="1">#REF!</definedName>
    <definedName name="ALLTERMINALS" localSheetId="2">#REF!</definedName>
    <definedName name="ALLTERMINALS" localSheetId="3">#REF!</definedName>
    <definedName name="ALLTERMINALS" localSheetId="0">#REF!</definedName>
    <definedName name="ALLTERMINALS">#REF!</definedName>
    <definedName name="CY95TONS" localSheetId="1">#REF!</definedName>
    <definedName name="CY95TONS" localSheetId="2">#REF!</definedName>
    <definedName name="CY95TONS" localSheetId="3">#REF!</definedName>
    <definedName name="CY95TONS" localSheetId="0">#REF!</definedName>
    <definedName name="CY95TONS">#REF!</definedName>
    <definedName name="CY96TONS" localSheetId="1">#REF!</definedName>
    <definedName name="CY96TONS" localSheetId="2">#REF!</definedName>
    <definedName name="CY96TONS" localSheetId="3">#REF!</definedName>
    <definedName name="CY96TONS" localSheetId="0">#REF!</definedName>
    <definedName name="CY96TONS">#REF!</definedName>
    <definedName name="CYTEU95" localSheetId="1">#REF!</definedName>
    <definedName name="CYTEU95" localSheetId="2">#REF!</definedName>
    <definedName name="CYTEU95" localSheetId="3">#REF!</definedName>
    <definedName name="CYTEU95" localSheetId="0">#REF!</definedName>
    <definedName name="CYTEU95">#REF!</definedName>
    <definedName name="FY95TONS" localSheetId="1">#REF!</definedName>
    <definedName name="FY95TONS" localSheetId="2">#REF!</definedName>
    <definedName name="FY95TONS" localSheetId="3">#REF!</definedName>
    <definedName name="FY95TONS" localSheetId="0">#REF!</definedName>
    <definedName name="FY95TONS">#REF!</definedName>
    <definedName name="FY96_TRDBAL" localSheetId="1">#REF!</definedName>
    <definedName name="FY96_TRDBAL" localSheetId="2">#REF!</definedName>
    <definedName name="FY96_TRDBAL" localSheetId="3">#REF!</definedName>
    <definedName name="FY96_TRDBAL" localSheetId="0">#REF!</definedName>
    <definedName name="FY96_TRDBAL">#REF!</definedName>
    <definedName name="FY96TONS" localSheetId="1">#REF!</definedName>
    <definedName name="FY96TONS" localSheetId="2">#REF!</definedName>
    <definedName name="FY96TONS" localSheetId="3">#REF!</definedName>
    <definedName name="FY96TONS" localSheetId="0">#REF!</definedName>
    <definedName name="FY96TONS">#REF!</definedName>
    <definedName name="HISTCYTEU" localSheetId="1">#REF!</definedName>
    <definedName name="HISTCYTEU" localSheetId="2">#REF!</definedName>
    <definedName name="HISTCYTEU" localSheetId="3">#REF!</definedName>
    <definedName name="HISTCYTEU" localSheetId="0">#REF!</definedName>
    <definedName name="HISTCYTEU">#REF!</definedName>
    <definedName name="HISTCYTONS" localSheetId="2">'GC Tonnage'!#REF!</definedName>
    <definedName name="HISTCYTONS" localSheetId="0">'TEU Volume'!#REF!</definedName>
    <definedName name="HISTCYTONS">#REF!</definedName>
    <definedName name="MARINETERM" localSheetId="1">#REF!</definedName>
    <definedName name="MARINETERM" localSheetId="2">#REF!</definedName>
    <definedName name="MARINETERM" localSheetId="3">#REF!</definedName>
    <definedName name="MARINETERM" localSheetId="0">#REF!</definedName>
    <definedName name="MARINETERM">#REF!</definedName>
  </definedNames>
  <calcPr calcId="162913"/>
</workbook>
</file>

<file path=xl/calcChain.xml><?xml version="1.0" encoding="utf-8"?>
<calcChain xmlns="http://schemas.openxmlformats.org/spreadsheetml/2006/main">
  <c r="V76" i="48" l="1"/>
  <c r="U76" i="48"/>
  <c r="T76" i="48"/>
  <c r="S76" i="48"/>
  <c r="O10" i="47"/>
  <c r="P33" i="45"/>
  <c r="P32" i="45"/>
  <c r="P31" i="45"/>
  <c r="O10" i="44"/>
  <c r="P49" i="46"/>
  <c r="P48" i="46"/>
  <c r="P47" i="46"/>
  <c r="P46" i="46"/>
  <c r="P45" i="46"/>
  <c r="O9" i="47" l="1"/>
  <c r="P29" i="45"/>
  <c r="P28" i="45"/>
  <c r="P27" i="45"/>
  <c r="O9" i="44"/>
  <c r="P43" i="46"/>
  <c r="P42" i="46"/>
  <c r="P41" i="46"/>
  <c r="P40" i="46"/>
  <c r="P39" i="46"/>
  <c r="S75" i="48"/>
  <c r="T75" i="48"/>
  <c r="U75" i="48"/>
  <c r="V75" i="48"/>
  <c r="P25" i="45" l="1"/>
  <c r="P24" i="45"/>
  <c r="P23" i="45"/>
  <c r="P37" i="46"/>
  <c r="P36" i="46"/>
  <c r="P35" i="46"/>
  <c r="P34" i="46"/>
  <c r="P33" i="46"/>
  <c r="O8" i="47" l="1"/>
  <c r="O8" i="44"/>
  <c r="V74" i="48"/>
  <c r="U74" i="48"/>
  <c r="T74" i="48"/>
  <c r="S74" i="48"/>
  <c r="P31" i="46" l="1"/>
  <c r="P30" i="46"/>
  <c r="P29" i="46"/>
  <c r="P28" i="46"/>
  <c r="P27" i="46"/>
  <c r="O7" i="44"/>
  <c r="P21" i="45"/>
  <c r="P20" i="45"/>
  <c r="P19" i="45"/>
  <c r="O7" i="47"/>
  <c r="V73" i="48"/>
  <c r="U73" i="48"/>
  <c r="T73" i="48"/>
  <c r="S73" i="48"/>
  <c r="O6" i="47" l="1"/>
  <c r="P17" i="45"/>
  <c r="P16" i="45"/>
  <c r="P15" i="45"/>
  <c r="O6" i="44"/>
  <c r="P25" i="46"/>
  <c r="P24" i="46"/>
  <c r="P23" i="46"/>
  <c r="P22" i="46"/>
  <c r="P21" i="46"/>
  <c r="S72" i="48"/>
  <c r="T72" i="48"/>
  <c r="U72" i="48"/>
  <c r="V72" i="48"/>
  <c r="O5" i="47" l="1"/>
  <c r="P13" i="45"/>
  <c r="P12" i="45"/>
  <c r="P11" i="45"/>
  <c r="O5" i="44"/>
  <c r="P19" i="46"/>
  <c r="P18" i="46"/>
  <c r="P17" i="46"/>
  <c r="P16" i="46"/>
  <c r="P15" i="46"/>
  <c r="V71" i="48"/>
  <c r="U71" i="48"/>
  <c r="T71" i="48"/>
  <c r="S71" i="48"/>
  <c r="O4" i="47" l="1"/>
  <c r="P9" i="45"/>
  <c r="P8" i="45"/>
  <c r="P7" i="45"/>
  <c r="P13" i="46"/>
  <c r="P12" i="46"/>
  <c r="P11" i="46"/>
  <c r="P10" i="46"/>
  <c r="P9" i="46"/>
  <c r="S70" i="48"/>
  <c r="O4" i="44"/>
  <c r="V70" i="48"/>
  <c r="U70" i="48"/>
  <c r="T70" i="48"/>
  <c r="FG19" i="50" l="1"/>
  <c r="FD19" i="50"/>
  <c r="FC19" i="50"/>
  <c r="FH17" i="50"/>
  <c r="FE17" i="50"/>
  <c r="FF17" i="50" s="1"/>
  <c r="FH16" i="50"/>
  <c r="FE16" i="50"/>
  <c r="FH15" i="50"/>
  <c r="FE15" i="50"/>
  <c r="FF15" i="50" s="1"/>
  <c r="FH14" i="50"/>
  <c r="FE14" i="50"/>
  <c r="FF14" i="50" s="1"/>
  <c r="FH13" i="50"/>
  <c r="FE13" i="50"/>
  <c r="FH12" i="50"/>
  <c r="FE12" i="50"/>
  <c r="FH11" i="50"/>
  <c r="FF11" i="50" s="1"/>
  <c r="FE11" i="50"/>
  <c r="FH10" i="50"/>
  <c r="FE10" i="50"/>
  <c r="FF10" i="50" s="1"/>
  <c r="FH9" i="50"/>
  <c r="FE9" i="50"/>
  <c r="FH8" i="50"/>
  <c r="FE8" i="50"/>
  <c r="FH7" i="50"/>
  <c r="FE7" i="50"/>
  <c r="FH6" i="50"/>
  <c r="FE6" i="50"/>
  <c r="FF6" i="50" s="1"/>
  <c r="O3" i="47"/>
  <c r="O15" i="47" s="1"/>
  <c r="O17" i="47" s="1"/>
  <c r="P5" i="45"/>
  <c r="P4" i="45"/>
  <c r="P52" i="45" s="1"/>
  <c r="P57" i="45" s="1"/>
  <c r="P3" i="45"/>
  <c r="P51" i="45" s="1"/>
  <c r="P56" i="45" s="1"/>
  <c r="P55" i="45"/>
  <c r="O3" i="44"/>
  <c r="O15" i="44" s="1"/>
  <c r="O17" i="44" s="1"/>
  <c r="P7" i="46"/>
  <c r="P6" i="46"/>
  <c r="P5" i="46"/>
  <c r="P77" i="46" s="1"/>
  <c r="P84" i="46" s="1"/>
  <c r="P4" i="46"/>
  <c r="P76" i="46" s="1"/>
  <c r="P83" i="46" s="1"/>
  <c r="P3" i="46"/>
  <c r="P75" i="46" s="1"/>
  <c r="P82" i="46" s="1"/>
  <c r="P81" i="46"/>
  <c r="P78" i="46"/>
  <c r="P85" i="46" s="1"/>
  <c r="V69" i="48"/>
  <c r="U69" i="48"/>
  <c r="T69" i="48"/>
  <c r="S69" i="48"/>
  <c r="FF13" i="50" l="1"/>
  <c r="FF12" i="50"/>
  <c r="FF9" i="50"/>
  <c r="FF8" i="50"/>
  <c r="FF7" i="50"/>
  <c r="P79" i="46"/>
  <c r="P86" i="46" s="1"/>
  <c r="FF16" i="50"/>
  <c r="FH19" i="50"/>
  <c r="FE19" i="50"/>
  <c r="P53" i="45"/>
  <c r="P58" i="45" s="1"/>
  <c r="N14" i="47"/>
  <c r="O49" i="45"/>
  <c r="O48" i="45"/>
  <c r="O47" i="45"/>
  <c r="N14" i="44"/>
  <c r="O73" i="46"/>
  <c r="O72" i="46"/>
  <c r="O71" i="46"/>
  <c r="O70" i="46"/>
  <c r="O69" i="46"/>
  <c r="S68" i="48"/>
  <c r="T68" i="48"/>
  <c r="U68" i="48"/>
  <c r="V68" i="48"/>
  <c r="FF19" i="50" l="1"/>
  <c r="N23" i="51"/>
  <c r="M23" i="51"/>
  <c r="L23" i="51"/>
  <c r="L24" i="51" s="1"/>
  <c r="K23" i="51"/>
  <c r="J23" i="51"/>
  <c r="I23" i="51"/>
  <c r="H23" i="51"/>
  <c r="G23" i="51"/>
  <c r="F23" i="51"/>
  <c r="E23" i="51"/>
  <c r="D23" i="51"/>
  <c r="C23" i="51"/>
  <c r="O22" i="51"/>
  <c r="O21" i="51"/>
  <c r="O20" i="51"/>
  <c r="N18" i="51"/>
  <c r="M18" i="51"/>
  <c r="L18" i="51"/>
  <c r="K18" i="51"/>
  <c r="J18" i="51"/>
  <c r="I18" i="51"/>
  <c r="H18" i="51"/>
  <c r="G18" i="51"/>
  <c r="F18" i="51"/>
  <c r="E18" i="51"/>
  <c r="D18" i="51"/>
  <c r="C18" i="51"/>
  <c r="O17" i="51"/>
  <c r="O16" i="51"/>
  <c r="O15" i="51"/>
  <c r="N12" i="51"/>
  <c r="M12" i="51"/>
  <c r="M27" i="51" s="1"/>
  <c r="L12" i="51"/>
  <c r="L27" i="51" s="1"/>
  <c r="K12" i="51"/>
  <c r="J12" i="51"/>
  <c r="I12" i="51"/>
  <c r="H12" i="51"/>
  <c r="G12" i="51"/>
  <c r="F12" i="51"/>
  <c r="E12" i="51"/>
  <c r="D12" i="51"/>
  <c r="C12" i="51"/>
  <c r="O11" i="51"/>
  <c r="O10" i="51"/>
  <c r="O9" i="51"/>
  <c r="N7" i="51"/>
  <c r="M7" i="51"/>
  <c r="M26" i="51" s="1"/>
  <c r="L7" i="51"/>
  <c r="K7" i="51"/>
  <c r="J7" i="51"/>
  <c r="I7" i="51"/>
  <c r="H7" i="51"/>
  <c r="G7" i="51"/>
  <c r="F7" i="51"/>
  <c r="E7" i="51"/>
  <c r="D7" i="51"/>
  <c r="C7" i="51"/>
  <c r="O6" i="51"/>
  <c r="O5" i="51"/>
  <c r="O4" i="51"/>
  <c r="K24" i="51" l="1"/>
  <c r="K26" i="51"/>
  <c r="K28" i="51" s="1"/>
  <c r="C27" i="51"/>
  <c r="K27" i="51"/>
  <c r="M24" i="51"/>
  <c r="K13" i="51"/>
  <c r="J24" i="51"/>
  <c r="J27" i="51"/>
  <c r="J13" i="51"/>
  <c r="I24" i="51"/>
  <c r="I26" i="51"/>
  <c r="H24" i="51"/>
  <c r="H26" i="51"/>
  <c r="H13" i="51"/>
  <c r="I13" i="51"/>
  <c r="G24" i="51"/>
  <c r="G27" i="51"/>
  <c r="G26" i="51"/>
  <c r="F24" i="51"/>
  <c r="F27" i="51"/>
  <c r="F26" i="51"/>
  <c r="E26" i="51"/>
  <c r="G13" i="51"/>
  <c r="D26" i="51"/>
  <c r="O23" i="51"/>
  <c r="D27" i="51"/>
  <c r="E27" i="51"/>
  <c r="H27" i="51"/>
  <c r="I27" i="51"/>
  <c r="J26" i="51"/>
  <c r="L26" i="51"/>
  <c r="L28" i="51" s="1"/>
  <c r="M28" i="51"/>
  <c r="L13" i="51"/>
  <c r="M13" i="51"/>
  <c r="F13" i="51"/>
  <c r="O12" i="51"/>
  <c r="C24" i="51"/>
  <c r="D24" i="51"/>
  <c r="E24" i="51"/>
  <c r="C13" i="51"/>
  <c r="D13" i="51"/>
  <c r="E13" i="51"/>
  <c r="O7" i="51"/>
  <c r="N13" i="51"/>
  <c r="O18" i="51"/>
  <c r="N24" i="51"/>
  <c r="N27" i="51"/>
  <c r="N26" i="51"/>
  <c r="N28" i="51" s="1"/>
  <c r="C26" i="51"/>
  <c r="D28" i="51" l="1"/>
  <c r="I28" i="51"/>
  <c r="C28" i="51"/>
  <c r="F28" i="51"/>
  <c r="E28" i="51"/>
  <c r="J28" i="51"/>
  <c r="G28" i="51"/>
  <c r="H28" i="51"/>
  <c r="O26" i="51"/>
  <c r="O24" i="51"/>
  <c r="O27" i="51"/>
  <c r="O13" i="51"/>
  <c r="O28" i="51" l="1"/>
  <c r="EZ19" i="50"/>
  <c r="EW19" i="50"/>
  <c r="EV19" i="50"/>
  <c r="ES19" i="50"/>
  <c r="ET19" i="50" s="1"/>
  <c r="EP19" i="50"/>
  <c r="EO19" i="50"/>
  <c r="EQ19" i="50" s="1"/>
  <c r="ER19" i="50" s="1"/>
  <c r="EL19" i="50"/>
  <c r="EM19" i="50" s="1"/>
  <c r="EJ19" i="50"/>
  <c r="EK19" i="50" s="1"/>
  <c r="EI19" i="50"/>
  <c r="EH19" i="50"/>
  <c r="EE19" i="50"/>
  <c r="EF19" i="50" s="1"/>
  <c r="EC19" i="50"/>
  <c r="ED19" i="50" s="1"/>
  <c r="EB19" i="50"/>
  <c r="EA19" i="50"/>
  <c r="DX19" i="50"/>
  <c r="DY19" i="50" s="1"/>
  <c r="DU19" i="50"/>
  <c r="DV19" i="50" s="1"/>
  <c r="DW19" i="50" s="1"/>
  <c r="DT19" i="50"/>
  <c r="DN19" i="50"/>
  <c r="DO19" i="50" s="1"/>
  <c r="DM19" i="50"/>
  <c r="DJ19" i="50"/>
  <c r="DK19" i="50" s="1"/>
  <c r="DH19" i="50"/>
  <c r="DG19" i="50"/>
  <c r="DF19" i="50"/>
  <c r="DC19" i="50"/>
  <c r="DD19" i="50" s="1"/>
  <c r="DB19" i="50" s="1"/>
  <c r="DA19" i="50"/>
  <c r="CZ19" i="50"/>
  <c r="CY19" i="50"/>
  <c r="CS19" i="50"/>
  <c r="CT19" i="50" s="1"/>
  <c r="CR19" i="50"/>
  <c r="CO19" i="50"/>
  <c r="CL19" i="50"/>
  <c r="CK19" i="50"/>
  <c r="CM19" i="50" s="1"/>
  <c r="CI19" i="50"/>
  <c r="CH19" i="50"/>
  <c r="CE19" i="50"/>
  <c r="CF19" i="50" s="1"/>
  <c r="CG19" i="50" s="1"/>
  <c r="CD19" i="50"/>
  <c r="BY19" i="50"/>
  <c r="AZ19" i="50"/>
  <c r="AU19" i="50"/>
  <c r="AP19" i="50"/>
  <c r="AK19" i="50"/>
  <c r="AF19" i="50"/>
  <c r="AA19" i="50"/>
  <c r="V19" i="50"/>
  <c r="Q19" i="50"/>
  <c r="L19" i="50"/>
  <c r="G19" i="50"/>
  <c r="B19" i="50"/>
  <c r="FA17" i="50"/>
  <c r="EX17" i="50"/>
  <c r="EY17" i="50" s="1"/>
  <c r="ET17" i="50"/>
  <c r="ER17" i="50"/>
  <c r="EQ17" i="50"/>
  <c r="EM17" i="50"/>
  <c r="EJ17" i="50"/>
  <c r="EK17" i="50" s="1"/>
  <c r="EF17" i="50"/>
  <c r="EC17" i="50"/>
  <c r="ED17" i="50" s="1"/>
  <c r="DY17" i="50"/>
  <c r="DV17" i="50"/>
  <c r="DW17" i="50" s="1"/>
  <c r="DR17" i="50"/>
  <c r="DO17" i="50"/>
  <c r="DP17" i="50" s="1"/>
  <c r="DK17" i="50"/>
  <c r="DH17" i="50"/>
  <c r="DI17" i="50" s="1"/>
  <c r="DD17" i="50"/>
  <c r="DB17" i="50"/>
  <c r="DA17" i="50"/>
  <c r="CW17" i="50"/>
  <c r="CT17" i="50"/>
  <c r="CU17" i="50" s="1"/>
  <c r="CP17" i="50"/>
  <c r="CM17" i="50"/>
  <c r="CI17" i="50"/>
  <c r="CF17" i="50"/>
  <c r="CG17" i="50" s="1"/>
  <c r="CB17" i="50"/>
  <c r="CA17" i="50"/>
  <c r="BZ17" i="50"/>
  <c r="BW17" i="50"/>
  <c r="BU17" i="50"/>
  <c r="BV17" i="50" s="1"/>
  <c r="BO17" i="50"/>
  <c r="BR17" i="50" s="1"/>
  <c r="BM17" i="50"/>
  <c r="BJ17" i="50"/>
  <c r="BK17" i="50" s="1"/>
  <c r="BL17" i="50" s="1"/>
  <c r="BE17" i="50"/>
  <c r="BH17" i="50" s="1"/>
  <c r="BC17" i="50"/>
  <c r="BA17" i="50"/>
  <c r="BB17" i="50" s="1"/>
  <c r="AX17" i="50"/>
  <c r="AV17" i="50"/>
  <c r="AW17" i="50" s="1"/>
  <c r="AS17" i="50"/>
  <c r="AQ17" i="50"/>
  <c r="AR17" i="50" s="1"/>
  <c r="AN17" i="50"/>
  <c r="AL17" i="50"/>
  <c r="AI17" i="50"/>
  <c r="AG17" i="50"/>
  <c r="AD17" i="50"/>
  <c r="AB17" i="50"/>
  <c r="AC17" i="50" s="1"/>
  <c r="Y17" i="50"/>
  <c r="W17" i="50"/>
  <c r="X17" i="50" s="1"/>
  <c r="T17" i="50"/>
  <c r="R17" i="50"/>
  <c r="O17" i="50"/>
  <c r="M17" i="50"/>
  <c r="J17" i="50"/>
  <c r="H17" i="50"/>
  <c r="I17" i="50" s="1"/>
  <c r="E17" i="50"/>
  <c r="C17" i="50"/>
  <c r="D17" i="50" s="1"/>
  <c r="FA16" i="50"/>
  <c r="EX16" i="50"/>
  <c r="ET16" i="50"/>
  <c r="ER16" i="50"/>
  <c r="EQ16" i="50"/>
  <c r="EM16" i="50"/>
  <c r="EK16" i="50"/>
  <c r="EJ16" i="50"/>
  <c r="EF16" i="50"/>
  <c r="ED16" i="50"/>
  <c r="EC16" i="50"/>
  <c r="DY16" i="50"/>
  <c r="DV16" i="50"/>
  <c r="DW16" i="50" s="1"/>
  <c r="DR16" i="50"/>
  <c r="DP16" i="50"/>
  <c r="DO16" i="50"/>
  <c r="DK16" i="50"/>
  <c r="DH16" i="50"/>
  <c r="DI16" i="50" s="1"/>
  <c r="DD16" i="50"/>
  <c r="DA16" i="50"/>
  <c r="DB16" i="50" s="1"/>
  <c r="CW16" i="50"/>
  <c r="CT16" i="50"/>
  <c r="CU16" i="50" s="1"/>
  <c r="CP16" i="50"/>
  <c r="CM16" i="50"/>
  <c r="CN16" i="50" s="1"/>
  <c r="CI16" i="50"/>
  <c r="CF16" i="50"/>
  <c r="CG16" i="50" s="1"/>
  <c r="CB16" i="50"/>
  <c r="CA16" i="50"/>
  <c r="BZ16" i="50"/>
  <c r="BT16" i="50"/>
  <c r="BW16" i="50" s="1"/>
  <c r="BR16" i="50"/>
  <c r="BP16" i="50"/>
  <c r="BO16" i="50"/>
  <c r="BK16" i="50"/>
  <c r="BJ16" i="50"/>
  <c r="BM16" i="50" s="1"/>
  <c r="BH16" i="50"/>
  <c r="BF16" i="50"/>
  <c r="BE16" i="50"/>
  <c r="BC16" i="50"/>
  <c r="BA16" i="50"/>
  <c r="BB16" i="50" s="1"/>
  <c r="AX16" i="50"/>
  <c r="AW16" i="50" s="1"/>
  <c r="AV16" i="50"/>
  <c r="AS16" i="50"/>
  <c r="AQ16" i="50"/>
  <c r="AR16" i="50" s="1"/>
  <c r="AN16" i="50"/>
  <c r="AL16" i="50"/>
  <c r="AM16" i="50" s="1"/>
  <c r="AI16" i="50"/>
  <c r="AG16" i="50"/>
  <c r="AD16" i="50"/>
  <c r="AC16" i="50"/>
  <c r="AB16" i="50"/>
  <c r="Y16" i="50"/>
  <c r="X16" i="50"/>
  <c r="W16" i="50"/>
  <c r="T16" i="50"/>
  <c r="S16" i="50"/>
  <c r="R16" i="50"/>
  <c r="O16" i="50"/>
  <c r="M16" i="50"/>
  <c r="N16" i="50" s="1"/>
  <c r="J16" i="50"/>
  <c r="I16" i="50"/>
  <c r="H16" i="50"/>
  <c r="E16" i="50"/>
  <c r="C16" i="50"/>
  <c r="D16" i="50" s="1"/>
  <c r="FA15" i="50"/>
  <c r="EX15" i="50"/>
  <c r="EY15" i="50" s="1"/>
  <c r="ET15" i="50"/>
  <c r="EQ15" i="50"/>
  <c r="ER15" i="50" s="1"/>
  <c r="EM15" i="50"/>
  <c r="EJ15" i="50"/>
  <c r="EK15" i="50" s="1"/>
  <c r="EF15" i="50"/>
  <c r="EC15" i="50"/>
  <c r="ED15" i="50" s="1"/>
  <c r="DY15" i="50"/>
  <c r="DW15" i="50"/>
  <c r="DV15" i="50"/>
  <c r="DR15" i="50"/>
  <c r="DO15" i="50"/>
  <c r="DP15" i="50" s="1"/>
  <c r="DK15" i="50"/>
  <c r="DI15" i="50" s="1"/>
  <c r="DH15" i="50"/>
  <c r="DD15" i="50"/>
  <c r="DA15" i="50"/>
  <c r="DB15" i="50" s="1"/>
  <c r="CW15" i="50"/>
  <c r="CU15" i="50"/>
  <c r="CT15" i="50"/>
  <c r="CP15" i="50"/>
  <c r="CM15" i="50"/>
  <c r="CN15" i="50" s="1"/>
  <c r="CI15" i="50"/>
  <c r="CF15" i="50"/>
  <c r="CG15" i="50" s="1"/>
  <c r="CB15" i="50"/>
  <c r="CA15" i="50"/>
  <c r="BZ15" i="50"/>
  <c r="BT15" i="50"/>
  <c r="BU15" i="50" s="1"/>
  <c r="BR15" i="50"/>
  <c r="BO15" i="50"/>
  <c r="BP15" i="50" s="1"/>
  <c r="BQ15" i="50" s="1"/>
  <c r="BJ15" i="50"/>
  <c r="BM15" i="50" s="1"/>
  <c r="BF15" i="50"/>
  <c r="BE15" i="50"/>
  <c r="BH15" i="50" s="1"/>
  <c r="BC15" i="50"/>
  <c r="BA15" i="50"/>
  <c r="BB15" i="50" s="1"/>
  <c r="AX15" i="50"/>
  <c r="AV15" i="50"/>
  <c r="AS15" i="50"/>
  <c r="AQ15" i="50"/>
  <c r="AR15" i="50" s="1"/>
  <c r="AN15" i="50"/>
  <c r="AL15" i="50"/>
  <c r="AM15" i="50" s="1"/>
  <c r="AI15" i="50"/>
  <c r="AG15" i="50"/>
  <c r="AH15" i="50" s="1"/>
  <c r="AD15" i="50"/>
  <c r="AB15" i="50"/>
  <c r="AC15" i="50" s="1"/>
  <c r="Y15" i="50"/>
  <c r="W15" i="50"/>
  <c r="X15" i="50" s="1"/>
  <c r="T15" i="50"/>
  <c r="R15" i="50"/>
  <c r="O15" i="50"/>
  <c r="M15" i="50"/>
  <c r="N15" i="50" s="1"/>
  <c r="J15" i="50"/>
  <c r="H15" i="50"/>
  <c r="E15" i="50"/>
  <c r="D15" i="50" s="1"/>
  <c r="C15" i="50"/>
  <c r="FA14" i="50"/>
  <c r="EX14" i="50"/>
  <c r="EY14" i="50" s="1"/>
  <c r="ET14" i="50"/>
  <c r="ER14" i="50"/>
  <c r="EQ14" i="50"/>
  <c r="EM14" i="50"/>
  <c r="EJ14" i="50"/>
  <c r="EK14" i="50" s="1"/>
  <c r="EF14" i="50"/>
  <c r="ED14" i="50"/>
  <c r="EC14" i="50"/>
  <c r="DY14" i="50"/>
  <c r="DW14" i="50"/>
  <c r="DV14" i="50"/>
  <c r="DR14" i="50"/>
  <c r="DP14" i="50"/>
  <c r="DO14" i="50"/>
  <c r="DK14" i="50"/>
  <c r="DH14" i="50"/>
  <c r="DI14" i="50" s="1"/>
  <c r="DD14" i="50"/>
  <c r="DB14" i="50"/>
  <c r="DA14" i="50"/>
  <c r="CW14" i="50"/>
  <c r="CT14" i="50"/>
  <c r="CP14" i="50"/>
  <c r="CM14" i="50"/>
  <c r="CN14" i="50" s="1"/>
  <c r="CI14" i="50"/>
  <c r="CF14" i="50"/>
  <c r="CB14" i="50"/>
  <c r="BZ14" i="50"/>
  <c r="CA14" i="50" s="1"/>
  <c r="BW14" i="50"/>
  <c r="BU14" i="50"/>
  <c r="BT14" i="50"/>
  <c r="BR14" i="50"/>
  <c r="BP14" i="50"/>
  <c r="BK14" i="50"/>
  <c r="BJ14" i="50"/>
  <c r="BM14" i="50" s="1"/>
  <c r="BE14" i="50"/>
  <c r="BF14" i="50" s="1"/>
  <c r="BC14" i="50"/>
  <c r="BA14" i="50"/>
  <c r="BB14" i="50" s="1"/>
  <c r="AX14" i="50"/>
  <c r="AV14" i="50"/>
  <c r="AW14" i="50" s="1"/>
  <c r="AS14" i="50"/>
  <c r="AQ14" i="50"/>
  <c r="AR14" i="50" s="1"/>
  <c r="AN14" i="50"/>
  <c r="AL14" i="50"/>
  <c r="AM14" i="50" s="1"/>
  <c r="AI14" i="50"/>
  <c r="AH14" i="50"/>
  <c r="AG14" i="50"/>
  <c r="AD14" i="50"/>
  <c r="AB14" i="50"/>
  <c r="Y14" i="50"/>
  <c r="W14" i="50"/>
  <c r="X14" i="50" s="1"/>
  <c r="T14" i="50"/>
  <c r="R14" i="50"/>
  <c r="S14" i="50" s="1"/>
  <c r="O14" i="50"/>
  <c r="M14" i="50"/>
  <c r="N14" i="50" s="1"/>
  <c r="J14" i="50"/>
  <c r="H14" i="50"/>
  <c r="E14" i="50"/>
  <c r="C14" i="50"/>
  <c r="D14" i="50" s="1"/>
  <c r="FA13" i="50"/>
  <c r="EX13" i="50"/>
  <c r="EY13" i="50" s="1"/>
  <c r="ET13" i="50"/>
  <c r="ER13" i="50"/>
  <c r="EQ13" i="50"/>
  <c r="EM13" i="50"/>
  <c r="EJ13" i="50"/>
  <c r="EK13" i="50" s="1"/>
  <c r="EF13" i="50"/>
  <c r="ED13" i="50" s="1"/>
  <c r="EC13" i="50"/>
  <c r="DY13" i="50"/>
  <c r="DV13" i="50"/>
  <c r="DW13" i="50" s="1"/>
  <c r="DQ13" i="50"/>
  <c r="DR13" i="50" s="1"/>
  <c r="DO13" i="50"/>
  <c r="DK13" i="50"/>
  <c r="DI13" i="50"/>
  <c r="DH13" i="50"/>
  <c r="DD13" i="50"/>
  <c r="DA13" i="50"/>
  <c r="DB13" i="50" s="1"/>
  <c r="CW13" i="50"/>
  <c r="CU13" i="50" s="1"/>
  <c r="CT13" i="50"/>
  <c r="CP13" i="50"/>
  <c r="CM13" i="50"/>
  <c r="CN13" i="50" s="1"/>
  <c r="CI13" i="50"/>
  <c r="CF13" i="50"/>
  <c r="CG13" i="50" s="1"/>
  <c r="CB13" i="50"/>
  <c r="BZ13" i="50"/>
  <c r="CA13" i="50" s="1"/>
  <c r="BY13" i="50"/>
  <c r="BW13" i="50"/>
  <c r="BU13" i="50"/>
  <c r="BV13" i="50" s="1"/>
  <c r="BR13" i="50"/>
  <c r="BO13" i="50"/>
  <c r="BP13" i="50" s="1"/>
  <c r="BQ13" i="50" s="1"/>
  <c r="BJ13" i="50"/>
  <c r="BM13" i="50" s="1"/>
  <c r="BH13" i="50"/>
  <c r="BE13" i="50"/>
  <c r="BF13" i="50" s="1"/>
  <c r="BC13" i="50"/>
  <c r="BA13" i="50"/>
  <c r="BB13" i="50" s="1"/>
  <c r="AX13" i="50"/>
  <c r="AW13" i="50"/>
  <c r="AV13" i="50"/>
  <c r="AS13" i="50"/>
  <c r="AQ13" i="50"/>
  <c r="AR13" i="50" s="1"/>
  <c r="AN13" i="50"/>
  <c r="AL13" i="50"/>
  <c r="AM13" i="50" s="1"/>
  <c r="AI13" i="50"/>
  <c r="AG13" i="50"/>
  <c r="AH13" i="50" s="1"/>
  <c r="AD13" i="50"/>
  <c r="AB13" i="50"/>
  <c r="AC13" i="50" s="1"/>
  <c r="Y13" i="50"/>
  <c r="W13" i="50"/>
  <c r="T13" i="50"/>
  <c r="R13" i="50"/>
  <c r="S13" i="50" s="1"/>
  <c r="O13" i="50"/>
  <c r="M13" i="50"/>
  <c r="J13" i="50"/>
  <c r="H13" i="50"/>
  <c r="I13" i="50" s="1"/>
  <c r="E13" i="50"/>
  <c r="C13" i="50"/>
  <c r="D13" i="50" s="1"/>
  <c r="FA12" i="50"/>
  <c r="EX12" i="50"/>
  <c r="EY12" i="50" s="1"/>
  <c r="ET12" i="50"/>
  <c r="ER12" i="50" s="1"/>
  <c r="EQ12" i="50"/>
  <c r="EM12" i="50"/>
  <c r="EJ12" i="50"/>
  <c r="EK12" i="50" s="1"/>
  <c r="EF12" i="50"/>
  <c r="ED12" i="50"/>
  <c r="EC12" i="50"/>
  <c r="DY12" i="50"/>
  <c r="DV12" i="50"/>
  <c r="DW12" i="50" s="1"/>
  <c r="DR12" i="50"/>
  <c r="DP12" i="50"/>
  <c r="DO12" i="50"/>
  <c r="DK12" i="50"/>
  <c r="DI12" i="50"/>
  <c r="DH12" i="50"/>
  <c r="DD12" i="50"/>
  <c r="DB12" i="50"/>
  <c r="DA12" i="50"/>
  <c r="CV12" i="50"/>
  <c r="CW12" i="50" s="1"/>
  <c r="CU12" i="50" s="1"/>
  <c r="CT12" i="50"/>
  <c r="CP12" i="50"/>
  <c r="CM12" i="50"/>
  <c r="CN12" i="50" s="1"/>
  <c r="CI12" i="50"/>
  <c r="CF12" i="50"/>
  <c r="CG12" i="50" s="1"/>
  <c r="CB12" i="50"/>
  <c r="CA12" i="50"/>
  <c r="BZ12" i="50"/>
  <c r="BY12" i="50"/>
  <c r="BT12" i="50"/>
  <c r="BU12" i="50" s="1"/>
  <c r="BR12" i="50"/>
  <c r="BP12" i="50"/>
  <c r="BQ12" i="50" s="1"/>
  <c r="BO12" i="50"/>
  <c r="BM12" i="50"/>
  <c r="BK12" i="50"/>
  <c r="BL12" i="50" s="1"/>
  <c r="BJ12" i="50"/>
  <c r="BH12" i="50"/>
  <c r="BF12" i="50"/>
  <c r="BG12" i="50" s="1"/>
  <c r="BE12" i="50"/>
  <c r="BC12" i="50"/>
  <c r="BA12" i="50"/>
  <c r="BB12" i="50" s="1"/>
  <c r="AX12" i="50"/>
  <c r="AV12" i="50"/>
  <c r="AW12" i="50" s="1"/>
  <c r="AS12" i="50"/>
  <c r="AQ12" i="50"/>
  <c r="AR12" i="50" s="1"/>
  <c r="AN12" i="50"/>
  <c r="AL12" i="50"/>
  <c r="AM12" i="50" s="1"/>
  <c r="AI12" i="50"/>
  <c r="AG12" i="50"/>
  <c r="AH12" i="50" s="1"/>
  <c r="AD12" i="50"/>
  <c r="AB12" i="50"/>
  <c r="Y12" i="50"/>
  <c r="W12" i="50"/>
  <c r="X12" i="50" s="1"/>
  <c r="T12" i="50"/>
  <c r="R12" i="50"/>
  <c r="S12" i="50" s="1"/>
  <c r="O12" i="50"/>
  <c r="M12" i="50"/>
  <c r="N12" i="50" s="1"/>
  <c r="J12" i="50"/>
  <c r="H12" i="50"/>
  <c r="E12" i="50"/>
  <c r="C12" i="50"/>
  <c r="D12" i="50" s="1"/>
  <c r="FA11" i="50"/>
  <c r="EX11" i="50"/>
  <c r="EY11" i="50" s="1"/>
  <c r="ET11" i="50"/>
  <c r="EQ11" i="50"/>
  <c r="ER11" i="50" s="1"/>
  <c r="EM11" i="50"/>
  <c r="EK11" i="50"/>
  <c r="EJ11" i="50"/>
  <c r="EF11" i="50"/>
  <c r="EC11" i="50"/>
  <c r="ED11" i="50" s="1"/>
  <c r="DY11" i="50"/>
  <c r="DW11" i="50" s="1"/>
  <c r="DV11" i="50"/>
  <c r="DR11" i="50"/>
  <c r="DO11" i="50"/>
  <c r="DP11" i="50" s="1"/>
  <c r="DK11" i="50"/>
  <c r="DI11" i="50"/>
  <c r="DH11" i="50"/>
  <c r="DD11" i="50"/>
  <c r="DA11" i="50"/>
  <c r="DB11" i="50" s="1"/>
  <c r="CW11" i="50"/>
  <c r="CT11" i="50"/>
  <c r="CU11" i="50" s="1"/>
  <c r="CP11" i="50"/>
  <c r="CN11" i="50"/>
  <c r="CM11" i="50"/>
  <c r="CI11" i="50"/>
  <c r="CF11" i="50"/>
  <c r="CG11" i="50" s="1"/>
  <c r="CB11" i="50"/>
  <c r="BZ11" i="50"/>
  <c r="CA11" i="50" s="1"/>
  <c r="BW11" i="50"/>
  <c r="BT11" i="50"/>
  <c r="BU11" i="50" s="1"/>
  <c r="BV11" i="50" s="1"/>
  <c r="BO11" i="50"/>
  <c r="BR11" i="50" s="1"/>
  <c r="BM11" i="50"/>
  <c r="BJ11" i="50"/>
  <c r="BK11" i="50" s="1"/>
  <c r="BL11" i="50" s="1"/>
  <c r="BE11" i="50"/>
  <c r="BH11" i="50" s="1"/>
  <c r="BC11" i="50"/>
  <c r="BB11" i="50"/>
  <c r="BA11" i="50"/>
  <c r="AX11" i="50"/>
  <c r="AV11" i="50"/>
  <c r="AS11" i="50"/>
  <c r="AQ11" i="50"/>
  <c r="AR11" i="50" s="1"/>
  <c r="AN11" i="50"/>
  <c r="AL11" i="50"/>
  <c r="AM11" i="50" s="1"/>
  <c r="AI11" i="50"/>
  <c r="AG11" i="50"/>
  <c r="AD11" i="50"/>
  <c r="AB11" i="50"/>
  <c r="AC11" i="50" s="1"/>
  <c r="Y11" i="50"/>
  <c r="W11" i="50"/>
  <c r="X11" i="50" s="1"/>
  <c r="T11" i="50"/>
  <c r="R11" i="50"/>
  <c r="O11" i="50"/>
  <c r="M11" i="50"/>
  <c r="J11" i="50"/>
  <c r="H11" i="50"/>
  <c r="E11" i="50"/>
  <c r="D11" i="50"/>
  <c r="C11" i="50"/>
  <c r="FA10" i="50"/>
  <c r="EX10" i="50"/>
  <c r="EY10" i="50" s="1"/>
  <c r="ET10" i="50"/>
  <c r="ER10" i="50"/>
  <c r="EQ10" i="50"/>
  <c r="EM10" i="50"/>
  <c r="EK10" i="50"/>
  <c r="EJ10" i="50"/>
  <c r="EF10" i="50"/>
  <c r="ED10" i="50"/>
  <c r="EC10" i="50"/>
  <c r="DY10" i="50"/>
  <c r="DV10" i="50"/>
  <c r="DW10" i="50" s="1"/>
  <c r="DR10" i="50"/>
  <c r="DP10" i="50"/>
  <c r="DO10" i="50"/>
  <c r="DK10" i="50"/>
  <c r="DH10" i="50"/>
  <c r="DI10" i="50" s="1"/>
  <c r="DD10" i="50"/>
  <c r="DA10" i="50"/>
  <c r="DB10" i="50" s="1"/>
  <c r="CW10" i="50"/>
  <c r="CT10" i="50"/>
  <c r="CU10" i="50" s="1"/>
  <c r="CP10" i="50"/>
  <c r="CM10" i="50"/>
  <c r="CN10" i="50" s="1"/>
  <c r="CI10" i="50"/>
  <c r="CF10" i="50"/>
  <c r="CG10" i="50" s="1"/>
  <c r="CB10" i="50"/>
  <c r="CA10" i="50"/>
  <c r="BZ10" i="50"/>
  <c r="BT10" i="50"/>
  <c r="BW10" i="50" s="1"/>
  <c r="BR10" i="50"/>
  <c r="BP10" i="50"/>
  <c r="BQ10" i="50" s="1"/>
  <c r="BO10" i="50"/>
  <c r="BK10" i="50"/>
  <c r="BJ10" i="50"/>
  <c r="BM10" i="50" s="1"/>
  <c r="BH10" i="50"/>
  <c r="BF10" i="50"/>
  <c r="BG10" i="50" s="1"/>
  <c r="BE10" i="50"/>
  <c r="BC10" i="50"/>
  <c r="BA10" i="50"/>
  <c r="AX10" i="50"/>
  <c r="AV10" i="50"/>
  <c r="AS10" i="50"/>
  <c r="AQ10" i="50"/>
  <c r="AN10" i="50"/>
  <c r="AM10" i="50"/>
  <c r="AL10" i="50"/>
  <c r="AI10" i="50"/>
  <c r="AG10" i="50"/>
  <c r="AH10" i="50" s="1"/>
  <c r="AD10" i="50"/>
  <c r="AB10" i="50"/>
  <c r="Y10" i="50"/>
  <c r="X10" i="50"/>
  <c r="W10" i="50"/>
  <c r="T10" i="50"/>
  <c r="S10" i="50"/>
  <c r="R10" i="50"/>
  <c r="O10" i="50"/>
  <c r="M10" i="50"/>
  <c r="N10" i="50" s="1"/>
  <c r="J10" i="50"/>
  <c r="H10" i="50"/>
  <c r="I10" i="50" s="1"/>
  <c r="E10" i="50"/>
  <c r="C10" i="50"/>
  <c r="D10" i="50" s="1"/>
  <c r="FA9" i="50"/>
  <c r="EX9" i="50"/>
  <c r="EY9" i="50" s="1"/>
  <c r="ET9" i="50"/>
  <c r="EQ9" i="50"/>
  <c r="ER9" i="50" s="1"/>
  <c r="EM9" i="50"/>
  <c r="EJ9" i="50"/>
  <c r="EK9" i="50" s="1"/>
  <c r="EF9" i="50"/>
  <c r="EC9" i="50"/>
  <c r="ED9" i="50" s="1"/>
  <c r="DY9" i="50"/>
  <c r="DW9" i="50"/>
  <c r="DV9" i="50"/>
  <c r="DR9" i="50"/>
  <c r="DO9" i="50"/>
  <c r="DP9" i="50" s="1"/>
  <c r="DK9" i="50"/>
  <c r="DI9" i="50" s="1"/>
  <c r="DH9" i="50"/>
  <c r="DD9" i="50"/>
  <c r="DA9" i="50"/>
  <c r="DB9" i="50" s="1"/>
  <c r="CW9" i="50"/>
  <c r="CT9" i="50"/>
  <c r="CU9" i="50" s="1"/>
  <c r="CP9" i="50"/>
  <c r="CM9" i="50"/>
  <c r="CN9" i="50" s="1"/>
  <c r="CI9" i="50"/>
  <c r="CG9" i="50"/>
  <c r="CF9" i="50"/>
  <c r="CB9" i="50"/>
  <c r="CA9" i="50"/>
  <c r="BZ9" i="50"/>
  <c r="BT9" i="50"/>
  <c r="BU9" i="50" s="1"/>
  <c r="BO9" i="50"/>
  <c r="BR9" i="50" s="1"/>
  <c r="BJ9" i="50"/>
  <c r="BM9" i="50" s="1"/>
  <c r="BF9" i="50"/>
  <c r="BE9" i="50"/>
  <c r="BH9" i="50" s="1"/>
  <c r="BC9" i="50"/>
  <c r="BB9" i="50"/>
  <c r="BA9" i="50"/>
  <c r="AX9" i="50"/>
  <c r="AV9" i="50"/>
  <c r="AS9" i="50"/>
  <c r="AQ9" i="50"/>
  <c r="AR9" i="50" s="1"/>
  <c r="AN9" i="50"/>
  <c r="AL9" i="50"/>
  <c r="AI9" i="50"/>
  <c r="AG9" i="50"/>
  <c r="AH9" i="50" s="1"/>
  <c r="AD9" i="50"/>
  <c r="AB9" i="50"/>
  <c r="AC9" i="50" s="1"/>
  <c r="Y9" i="50"/>
  <c r="W9" i="50"/>
  <c r="X9" i="50" s="1"/>
  <c r="T9" i="50"/>
  <c r="R9" i="50"/>
  <c r="S9" i="50" s="1"/>
  <c r="O9" i="50"/>
  <c r="N9" i="50"/>
  <c r="M9" i="50"/>
  <c r="J9" i="50"/>
  <c r="H9" i="50"/>
  <c r="I9" i="50" s="1"/>
  <c r="E9" i="50"/>
  <c r="D9" i="50"/>
  <c r="C9" i="50"/>
  <c r="FA8" i="50"/>
  <c r="EX8" i="50"/>
  <c r="EY8" i="50" s="1"/>
  <c r="ET8" i="50"/>
  <c r="ER8" i="50"/>
  <c r="EQ8" i="50"/>
  <c r="EM8" i="50"/>
  <c r="EJ8" i="50"/>
  <c r="EK8" i="50" s="1"/>
  <c r="EF8" i="50"/>
  <c r="ED8" i="50"/>
  <c r="EC8" i="50"/>
  <c r="DY8" i="50"/>
  <c r="DV8" i="50"/>
  <c r="DW8" i="50" s="1"/>
  <c r="DR8" i="50"/>
  <c r="DP8" i="50"/>
  <c r="DO8" i="50"/>
  <c r="DK8" i="50"/>
  <c r="DH8" i="50"/>
  <c r="DI8" i="50" s="1"/>
  <c r="DD8" i="50"/>
  <c r="DB8" i="50"/>
  <c r="DA8" i="50"/>
  <c r="CW8" i="50"/>
  <c r="CT8" i="50"/>
  <c r="CP8" i="50"/>
  <c r="CM8" i="50"/>
  <c r="CN8" i="50" s="1"/>
  <c r="CI8" i="50"/>
  <c r="CF8" i="50"/>
  <c r="CB8" i="50"/>
  <c r="BZ8" i="50"/>
  <c r="CA8" i="50" s="1"/>
  <c r="BW8" i="50"/>
  <c r="BU8" i="50"/>
  <c r="BT8" i="50"/>
  <c r="BR8" i="50"/>
  <c r="BP8" i="50"/>
  <c r="BO8" i="50"/>
  <c r="BM8" i="50"/>
  <c r="BK8" i="50"/>
  <c r="BL8" i="50" s="1"/>
  <c r="BJ8" i="50"/>
  <c r="BE8" i="50"/>
  <c r="BF8" i="50" s="1"/>
  <c r="BC8" i="50"/>
  <c r="BA8" i="50"/>
  <c r="BB8" i="50" s="1"/>
  <c r="AX8" i="50"/>
  <c r="AW8" i="50"/>
  <c r="AV8" i="50"/>
  <c r="AS8" i="50"/>
  <c r="AQ8" i="50"/>
  <c r="AR8" i="50" s="1"/>
  <c r="AN8" i="50"/>
  <c r="AM8" i="50"/>
  <c r="AL8" i="50"/>
  <c r="AI8" i="50"/>
  <c r="AG8" i="50"/>
  <c r="AH8" i="50" s="1"/>
  <c r="AD8" i="50"/>
  <c r="AB8" i="50"/>
  <c r="AC8" i="50" s="1"/>
  <c r="Y8" i="50"/>
  <c r="W8" i="50"/>
  <c r="X8" i="50" s="1"/>
  <c r="T8" i="50"/>
  <c r="R8" i="50"/>
  <c r="S8" i="50" s="1"/>
  <c r="O8" i="50"/>
  <c r="M8" i="50"/>
  <c r="N8" i="50" s="1"/>
  <c r="J8" i="50"/>
  <c r="H8" i="50"/>
  <c r="I8" i="50" s="1"/>
  <c r="E8" i="50"/>
  <c r="C8" i="50"/>
  <c r="FA7" i="50"/>
  <c r="EY7" i="50"/>
  <c r="EX7" i="50"/>
  <c r="ET7" i="50"/>
  <c r="EQ7" i="50"/>
  <c r="ER7" i="50" s="1"/>
  <c r="EM7" i="50"/>
  <c r="EJ7" i="50"/>
  <c r="EK7" i="50" s="1"/>
  <c r="EF7" i="50"/>
  <c r="EC7" i="50"/>
  <c r="ED7" i="50" s="1"/>
  <c r="DY7" i="50"/>
  <c r="DV7" i="50"/>
  <c r="DW7" i="50" s="1"/>
  <c r="DR7" i="50"/>
  <c r="DO7" i="50"/>
  <c r="DP7" i="50" s="1"/>
  <c r="DK7" i="50"/>
  <c r="DI7" i="50"/>
  <c r="DH7" i="50"/>
  <c r="DD7" i="50"/>
  <c r="DA7" i="50"/>
  <c r="DB7" i="50" s="1"/>
  <c r="CW7" i="50"/>
  <c r="CU7" i="50"/>
  <c r="CT7" i="50"/>
  <c r="CP7" i="50"/>
  <c r="CM7" i="50"/>
  <c r="CN7" i="50" s="1"/>
  <c r="CI7" i="50"/>
  <c r="CF7" i="50"/>
  <c r="CG7" i="50" s="1"/>
  <c r="CB7" i="50"/>
  <c r="BZ7" i="50"/>
  <c r="CA7" i="50" s="1"/>
  <c r="BT7" i="50"/>
  <c r="BW7" i="50" s="1"/>
  <c r="BR7" i="50"/>
  <c r="BP7" i="50"/>
  <c r="BQ7" i="50" s="1"/>
  <c r="BJ7" i="50"/>
  <c r="BK7" i="50" s="1"/>
  <c r="BH7" i="50"/>
  <c r="BF7" i="50"/>
  <c r="BG7" i="50" s="1"/>
  <c r="BE7" i="50"/>
  <c r="BC7" i="50"/>
  <c r="BA7" i="50"/>
  <c r="AX7" i="50"/>
  <c r="AV7" i="50"/>
  <c r="AS7" i="50"/>
  <c r="AQ7" i="50"/>
  <c r="AR7" i="50" s="1"/>
  <c r="AN7" i="50"/>
  <c r="AL7" i="50"/>
  <c r="AM7" i="50" s="1"/>
  <c r="AI7" i="50"/>
  <c r="AG7" i="50"/>
  <c r="AD7" i="50"/>
  <c r="AB7" i="50"/>
  <c r="AC7" i="50" s="1"/>
  <c r="Y7" i="50"/>
  <c r="W7" i="50"/>
  <c r="T7" i="50"/>
  <c r="R7" i="50"/>
  <c r="S7" i="50" s="1"/>
  <c r="O7" i="50"/>
  <c r="M7" i="50"/>
  <c r="J7" i="50"/>
  <c r="H7" i="50"/>
  <c r="H19" i="50" s="1"/>
  <c r="E7" i="50"/>
  <c r="C7" i="50"/>
  <c r="FA6" i="50"/>
  <c r="EY6" i="50"/>
  <c r="EX6" i="50"/>
  <c r="ET6" i="50"/>
  <c r="EQ6" i="50"/>
  <c r="ER6" i="50" s="1"/>
  <c r="EM6" i="50"/>
  <c r="EK6" i="50"/>
  <c r="EJ6" i="50"/>
  <c r="EF6" i="50"/>
  <c r="EC6" i="50"/>
  <c r="ED6" i="50" s="1"/>
  <c r="DY6" i="50"/>
  <c r="DW6" i="50"/>
  <c r="DV6" i="50"/>
  <c r="DR6" i="50"/>
  <c r="DO6" i="50"/>
  <c r="DP6" i="50" s="1"/>
  <c r="DK6" i="50"/>
  <c r="DH6" i="50"/>
  <c r="DI6" i="50" s="1"/>
  <c r="DD6" i="50"/>
  <c r="DA6" i="50"/>
  <c r="DB6" i="50" s="1"/>
  <c r="CW6" i="50"/>
  <c r="CT6" i="50"/>
  <c r="CU6" i="50" s="1"/>
  <c r="CP6" i="50"/>
  <c r="CM6" i="50"/>
  <c r="CN6" i="50" s="1"/>
  <c r="CI6" i="50"/>
  <c r="CG6" i="50" s="1"/>
  <c r="CF6" i="50"/>
  <c r="CB6" i="50"/>
  <c r="CB19" i="50" s="1"/>
  <c r="BZ6" i="50"/>
  <c r="BZ19" i="50" s="1"/>
  <c r="BW6" i="50"/>
  <c r="BT6" i="50"/>
  <c r="BT19" i="50" s="1"/>
  <c r="BR6" i="50"/>
  <c r="BP6" i="50"/>
  <c r="BM6" i="50"/>
  <c r="BK6" i="50"/>
  <c r="BJ6" i="50"/>
  <c r="BJ19" i="50" s="1"/>
  <c r="BH6" i="50"/>
  <c r="BF6" i="50"/>
  <c r="BE6" i="50"/>
  <c r="BC6" i="50"/>
  <c r="BA6" i="50"/>
  <c r="BB6" i="50" s="1"/>
  <c r="AX6" i="50"/>
  <c r="AV6" i="50"/>
  <c r="AW6" i="50" s="1"/>
  <c r="AS6" i="50"/>
  <c r="AQ6" i="50"/>
  <c r="AN6" i="50"/>
  <c r="AL6" i="50"/>
  <c r="AM6" i="50" s="1"/>
  <c r="AI6" i="50"/>
  <c r="AG6" i="50"/>
  <c r="AD6" i="50"/>
  <c r="AB6" i="50"/>
  <c r="Y6" i="50"/>
  <c r="W6" i="50"/>
  <c r="T6" i="50"/>
  <c r="R6" i="50"/>
  <c r="S6" i="50" s="1"/>
  <c r="O6" i="50"/>
  <c r="O19" i="50" s="1"/>
  <c r="M6" i="50"/>
  <c r="N6" i="50" s="1"/>
  <c r="J6" i="50"/>
  <c r="H6" i="50"/>
  <c r="I6" i="50" s="1"/>
  <c r="E6" i="50"/>
  <c r="C6" i="50"/>
  <c r="C19" i="50" s="1"/>
  <c r="EY16" i="50" l="1"/>
  <c r="EX19" i="50"/>
  <c r="FA19" i="50"/>
  <c r="D7" i="50"/>
  <c r="E19" i="50"/>
  <c r="D8" i="50"/>
  <c r="I15" i="50"/>
  <c r="I7" i="50"/>
  <c r="I11" i="50"/>
  <c r="I14" i="50"/>
  <c r="J19" i="50"/>
  <c r="I12" i="50"/>
  <c r="N7" i="50"/>
  <c r="N19" i="50" s="1"/>
  <c r="N11" i="50"/>
  <c r="N17" i="50"/>
  <c r="N13" i="50"/>
  <c r="S15" i="50"/>
  <c r="T19" i="50"/>
  <c r="S11" i="50"/>
  <c r="S17" i="50"/>
  <c r="X13" i="50"/>
  <c r="X7" i="50"/>
  <c r="W19" i="50"/>
  <c r="Y19" i="50"/>
  <c r="AC12" i="50"/>
  <c r="AC6" i="50"/>
  <c r="AC10" i="50"/>
  <c r="AC14" i="50"/>
  <c r="AD19" i="50"/>
  <c r="AC19" i="50"/>
  <c r="AH7" i="50"/>
  <c r="AH17" i="50"/>
  <c r="AG19" i="50"/>
  <c r="AH16" i="50"/>
  <c r="AI19" i="50"/>
  <c r="AH11" i="50"/>
  <c r="AN19" i="50"/>
  <c r="AM17" i="50"/>
  <c r="AM9" i="50"/>
  <c r="AM19" i="50" s="1"/>
  <c r="AQ19" i="50"/>
  <c r="AS19" i="50"/>
  <c r="AR10" i="50"/>
  <c r="AW15" i="50"/>
  <c r="AW7" i="50"/>
  <c r="AX19" i="50"/>
  <c r="AW11" i="50"/>
  <c r="AW10" i="50"/>
  <c r="AW9" i="50"/>
  <c r="BB7" i="50"/>
  <c r="BC19" i="50"/>
  <c r="BB10" i="50"/>
  <c r="BG16" i="50"/>
  <c r="BG15" i="50"/>
  <c r="BG13" i="50"/>
  <c r="BL16" i="50"/>
  <c r="BL10" i="50"/>
  <c r="BQ8" i="50"/>
  <c r="BQ16" i="50"/>
  <c r="BQ6" i="50"/>
  <c r="BQ14" i="50"/>
  <c r="BV8" i="50"/>
  <c r="BV14" i="50"/>
  <c r="CG8" i="50"/>
  <c r="CG14" i="50"/>
  <c r="CP19" i="50"/>
  <c r="CN19" i="50" s="1"/>
  <c r="CN17" i="50"/>
  <c r="CU14" i="50"/>
  <c r="CU8" i="50"/>
  <c r="BR19" i="50"/>
  <c r="BW19" i="50"/>
  <c r="AW19" i="50"/>
  <c r="BL14" i="50"/>
  <c r="BV15" i="50"/>
  <c r="I19" i="50"/>
  <c r="S19" i="50"/>
  <c r="BG8" i="50"/>
  <c r="BB19" i="50"/>
  <c r="BG9" i="50"/>
  <c r="BV9" i="50"/>
  <c r="DP13" i="50"/>
  <c r="DI19" i="50"/>
  <c r="BM19" i="50"/>
  <c r="BM7" i="50"/>
  <c r="BL7" i="50" s="1"/>
  <c r="BH8" i="50"/>
  <c r="BW12" i="50"/>
  <c r="BV12" i="50" s="1"/>
  <c r="DQ19" i="50"/>
  <c r="DR19" i="50" s="1"/>
  <c r="DP19" i="50" s="1"/>
  <c r="X6" i="50"/>
  <c r="BU6" i="50"/>
  <c r="BW9" i="50"/>
  <c r="BH14" i="50"/>
  <c r="BG14" i="50" s="1"/>
  <c r="BW15" i="50"/>
  <c r="BO19" i="50"/>
  <c r="AB19" i="50"/>
  <c r="AV19" i="50"/>
  <c r="BU10" i="50"/>
  <c r="BV10" i="50" s="1"/>
  <c r="BU16" i="50"/>
  <c r="BV16" i="50" s="1"/>
  <c r="D6" i="50"/>
  <c r="D19" i="50" s="1"/>
  <c r="CA6" i="50"/>
  <c r="CA19" i="50" s="1"/>
  <c r="BU7" i="50"/>
  <c r="BV7" i="50" s="1"/>
  <c r="BP11" i="50"/>
  <c r="BQ11" i="50" s="1"/>
  <c r="BP17" i="50"/>
  <c r="BQ17" i="50" s="1"/>
  <c r="AH6" i="50"/>
  <c r="AH19" i="50" s="1"/>
  <c r="BG6" i="50"/>
  <c r="BK9" i="50"/>
  <c r="BL9" i="50" s="1"/>
  <c r="BK15" i="50"/>
  <c r="BL15" i="50" s="1"/>
  <c r="M19" i="50"/>
  <c r="BA19" i="50"/>
  <c r="BE19" i="50"/>
  <c r="BL6" i="50"/>
  <c r="BP9" i="50"/>
  <c r="BQ9" i="50" s="1"/>
  <c r="R19" i="50"/>
  <c r="AL19" i="50"/>
  <c r="BF17" i="50"/>
  <c r="BG17" i="50" s="1"/>
  <c r="CV19" i="50"/>
  <c r="CW19" i="50" s="1"/>
  <c r="CU19" i="50" s="1"/>
  <c r="AR6" i="50"/>
  <c r="AR19" i="50" s="1"/>
  <c r="BF11" i="50"/>
  <c r="BG11" i="50" s="1"/>
  <c r="BK13" i="50"/>
  <c r="BL13" i="50" s="1"/>
  <c r="EY19" i="50" l="1"/>
  <c r="X19" i="50"/>
  <c r="BH19" i="50"/>
  <c r="BL19" i="50"/>
  <c r="BQ19" i="50"/>
  <c r="BK19" i="50"/>
  <c r="BG19" i="50"/>
  <c r="BU19" i="50"/>
  <c r="BV6" i="50"/>
  <c r="BV19" i="50" s="1"/>
  <c r="BP19" i="50"/>
  <c r="BF19" i="50"/>
  <c r="O67" i="46" l="1"/>
  <c r="O66" i="46"/>
  <c r="O65" i="46"/>
  <c r="O64" i="46"/>
  <c r="O63" i="46"/>
  <c r="N13" i="44"/>
  <c r="O45" i="45"/>
  <c r="O44" i="45"/>
  <c r="O43" i="45"/>
  <c r="N13" i="47"/>
  <c r="V67" i="48"/>
  <c r="U67" i="48"/>
  <c r="T67" i="48"/>
  <c r="S67" i="48"/>
  <c r="V66" i="48" l="1"/>
  <c r="U66" i="48"/>
  <c r="T66" i="48"/>
  <c r="S66" i="48"/>
  <c r="N12" i="47"/>
  <c r="E55" i="45"/>
  <c r="F55" i="45"/>
  <c r="G55" i="45"/>
  <c r="H55" i="45"/>
  <c r="I55" i="45"/>
  <c r="J55" i="45"/>
  <c r="K55" i="45"/>
  <c r="L55" i="45"/>
  <c r="M55" i="45"/>
  <c r="N55" i="45"/>
  <c r="O55" i="45"/>
  <c r="O41" i="45"/>
  <c r="O40" i="45"/>
  <c r="O39" i="45"/>
  <c r="N12" i="44"/>
  <c r="E81" i="46"/>
  <c r="F81" i="46"/>
  <c r="G81" i="46"/>
  <c r="H81" i="46"/>
  <c r="I81" i="46"/>
  <c r="J81" i="46"/>
  <c r="K81" i="46"/>
  <c r="L81" i="46"/>
  <c r="M81" i="46"/>
  <c r="N81" i="46"/>
  <c r="O81" i="46"/>
  <c r="O61" i="46"/>
  <c r="O60" i="46"/>
  <c r="O59" i="46"/>
  <c r="O58" i="46"/>
  <c r="O57" i="46"/>
  <c r="O55" i="46" l="1"/>
  <c r="O54" i="46"/>
  <c r="O53" i="46"/>
  <c r="O52" i="46"/>
  <c r="O51" i="46"/>
  <c r="N11" i="44"/>
  <c r="O37" i="45"/>
  <c r="O36" i="45"/>
  <c r="O35" i="45"/>
  <c r="N11" i="47"/>
  <c r="V65" i="48"/>
  <c r="U65" i="48"/>
  <c r="T65" i="48"/>
  <c r="S65" i="48"/>
  <c r="V64" i="48"/>
  <c r="U64" i="48"/>
  <c r="T64" i="48"/>
  <c r="S64" i="48"/>
  <c r="N10" i="47" l="1"/>
  <c r="O33" i="45"/>
  <c r="O32" i="45"/>
  <c r="O31" i="45"/>
  <c r="N10" i="44"/>
  <c r="O49" i="46"/>
  <c r="O48" i="46"/>
  <c r="O47" i="46"/>
  <c r="O46" i="46"/>
  <c r="O45" i="46"/>
  <c r="N9" i="47" l="1"/>
  <c r="O29" i="45"/>
  <c r="O28" i="45"/>
  <c r="O27" i="45"/>
  <c r="N9" i="44"/>
  <c r="O43" i="46"/>
  <c r="O42" i="46"/>
  <c r="O41" i="46"/>
  <c r="O40" i="46"/>
  <c r="O39" i="46"/>
  <c r="U3" i="48"/>
  <c r="V3" i="48"/>
  <c r="U4" i="48"/>
  <c r="V4" i="48"/>
  <c r="U5" i="48"/>
  <c r="V5" i="48"/>
  <c r="U6" i="48"/>
  <c r="V6" i="48"/>
  <c r="U7" i="48"/>
  <c r="V7" i="48"/>
  <c r="U8" i="48"/>
  <c r="V8" i="48"/>
  <c r="U9" i="48"/>
  <c r="V9" i="48"/>
  <c r="U10" i="48"/>
  <c r="V10" i="48"/>
  <c r="U11" i="48"/>
  <c r="V11" i="48"/>
  <c r="U12" i="48"/>
  <c r="V12" i="48"/>
  <c r="U13" i="48"/>
  <c r="V13" i="48"/>
  <c r="U14" i="48"/>
  <c r="V14" i="48"/>
  <c r="U15" i="48"/>
  <c r="V15" i="48"/>
  <c r="U16" i="48"/>
  <c r="V16" i="48"/>
  <c r="U17" i="48"/>
  <c r="V17" i="48"/>
  <c r="U18" i="48"/>
  <c r="V18" i="48"/>
  <c r="U19" i="48"/>
  <c r="V19" i="48"/>
  <c r="U20" i="48"/>
  <c r="V20" i="48"/>
  <c r="U21" i="48"/>
  <c r="V21" i="48"/>
  <c r="U22" i="48"/>
  <c r="V22" i="48"/>
  <c r="U23" i="48"/>
  <c r="V23" i="48"/>
  <c r="U24" i="48"/>
  <c r="V24" i="48"/>
  <c r="U25" i="48"/>
  <c r="V25" i="48"/>
  <c r="U26" i="48"/>
  <c r="V26" i="48"/>
  <c r="U27" i="48"/>
  <c r="V27" i="48"/>
  <c r="U28" i="48"/>
  <c r="V28" i="48"/>
  <c r="U29" i="48"/>
  <c r="V29" i="48"/>
  <c r="U30" i="48"/>
  <c r="V30" i="48"/>
  <c r="U31" i="48"/>
  <c r="V31" i="48"/>
  <c r="U32" i="48"/>
  <c r="V32" i="48"/>
  <c r="U33" i="48"/>
  <c r="V33" i="48"/>
  <c r="U34" i="48"/>
  <c r="V34" i="48"/>
  <c r="U35" i="48"/>
  <c r="V35" i="48"/>
  <c r="U36" i="48"/>
  <c r="V36" i="48"/>
  <c r="U37" i="48"/>
  <c r="V37" i="48"/>
  <c r="U38" i="48"/>
  <c r="V38" i="48"/>
  <c r="U39" i="48"/>
  <c r="V39" i="48"/>
  <c r="U40" i="48"/>
  <c r="V40" i="48"/>
  <c r="U41" i="48"/>
  <c r="V41" i="48"/>
  <c r="U42" i="48"/>
  <c r="V42" i="48"/>
  <c r="U43" i="48"/>
  <c r="V43" i="48"/>
  <c r="U44" i="48"/>
  <c r="V44" i="48"/>
  <c r="U45" i="48"/>
  <c r="V45" i="48"/>
  <c r="U46" i="48"/>
  <c r="V46" i="48"/>
  <c r="U47" i="48"/>
  <c r="V47" i="48"/>
  <c r="U48" i="48"/>
  <c r="V48" i="48"/>
  <c r="U49" i="48"/>
  <c r="V49" i="48"/>
  <c r="U50" i="48"/>
  <c r="V50" i="48"/>
  <c r="U51" i="48"/>
  <c r="V51" i="48"/>
  <c r="U52" i="48"/>
  <c r="V52" i="48"/>
  <c r="U53" i="48"/>
  <c r="V53" i="48"/>
  <c r="U54" i="48"/>
  <c r="V54" i="48"/>
  <c r="U55" i="48"/>
  <c r="V55" i="48"/>
  <c r="U56" i="48"/>
  <c r="V56" i="48"/>
  <c r="U57" i="48"/>
  <c r="V57" i="48"/>
  <c r="U58" i="48"/>
  <c r="V58" i="48"/>
  <c r="U59" i="48"/>
  <c r="V59" i="48"/>
  <c r="U60" i="48"/>
  <c r="V60" i="48"/>
  <c r="U61" i="48"/>
  <c r="V61" i="48"/>
  <c r="U62" i="48"/>
  <c r="V62" i="48"/>
  <c r="U63" i="48"/>
  <c r="V63" i="48"/>
  <c r="V2" i="48"/>
  <c r="U2" i="48"/>
  <c r="S2" i="48"/>
  <c r="S62" i="48"/>
  <c r="T63" i="48"/>
  <c r="S63" i="48"/>
  <c r="N8" i="47" l="1"/>
  <c r="O25" i="45"/>
  <c r="O24" i="45"/>
  <c r="O23" i="45"/>
  <c r="N8" i="44"/>
  <c r="O37" i="46"/>
  <c r="O36" i="46"/>
  <c r="O35" i="46"/>
  <c r="O34" i="46"/>
  <c r="O33" i="46"/>
  <c r="T62" i="48"/>
  <c r="N7" i="47" l="1"/>
  <c r="O21" i="45"/>
  <c r="O20" i="45"/>
  <c r="O19" i="45"/>
  <c r="N7" i="44"/>
  <c r="O31" i="46"/>
  <c r="O30" i="46"/>
  <c r="O29" i="46"/>
  <c r="O28" i="46"/>
  <c r="O27" i="46"/>
  <c r="T61" i="48"/>
  <c r="S61" i="48"/>
  <c r="T60" i="48" l="1"/>
  <c r="S60" i="48"/>
  <c r="N6" i="47"/>
  <c r="O17" i="45"/>
  <c r="O16" i="45"/>
  <c r="O15" i="45"/>
  <c r="N6" i="44"/>
  <c r="O25" i="46"/>
  <c r="O24" i="46"/>
  <c r="O23" i="46"/>
  <c r="O22" i="46"/>
  <c r="O21" i="46"/>
  <c r="N5" i="47" l="1"/>
  <c r="O13" i="45"/>
  <c r="O12" i="45"/>
  <c r="O11" i="45"/>
  <c r="T59" i="48" l="1"/>
  <c r="S59" i="48"/>
  <c r="O19" i="46" l="1"/>
  <c r="O18" i="46"/>
  <c r="O17" i="46"/>
  <c r="O16" i="46"/>
  <c r="O15" i="46"/>
  <c r="N5" i="44"/>
  <c r="N4" i="47" l="1"/>
  <c r="O9" i="45"/>
  <c r="O8" i="45"/>
  <c r="O7" i="45"/>
  <c r="N4" i="44"/>
  <c r="O13" i="46"/>
  <c r="O12" i="46"/>
  <c r="O11" i="46"/>
  <c r="O10" i="46"/>
  <c r="O9" i="46"/>
  <c r="T58" i="48"/>
  <c r="S58" i="48"/>
  <c r="N3" i="47" l="1"/>
  <c r="O5" i="45"/>
  <c r="O4" i="45"/>
  <c r="O3" i="45"/>
  <c r="O51" i="45"/>
  <c r="N3" i="44"/>
  <c r="O7" i="46"/>
  <c r="O6" i="46"/>
  <c r="O5" i="46"/>
  <c r="O4" i="46"/>
  <c r="O3" i="46"/>
  <c r="T57" i="48"/>
  <c r="S57" i="48"/>
  <c r="N15" i="44" l="1"/>
  <c r="O75" i="46"/>
  <c r="O76" i="46"/>
  <c r="O77" i="46"/>
  <c r="O78" i="46"/>
  <c r="O52" i="45"/>
  <c r="N15" i="47"/>
  <c r="M14" i="47"/>
  <c r="N49" i="45"/>
  <c r="N48" i="45"/>
  <c r="N47" i="45"/>
  <c r="M14" i="44"/>
  <c r="N73" i="46"/>
  <c r="N72" i="46"/>
  <c r="N71" i="46"/>
  <c r="N70" i="46"/>
  <c r="N69" i="46"/>
  <c r="T56" i="48"/>
  <c r="S56" i="48"/>
  <c r="O53" i="45" l="1"/>
  <c r="O79" i="46"/>
  <c r="N67" i="46"/>
  <c r="M13" i="47" l="1"/>
  <c r="N45" i="45"/>
  <c r="N44" i="45"/>
  <c r="N43" i="45"/>
  <c r="M13" i="44"/>
  <c r="N66" i="46" l="1"/>
  <c r="N65" i="46"/>
  <c r="N64" i="46"/>
  <c r="N63" i="46"/>
  <c r="T55" i="48"/>
  <c r="S55" i="48"/>
  <c r="M12" i="47" l="1"/>
  <c r="N41" i="45"/>
  <c r="N40" i="45"/>
  <c r="N39" i="45"/>
  <c r="N61" i="46"/>
  <c r="N60" i="46"/>
  <c r="N59" i="46"/>
  <c r="N58" i="46"/>
  <c r="N57" i="46"/>
  <c r="N51" i="46"/>
  <c r="N52" i="46"/>
  <c r="N53" i="46"/>
  <c r="N54" i="46"/>
  <c r="N55" i="46"/>
  <c r="M12" i="44"/>
  <c r="T54" i="48" l="1"/>
  <c r="S54" i="48"/>
  <c r="M11" i="47" l="1"/>
  <c r="N37" i="45"/>
  <c r="N36" i="45"/>
  <c r="N35" i="45"/>
  <c r="M11" i="44"/>
  <c r="T53" i="48" l="1"/>
  <c r="S53" i="48"/>
  <c r="M10" i="47" l="1"/>
  <c r="N33" i="45"/>
  <c r="N32" i="45"/>
  <c r="N31" i="45"/>
  <c r="N29" i="45"/>
  <c r="N28" i="45"/>
  <c r="N27" i="45"/>
  <c r="M10" i="44"/>
  <c r="N49" i="46"/>
  <c r="N48" i="46"/>
  <c r="N47" i="46"/>
  <c r="N46" i="46"/>
  <c r="N45" i="46"/>
  <c r="T52" i="48"/>
  <c r="S52" i="48"/>
  <c r="M9" i="47" l="1"/>
  <c r="M9" i="44"/>
  <c r="N43" i="46"/>
  <c r="N42" i="46"/>
  <c r="N41" i="46"/>
  <c r="N40" i="46"/>
  <c r="N39" i="46"/>
  <c r="T51" i="48"/>
  <c r="S51" i="48"/>
  <c r="M8" i="47" l="1"/>
  <c r="N25" i="45"/>
  <c r="N24" i="45"/>
  <c r="N23" i="45"/>
  <c r="M8" i="44"/>
  <c r="N37" i="46"/>
  <c r="N36" i="46"/>
  <c r="N35" i="46"/>
  <c r="N34" i="46"/>
  <c r="N33" i="46"/>
  <c r="T50" i="48"/>
  <c r="S50" i="48"/>
  <c r="T49" i="48"/>
  <c r="S49" i="48"/>
  <c r="N31" i="46" l="1"/>
  <c r="N30" i="46"/>
  <c r="N29" i="46"/>
  <c r="N28" i="46"/>
  <c r="N27" i="46"/>
  <c r="M7" i="44"/>
  <c r="N21" i="45"/>
  <c r="N20" i="45"/>
  <c r="N19" i="45"/>
  <c r="M7" i="47"/>
  <c r="T48" i="48" l="1"/>
  <c r="S48" i="48"/>
  <c r="M6" i="47"/>
  <c r="N17" i="45"/>
  <c r="N16" i="45"/>
  <c r="N15" i="45"/>
  <c r="M6" i="44"/>
  <c r="N25" i="46"/>
  <c r="N24" i="46"/>
  <c r="N23" i="46"/>
  <c r="N22" i="46"/>
  <c r="N21" i="46"/>
  <c r="M5" i="47" l="1"/>
  <c r="N13" i="45"/>
  <c r="N12" i="45"/>
  <c r="N11" i="45"/>
  <c r="M5" i="44"/>
  <c r="N19" i="46"/>
  <c r="N18" i="46"/>
  <c r="N17" i="46"/>
  <c r="N16" i="46"/>
  <c r="N15" i="46"/>
  <c r="T47" i="48"/>
  <c r="S47" i="48"/>
  <c r="M4" i="47" l="1"/>
  <c r="N9" i="45"/>
  <c r="N8" i="45"/>
  <c r="N7" i="45"/>
  <c r="M4" i="44"/>
  <c r="N13" i="46"/>
  <c r="N12" i="46"/>
  <c r="N11" i="46"/>
  <c r="N10" i="46"/>
  <c r="N9" i="46"/>
  <c r="T46" i="48"/>
  <c r="S46" i="48"/>
  <c r="M3" i="47" l="1"/>
  <c r="N17" i="47" s="1"/>
  <c r="M15" i="47" l="1"/>
  <c r="N5" i="45"/>
  <c r="O58" i="45" s="1"/>
  <c r="N4" i="45"/>
  <c r="O57" i="45" s="1"/>
  <c r="N3" i="45"/>
  <c r="O56" i="45" s="1"/>
  <c r="M3" i="44"/>
  <c r="N17" i="44" s="1"/>
  <c r="C7" i="46"/>
  <c r="C13" i="46"/>
  <c r="C19" i="46"/>
  <c r="C25" i="46"/>
  <c r="C31" i="46"/>
  <c r="C37" i="46"/>
  <c r="C43" i="46"/>
  <c r="C49" i="46"/>
  <c r="C55" i="46"/>
  <c r="C61" i="46"/>
  <c r="C67" i="46"/>
  <c r="C73" i="46"/>
  <c r="C75" i="46"/>
  <c r="C76" i="46"/>
  <c r="C77" i="46"/>
  <c r="C79" i="46" s="1"/>
  <c r="C78" i="46"/>
  <c r="N7" i="46"/>
  <c r="O86" i="46" s="1"/>
  <c r="N6" i="46"/>
  <c r="O85" i="46" s="1"/>
  <c r="N5" i="46"/>
  <c r="O84" i="46" s="1"/>
  <c r="N4" i="46"/>
  <c r="O83" i="46" s="1"/>
  <c r="N3" i="46"/>
  <c r="O82" i="46" s="1"/>
  <c r="T45" i="48"/>
  <c r="S45" i="48"/>
  <c r="N76" i="46" l="1"/>
  <c r="N78" i="46"/>
  <c r="M15" i="44"/>
  <c r="N51" i="45"/>
  <c r="N52" i="45"/>
  <c r="N75" i="46"/>
  <c r="N77" i="46"/>
  <c r="N53" i="45"/>
  <c r="L9" i="47"/>
  <c r="N79" i="46" l="1"/>
  <c r="M72" i="46"/>
  <c r="T44" i="48"/>
  <c r="S44" i="48"/>
  <c r="L14" i="47" l="1"/>
  <c r="M47" i="45"/>
  <c r="M49" i="45"/>
  <c r="M48" i="45"/>
  <c r="L14" i="44"/>
  <c r="M73" i="46" l="1"/>
  <c r="M71" i="46"/>
  <c r="M70" i="46"/>
  <c r="M69" i="46"/>
  <c r="L13" i="47" l="1"/>
  <c r="M45" i="45"/>
  <c r="M44" i="45"/>
  <c r="M43" i="45"/>
  <c r="L13" i="44"/>
  <c r="M67" i="46"/>
  <c r="M66" i="46"/>
  <c r="M65" i="46"/>
  <c r="M64" i="46"/>
  <c r="M63" i="46"/>
  <c r="T43" i="48"/>
  <c r="S43" i="48"/>
  <c r="L12" i="47" l="1"/>
  <c r="M41" i="45"/>
  <c r="M40" i="45"/>
  <c r="M39" i="45"/>
  <c r="L12" i="44"/>
  <c r="M61" i="46"/>
  <c r="M60" i="46"/>
  <c r="M59" i="46"/>
  <c r="M58" i="46"/>
  <c r="M57" i="46"/>
  <c r="T42" i="48"/>
  <c r="S42" i="48"/>
  <c r="L11" i="47" l="1"/>
  <c r="M37" i="45"/>
  <c r="M36" i="45"/>
  <c r="M35" i="45"/>
  <c r="L11" i="44"/>
  <c r="M55" i="46"/>
  <c r="M54" i="46"/>
  <c r="M53" i="46"/>
  <c r="M52" i="46"/>
  <c r="M51" i="46"/>
  <c r="T41" i="48"/>
  <c r="S41" i="48"/>
  <c r="M49" i="46" l="1"/>
  <c r="M48" i="46"/>
  <c r="M47" i="46"/>
  <c r="M46" i="46"/>
  <c r="M45" i="46"/>
  <c r="M33" i="45"/>
  <c r="M32" i="45"/>
  <c r="M31" i="45"/>
  <c r="L10" i="47"/>
  <c r="T40" i="48"/>
  <c r="S40" i="48"/>
  <c r="L10" i="44" l="1"/>
  <c r="T39" i="48" l="1"/>
  <c r="S39" i="48"/>
  <c r="M29" i="45"/>
  <c r="M28" i="45"/>
  <c r="M27" i="45"/>
  <c r="L9" i="44"/>
  <c r="M43" i="46"/>
  <c r="M42" i="46"/>
  <c r="M41" i="46"/>
  <c r="M40" i="46"/>
  <c r="M39" i="46"/>
  <c r="L8" i="47" l="1"/>
  <c r="M25" i="45"/>
  <c r="M24" i="45"/>
  <c r="M23" i="45"/>
  <c r="L8" i="44"/>
  <c r="M37" i="46"/>
  <c r="M36" i="46"/>
  <c r="M35" i="46"/>
  <c r="M34" i="46"/>
  <c r="M33" i="46"/>
  <c r="T38" i="48"/>
  <c r="S38" i="48"/>
  <c r="M31" i="46" l="1"/>
  <c r="M30" i="46"/>
  <c r="M29" i="46"/>
  <c r="M28" i="46"/>
  <c r="M27" i="46"/>
  <c r="L7" i="44"/>
  <c r="M21" i="45"/>
  <c r="M20" i="45"/>
  <c r="M19" i="45"/>
  <c r="L7" i="47"/>
  <c r="T37" i="48"/>
  <c r="S37" i="48"/>
  <c r="T36" i="48" l="1"/>
  <c r="S36" i="48"/>
  <c r="L6" i="47" l="1"/>
  <c r="M17" i="45"/>
  <c r="M16" i="45"/>
  <c r="M15" i="45"/>
  <c r="L6" i="44"/>
  <c r="M25" i="46"/>
  <c r="M24" i="46"/>
  <c r="M23" i="46"/>
  <c r="M22" i="46"/>
  <c r="M21" i="46"/>
  <c r="T35" i="48" l="1"/>
  <c r="S35" i="48"/>
  <c r="L5" i="47"/>
  <c r="M13" i="45"/>
  <c r="M12" i="45"/>
  <c r="M11" i="45"/>
  <c r="L5" i="44"/>
  <c r="M19" i="46"/>
  <c r="M18" i="46"/>
  <c r="M17" i="46"/>
  <c r="M16" i="46"/>
  <c r="M15" i="46"/>
  <c r="L4" i="47" l="1"/>
  <c r="M9" i="45"/>
  <c r="M8" i="45"/>
  <c r="M7" i="45"/>
  <c r="L4" i="44"/>
  <c r="M13" i="46"/>
  <c r="M12" i="46"/>
  <c r="M11" i="46"/>
  <c r="M10" i="46"/>
  <c r="M9" i="46"/>
  <c r="S34" i="48"/>
  <c r="T34" i="48"/>
  <c r="L3" i="47" l="1"/>
  <c r="M17" i="47" s="1"/>
  <c r="K3" i="47"/>
  <c r="M5" i="45"/>
  <c r="N58" i="45" s="1"/>
  <c r="M4" i="45"/>
  <c r="N57" i="45" s="1"/>
  <c r="M3" i="45"/>
  <c r="N56" i="45" s="1"/>
  <c r="B15" i="44"/>
  <c r="L3" i="44"/>
  <c r="M17" i="44" s="1"/>
  <c r="L15" i="44" l="1"/>
  <c r="M51" i="45"/>
  <c r="M52" i="45"/>
  <c r="L15" i="47"/>
  <c r="M7" i="46"/>
  <c r="M6" i="46"/>
  <c r="M5" i="46"/>
  <c r="M4" i="46"/>
  <c r="M3" i="46"/>
  <c r="S33" i="48"/>
  <c r="T33" i="48"/>
  <c r="M53" i="45" l="1"/>
  <c r="M75" i="46"/>
  <c r="N82" i="46" s="1"/>
  <c r="M76" i="46"/>
  <c r="N83" i="46" s="1"/>
  <c r="M77" i="46"/>
  <c r="N84" i="46" s="1"/>
  <c r="M78" i="46"/>
  <c r="N85" i="46" s="1"/>
  <c r="K14" i="47"/>
  <c r="L49" i="45"/>
  <c r="L48" i="45"/>
  <c r="L47" i="45"/>
  <c r="K14" i="44"/>
  <c r="L73" i="46"/>
  <c r="L72" i="46"/>
  <c r="L71" i="46"/>
  <c r="L70" i="46"/>
  <c r="L69" i="46"/>
  <c r="S32" i="48"/>
  <c r="T32" i="48"/>
  <c r="M79" i="46" l="1"/>
  <c r="N86" i="46" s="1"/>
  <c r="K13" i="47"/>
  <c r="L45" i="45"/>
  <c r="L44" i="45"/>
  <c r="L43" i="45"/>
  <c r="K13" i="44"/>
  <c r="L67" i="46"/>
  <c r="L66" i="46"/>
  <c r="L65" i="46"/>
  <c r="L64" i="46"/>
  <c r="L63" i="46"/>
  <c r="T31" i="48"/>
  <c r="S31" i="48"/>
  <c r="S29" i="48" l="1"/>
  <c r="T29" i="48"/>
  <c r="S30" i="48"/>
  <c r="T30" i="48"/>
  <c r="K12" i="47"/>
  <c r="L41" i="45"/>
  <c r="L40" i="45"/>
  <c r="L39" i="45"/>
  <c r="K12" i="44"/>
  <c r="L61" i="46"/>
  <c r="L60" i="46"/>
  <c r="L59" i="46"/>
  <c r="L58" i="46"/>
  <c r="L57" i="46"/>
  <c r="K11" i="47" l="1"/>
  <c r="L37" i="45"/>
  <c r="L36" i="45"/>
  <c r="L35" i="45"/>
  <c r="K11" i="44"/>
  <c r="L55" i="46"/>
  <c r="L54" i="46"/>
  <c r="L53" i="46"/>
  <c r="L52" i="46"/>
  <c r="L51" i="46"/>
  <c r="S28" i="48" l="1"/>
  <c r="T28" i="48"/>
  <c r="L49" i="46" l="1"/>
  <c r="L48" i="46"/>
  <c r="L47" i="46"/>
  <c r="L46" i="46"/>
  <c r="L45" i="46"/>
  <c r="K10" i="44"/>
  <c r="L33" i="45"/>
  <c r="L32" i="45"/>
  <c r="L31" i="45"/>
  <c r="K10" i="47" l="1"/>
  <c r="L29" i="45" l="1"/>
  <c r="L28" i="45"/>
  <c r="L27" i="45"/>
  <c r="K9" i="44"/>
  <c r="L43" i="46"/>
  <c r="L42" i="46"/>
  <c r="L41" i="46"/>
  <c r="L40" i="46"/>
  <c r="L39" i="46"/>
  <c r="S27" i="48"/>
  <c r="T27" i="48"/>
  <c r="S3" i="48" l="1"/>
  <c r="T3" i="48"/>
  <c r="S4" i="48"/>
  <c r="T4" i="48"/>
  <c r="S5" i="48"/>
  <c r="T5" i="48"/>
  <c r="S6" i="48"/>
  <c r="T6" i="48"/>
  <c r="S7" i="48"/>
  <c r="T7" i="48"/>
  <c r="S8" i="48"/>
  <c r="T8" i="48"/>
  <c r="S9" i="48"/>
  <c r="T9" i="48"/>
  <c r="S10" i="48"/>
  <c r="T10" i="48"/>
  <c r="S11" i="48"/>
  <c r="T11" i="48"/>
  <c r="S12" i="48"/>
  <c r="T12" i="48"/>
  <c r="S13" i="48"/>
  <c r="T13" i="48"/>
  <c r="S14" i="48"/>
  <c r="T14" i="48"/>
  <c r="S15" i="48"/>
  <c r="T15" i="48"/>
  <c r="S16" i="48"/>
  <c r="T16" i="48"/>
  <c r="S17" i="48"/>
  <c r="T17" i="48"/>
  <c r="S18" i="48"/>
  <c r="T18" i="48"/>
  <c r="S19" i="48"/>
  <c r="T19" i="48"/>
  <c r="S20" i="48"/>
  <c r="T20" i="48"/>
  <c r="S21" i="48"/>
  <c r="T21" i="48"/>
  <c r="S22" i="48"/>
  <c r="T22" i="48"/>
  <c r="S23" i="48"/>
  <c r="T23" i="48"/>
  <c r="S24" i="48"/>
  <c r="T24" i="48"/>
  <c r="S25" i="48"/>
  <c r="T25" i="48"/>
  <c r="S26" i="48"/>
  <c r="T26" i="48"/>
  <c r="T2" i="48"/>
  <c r="L25" i="45" l="1"/>
  <c r="L24" i="45"/>
  <c r="L23" i="45"/>
  <c r="K8" i="44"/>
  <c r="L37" i="46"/>
  <c r="L36" i="46"/>
  <c r="L35" i="46"/>
  <c r="L34" i="46"/>
  <c r="L33" i="46"/>
  <c r="L21" i="45" l="1"/>
  <c r="L20" i="45"/>
  <c r="L19" i="45"/>
  <c r="K7" i="44"/>
  <c r="L31" i="46"/>
  <c r="L30" i="46"/>
  <c r="L29" i="46"/>
  <c r="L28" i="46"/>
  <c r="L27" i="46"/>
  <c r="L17" i="45" l="1"/>
  <c r="L16" i="45"/>
  <c r="L15" i="45"/>
  <c r="K6" i="47"/>
  <c r="L25" i="46"/>
  <c r="L24" i="46"/>
  <c r="L23" i="46"/>
  <c r="L22" i="46"/>
  <c r="L21" i="46"/>
  <c r="K6" i="44" l="1"/>
  <c r="K5" i="47" l="1"/>
  <c r="L13" i="45"/>
  <c r="L12" i="45"/>
  <c r="L11" i="45"/>
  <c r="L19" i="46"/>
  <c r="L18" i="46"/>
  <c r="L17" i="46"/>
  <c r="L16" i="46"/>
  <c r="L15" i="46"/>
  <c r="K5" i="44" l="1"/>
  <c r="L13" i="46" l="1"/>
  <c r="L12" i="46"/>
  <c r="L11" i="46"/>
  <c r="L10" i="46"/>
  <c r="L9" i="46"/>
  <c r="L7" i="46"/>
  <c r="L6" i="46"/>
  <c r="L5" i="46"/>
  <c r="L4" i="46"/>
  <c r="L3" i="46"/>
  <c r="L75" i="46" s="1"/>
  <c r="M82" i="46" s="1"/>
  <c r="K4" i="47"/>
  <c r="L17" i="47" s="1"/>
  <c r="L9" i="45"/>
  <c r="L8" i="45"/>
  <c r="L5" i="45"/>
  <c r="L4" i="45"/>
  <c r="M57" i="45" s="1"/>
  <c r="L3" i="45"/>
  <c r="L7" i="45"/>
  <c r="K4" i="44"/>
  <c r="L51" i="45" l="1"/>
  <c r="M56" i="45"/>
  <c r="M58" i="45"/>
  <c r="K15" i="47"/>
  <c r="L52" i="45"/>
  <c r="K3" i="44"/>
  <c r="L76" i="46"/>
  <c r="M83" i="46" s="1"/>
  <c r="L78" i="46"/>
  <c r="M85" i="46" s="1"/>
  <c r="L77" i="46"/>
  <c r="M84" i="46" s="1"/>
  <c r="K15" i="44" l="1"/>
  <c r="L17" i="44"/>
  <c r="L53" i="45"/>
  <c r="L79" i="46"/>
  <c r="M86" i="46" s="1"/>
  <c r="J9" i="47"/>
  <c r="J10" i="47"/>
  <c r="J11" i="47"/>
  <c r="J12" i="47"/>
  <c r="J13" i="47"/>
  <c r="J14" i="47"/>
  <c r="J6" i="47"/>
  <c r="I14" i="47"/>
  <c r="I9" i="47"/>
  <c r="D77" i="46" l="1"/>
  <c r="D84" i="46" s="1"/>
  <c r="E77" i="46" l="1"/>
  <c r="F77" i="46"/>
  <c r="H78" i="46" l="1"/>
  <c r="H77" i="46"/>
  <c r="E84" i="46"/>
  <c r="F84" i="46"/>
  <c r="G78" i="46"/>
  <c r="G77" i="46"/>
  <c r="G84" i="46" s="1"/>
  <c r="I77" i="46"/>
  <c r="I84" i="46" s="1"/>
  <c r="J19" i="46"/>
  <c r="J25" i="46"/>
  <c r="J71" i="46"/>
  <c r="J65" i="46"/>
  <c r="J59" i="46"/>
  <c r="J53" i="46"/>
  <c r="J47" i="46"/>
  <c r="J42" i="46"/>
  <c r="J41" i="46"/>
  <c r="J36" i="46"/>
  <c r="J35" i="46"/>
  <c r="K71" i="46"/>
  <c r="K65" i="46"/>
  <c r="K59" i="46"/>
  <c r="K53" i="46"/>
  <c r="K47" i="46"/>
  <c r="K41" i="46"/>
  <c r="K35" i="46"/>
  <c r="K29" i="46"/>
  <c r="K23" i="46"/>
  <c r="K17" i="46"/>
  <c r="K11" i="46"/>
  <c r="K7" i="46"/>
  <c r="K6" i="46"/>
  <c r="K5" i="46"/>
  <c r="K4" i="46"/>
  <c r="K3" i="46"/>
  <c r="K77" i="46" l="1"/>
  <c r="H84" i="46"/>
  <c r="J77" i="46"/>
  <c r="J84" i="46" s="1"/>
  <c r="K84" i="46" l="1"/>
  <c r="L84" i="46"/>
  <c r="J4" i="47"/>
  <c r="J5" i="47"/>
  <c r="J7" i="47"/>
  <c r="J8" i="47"/>
  <c r="J3" i="47"/>
  <c r="K49" i="45"/>
  <c r="K48" i="45"/>
  <c r="K47" i="45"/>
  <c r="K45" i="45"/>
  <c r="K44" i="45"/>
  <c r="K43" i="45"/>
  <c r="K41" i="45"/>
  <c r="K40" i="45"/>
  <c r="K39" i="45"/>
  <c r="K37" i="45"/>
  <c r="K36" i="45"/>
  <c r="K35" i="45"/>
  <c r="K33" i="45"/>
  <c r="K32" i="45"/>
  <c r="K31" i="45"/>
  <c r="K29" i="45"/>
  <c r="K28" i="45"/>
  <c r="K27" i="45"/>
  <c r="K25" i="45"/>
  <c r="K24" i="45"/>
  <c r="K23" i="45"/>
  <c r="K21" i="45"/>
  <c r="K20" i="45"/>
  <c r="K19" i="45"/>
  <c r="K17" i="45"/>
  <c r="K16" i="45"/>
  <c r="K15" i="45"/>
  <c r="K13" i="45"/>
  <c r="K12" i="45"/>
  <c r="K11" i="45"/>
  <c r="K9" i="45"/>
  <c r="K8" i="45"/>
  <c r="K7" i="45"/>
  <c r="K5" i="45"/>
  <c r="K4" i="45"/>
  <c r="K3" i="45"/>
  <c r="J4" i="44"/>
  <c r="J5" i="44"/>
  <c r="J6" i="44"/>
  <c r="J7" i="44"/>
  <c r="J8" i="44"/>
  <c r="J10" i="44"/>
  <c r="J11" i="44"/>
  <c r="J12" i="44"/>
  <c r="J13" i="44"/>
  <c r="J14" i="44"/>
  <c r="J3" i="44"/>
  <c r="K73" i="46"/>
  <c r="K72" i="46"/>
  <c r="K70" i="46"/>
  <c r="K69" i="46"/>
  <c r="K67" i="46"/>
  <c r="K66" i="46"/>
  <c r="K64" i="46"/>
  <c r="K63" i="46"/>
  <c r="K61" i="46"/>
  <c r="K60" i="46"/>
  <c r="K58" i="46"/>
  <c r="K57" i="46"/>
  <c r="K55" i="46"/>
  <c r="K54" i="46"/>
  <c r="K52" i="46"/>
  <c r="K51" i="46"/>
  <c r="K49" i="46"/>
  <c r="K48" i="46"/>
  <c r="K46" i="46"/>
  <c r="K45" i="46"/>
  <c r="K43" i="46"/>
  <c r="K42" i="46"/>
  <c r="K40" i="46"/>
  <c r="K39" i="46"/>
  <c r="K37" i="46"/>
  <c r="K36" i="46"/>
  <c r="K34" i="46"/>
  <c r="K33" i="46"/>
  <c r="K31" i="46"/>
  <c r="K30" i="46"/>
  <c r="K28" i="46"/>
  <c r="K27" i="46"/>
  <c r="K25" i="46"/>
  <c r="K24" i="46"/>
  <c r="K22" i="46"/>
  <c r="K21" i="46"/>
  <c r="K19" i="46"/>
  <c r="K18" i="46"/>
  <c r="K16" i="46"/>
  <c r="K15" i="46"/>
  <c r="K13" i="46"/>
  <c r="K12" i="46"/>
  <c r="K10" i="46"/>
  <c r="K9" i="46"/>
  <c r="K17" i="44" l="1"/>
  <c r="L57" i="45"/>
  <c r="L58" i="45"/>
  <c r="L56" i="45"/>
  <c r="K17" i="47"/>
  <c r="K78" i="46"/>
  <c r="J15" i="44"/>
  <c r="J15" i="47"/>
  <c r="K52" i="45"/>
  <c r="K51" i="45"/>
  <c r="K75" i="46"/>
  <c r="K76" i="46"/>
  <c r="L85" i="46" l="1"/>
  <c r="L83" i="46"/>
  <c r="L82" i="46"/>
  <c r="K79" i="46"/>
  <c r="K53" i="45"/>
  <c r="J72" i="46"/>
  <c r="L86" i="46" l="1"/>
  <c r="J46" i="46"/>
  <c r="J7" i="46" l="1"/>
  <c r="J49" i="45" l="1"/>
  <c r="J45" i="45"/>
  <c r="J41" i="45"/>
  <c r="J37" i="45"/>
  <c r="J33" i="45"/>
  <c r="J48" i="45"/>
  <c r="J44" i="45"/>
  <c r="J40" i="45"/>
  <c r="J36" i="45"/>
  <c r="J32" i="45"/>
  <c r="J47" i="45"/>
  <c r="J43" i="45"/>
  <c r="J39" i="45"/>
  <c r="J35" i="45"/>
  <c r="J31" i="45"/>
  <c r="J73" i="46"/>
  <c r="J67" i="46"/>
  <c r="J61" i="46"/>
  <c r="J55" i="46"/>
  <c r="J66" i="46"/>
  <c r="J60" i="46"/>
  <c r="J54" i="46"/>
  <c r="J70" i="46"/>
  <c r="J64" i="46"/>
  <c r="J58" i="46"/>
  <c r="J52" i="46"/>
  <c r="J69" i="46"/>
  <c r="J63" i="46"/>
  <c r="J57" i="46"/>
  <c r="J51" i="46"/>
  <c r="J29" i="45" l="1"/>
  <c r="J28" i="45"/>
  <c r="J27" i="45"/>
  <c r="J49" i="46" l="1"/>
  <c r="J48" i="46"/>
  <c r="J33" i="46"/>
  <c r="J45" i="46"/>
  <c r="J78" i="46" l="1"/>
  <c r="K85" i="46" s="1"/>
  <c r="I10" i="47"/>
  <c r="I11" i="47"/>
  <c r="I12" i="47"/>
  <c r="I13" i="47"/>
  <c r="I8" i="47"/>
  <c r="J25" i="45"/>
  <c r="J24" i="45"/>
  <c r="K57" i="45" s="1"/>
  <c r="J23" i="45"/>
  <c r="K56" i="45" s="1"/>
  <c r="I11" i="44"/>
  <c r="I12" i="44"/>
  <c r="I13" i="44"/>
  <c r="I14" i="44"/>
  <c r="I10" i="44"/>
  <c r="I9" i="44"/>
  <c r="J43" i="46"/>
  <c r="J40" i="46"/>
  <c r="J39" i="46"/>
  <c r="J75" i="46" s="1"/>
  <c r="K82" i="46" s="1"/>
  <c r="J37" i="46"/>
  <c r="J34" i="46"/>
  <c r="I8" i="44"/>
  <c r="J17" i="47" l="1"/>
  <c r="J17" i="44"/>
  <c r="J76" i="46"/>
  <c r="K83" i="46" s="1"/>
  <c r="I15" i="47"/>
  <c r="J21" i="45"/>
  <c r="J79" i="46" l="1"/>
  <c r="K86" i="46" s="1"/>
  <c r="J31" i="46"/>
  <c r="J52" i="45" l="1"/>
  <c r="J17" i="45"/>
  <c r="J13" i="46" l="1"/>
  <c r="J5" i="45" l="1"/>
  <c r="K58" i="45" s="1"/>
  <c r="J51" i="45"/>
  <c r="I15" i="44"/>
  <c r="J53" i="45" l="1"/>
  <c r="I37" i="45" l="1"/>
  <c r="H15" i="47" l="1"/>
  <c r="I17" i="47" s="1"/>
  <c r="I52" i="45"/>
  <c r="J57" i="45" s="1"/>
  <c r="I51" i="45"/>
  <c r="J56" i="45" s="1"/>
  <c r="I49" i="45"/>
  <c r="I45" i="45"/>
  <c r="I41" i="45"/>
  <c r="I33" i="45"/>
  <c r="I29" i="45"/>
  <c r="I25" i="45"/>
  <c r="I21" i="45"/>
  <c r="I17" i="45"/>
  <c r="I13" i="45"/>
  <c r="I9" i="45"/>
  <c r="I5" i="45"/>
  <c r="H15" i="44"/>
  <c r="I17" i="44" s="1"/>
  <c r="I78" i="46"/>
  <c r="J85" i="46" s="1"/>
  <c r="I76" i="46"/>
  <c r="J83" i="46" s="1"/>
  <c r="I75" i="46"/>
  <c r="J82" i="46" s="1"/>
  <c r="I73" i="46"/>
  <c r="I67" i="46"/>
  <c r="I61" i="46"/>
  <c r="I55" i="46"/>
  <c r="I49" i="46"/>
  <c r="I43" i="46"/>
  <c r="I37" i="46"/>
  <c r="I31" i="46"/>
  <c r="I25" i="46"/>
  <c r="I19" i="46"/>
  <c r="I13" i="46"/>
  <c r="I7" i="46"/>
  <c r="I79" i="46" l="1"/>
  <c r="J86" i="46" s="1"/>
  <c r="I53" i="45"/>
  <c r="J58" i="45" s="1"/>
  <c r="I85" i="46"/>
  <c r="H52" i="45" l="1"/>
  <c r="I57" i="45" l="1"/>
  <c r="H75" i="46"/>
  <c r="H76" i="46"/>
  <c r="H79" i="46" l="1"/>
  <c r="I83" i="46"/>
  <c r="I86" i="46"/>
  <c r="I82" i="46"/>
  <c r="G15" i="47"/>
  <c r="F15" i="47"/>
  <c r="E15" i="47"/>
  <c r="D15" i="47"/>
  <c r="C15" i="47"/>
  <c r="B15" i="47"/>
  <c r="H85" i="46"/>
  <c r="F78" i="46"/>
  <c r="E78" i="46"/>
  <c r="D78" i="46"/>
  <c r="D85" i="46" s="1"/>
  <c r="G76" i="46"/>
  <c r="H83" i="46" s="1"/>
  <c r="F76" i="46"/>
  <c r="E76" i="46"/>
  <c r="D76" i="46"/>
  <c r="D83" i="46" s="1"/>
  <c r="G75" i="46"/>
  <c r="F75" i="46"/>
  <c r="E75" i="46"/>
  <c r="D75" i="46"/>
  <c r="D82" i="46" s="1"/>
  <c r="H73" i="46"/>
  <c r="G73" i="46"/>
  <c r="F73" i="46"/>
  <c r="E73" i="46"/>
  <c r="D73" i="46"/>
  <c r="H67" i="46"/>
  <c r="G67" i="46"/>
  <c r="F67" i="46"/>
  <c r="E67" i="46"/>
  <c r="D67" i="46"/>
  <c r="H61" i="46"/>
  <c r="G61" i="46"/>
  <c r="F61" i="46"/>
  <c r="E61" i="46"/>
  <c r="D61" i="46"/>
  <c r="H55" i="46"/>
  <c r="G55" i="46"/>
  <c r="F55" i="46"/>
  <c r="E55" i="46"/>
  <c r="D55" i="46"/>
  <c r="H49" i="46"/>
  <c r="G49" i="46"/>
  <c r="F49" i="46"/>
  <c r="E49" i="46"/>
  <c r="D49" i="46"/>
  <c r="H43" i="46"/>
  <c r="G43" i="46"/>
  <c r="F43" i="46"/>
  <c r="E43" i="46"/>
  <c r="D43" i="46"/>
  <c r="H37" i="46"/>
  <c r="G37" i="46"/>
  <c r="F37" i="46"/>
  <c r="E37" i="46"/>
  <c r="D37" i="46"/>
  <c r="H31" i="46"/>
  <c r="G31" i="46"/>
  <c r="F31" i="46"/>
  <c r="E31" i="46"/>
  <c r="D31" i="46"/>
  <c r="H25" i="46"/>
  <c r="G25" i="46"/>
  <c r="F25" i="46"/>
  <c r="E25" i="46"/>
  <c r="D25" i="46"/>
  <c r="H19" i="46"/>
  <c r="G19" i="46"/>
  <c r="F19" i="46"/>
  <c r="E19" i="46"/>
  <c r="D19" i="46"/>
  <c r="H13" i="46"/>
  <c r="G13" i="46"/>
  <c r="F13" i="46"/>
  <c r="E13" i="46"/>
  <c r="D13" i="46"/>
  <c r="H7" i="46"/>
  <c r="G7" i="46"/>
  <c r="F7" i="46"/>
  <c r="E7" i="46"/>
  <c r="D7" i="46"/>
  <c r="G52" i="45"/>
  <c r="H57" i="45" s="1"/>
  <c r="F52" i="45"/>
  <c r="E52" i="45"/>
  <c r="D52" i="45"/>
  <c r="C52" i="45"/>
  <c r="H51" i="45"/>
  <c r="G51" i="45"/>
  <c r="F51" i="45"/>
  <c r="E51" i="45"/>
  <c r="D51" i="45"/>
  <c r="C51" i="45"/>
  <c r="H49" i="45"/>
  <c r="G49" i="45"/>
  <c r="F49" i="45"/>
  <c r="E49" i="45"/>
  <c r="D49" i="45"/>
  <c r="C49" i="45"/>
  <c r="H45" i="45"/>
  <c r="G45" i="45"/>
  <c r="F45" i="45"/>
  <c r="E45" i="45"/>
  <c r="D45" i="45"/>
  <c r="C45" i="45"/>
  <c r="H41" i="45"/>
  <c r="G41" i="45"/>
  <c r="F41" i="45"/>
  <c r="E41" i="45"/>
  <c r="D41" i="45"/>
  <c r="C41" i="45"/>
  <c r="H37" i="45"/>
  <c r="G37" i="45"/>
  <c r="F37" i="45"/>
  <c r="E37" i="45"/>
  <c r="D37" i="45"/>
  <c r="C37" i="45"/>
  <c r="H33" i="45"/>
  <c r="G33" i="45"/>
  <c r="F33" i="45"/>
  <c r="E33" i="45"/>
  <c r="D33" i="45"/>
  <c r="C33" i="45"/>
  <c r="H29" i="45"/>
  <c r="G29" i="45"/>
  <c r="F29" i="45"/>
  <c r="E29" i="45"/>
  <c r="D29" i="45"/>
  <c r="C29" i="45"/>
  <c r="H25" i="45"/>
  <c r="G25" i="45"/>
  <c r="F25" i="45"/>
  <c r="E25" i="45"/>
  <c r="D25" i="45"/>
  <c r="C25" i="45"/>
  <c r="H21" i="45"/>
  <c r="G21" i="45"/>
  <c r="F21" i="45"/>
  <c r="E21" i="45"/>
  <c r="D21" i="45"/>
  <c r="C21" i="45"/>
  <c r="H17" i="45"/>
  <c r="G17" i="45"/>
  <c r="F17" i="45"/>
  <c r="E17" i="45"/>
  <c r="D17" i="45"/>
  <c r="C17" i="45"/>
  <c r="H13" i="45"/>
  <c r="G13" i="45"/>
  <c r="F13" i="45"/>
  <c r="E13" i="45"/>
  <c r="D13" i="45"/>
  <c r="C13" i="45"/>
  <c r="H9" i="45"/>
  <c r="G9" i="45"/>
  <c r="F9" i="45"/>
  <c r="E9" i="45"/>
  <c r="D9" i="45"/>
  <c r="C9" i="45"/>
  <c r="H5" i="45"/>
  <c r="G5" i="45"/>
  <c r="F5" i="45"/>
  <c r="E5" i="45"/>
  <c r="D5" i="45"/>
  <c r="C5" i="45"/>
  <c r="G15" i="44"/>
  <c r="F15" i="44"/>
  <c r="E15" i="44"/>
  <c r="D15" i="44"/>
  <c r="C15" i="44"/>
  <c r="C17" i="47" l="1"/>
  <c r="D17" i="47"/>
  <c r="E17" i="47"/>
  <c r="F17" i="47"/>
  <c r="G17" i="47"/>
  <c r="H17" i="47"/>
  <c r="G17" i="44"/>
  <c r="H17" i="44"/>
  <c r="C53" i="45"/>
  <c r="H56" i="45"/>
  <c r="I56" i="45"/>
  <c r="H82" i="46"/>
  <c r="G79" i="46"/>
  <c r="H86" i="46" s="1"/>
  <c r="F79" i="46"/>
  <c r="E53" i="45"/>
  <c r="G53" i="45"/>
  <c r="G56" i="45"/>
  <c r="H53" i="45"/>
  <c r="D17" i="44"/>
  <c r="F17" i="44"/>
  <c r="E17" i="44"/>
  <c r="C17" i="44"/>
  <c r="G82" i="46"/>
  <c r="F83" i="46"/>
  <c r="E82" i="46"/>
  <c r="E85" i="46"/>
  <c r="G85" i="46"/>
  <c r="F82" i="46"/>
  <c r="E83" i="46"/>
  <c r="G83" i="46"/>
  <c r="F85" i="46"/>
  <c r="E79" i="46"/>
  <c r="D79" i="46"/>
  <c r="D86" i="46" s="1"/>
  <c r="D56" i="45"/>
  <c r="F56" i="45"/>
  <c r="E57" i="45"/>
  <c r="G57" i="45"/>
  <c r="D57" i="45"/>
  <c r="F57" i="45"/>
  <c r="D53" i="45"/>
  <c r="F53" i="45"/>
  <c r="E56" i="45"/>
  <c r="F58" i="45" l="1"/>
  <c r="D58" i="45"/>
  <c r="H58" i="45"/>
  <c r="I58" i="45"/>
  <c r="F86" i="46"/>
  <c r="E86" i="46"/>
  <c r="G86" i="46"/>
  <c r="G58" i="45"/>
  <c r="E58" i="45"/>
</calcChain>
</file>

<file path=xl/sharedStrings.xml><?xml version="1.0" encoding="utf-8"?>
<sst xmlns="http://schemas.openxmlformats.org/spreadsheetml/2006/main" count="391" uniqueCount="62">
  <si>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</si>
  <si>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</si>
  <si>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</si>
  <si>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</si>
  <si>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</si>
  <si>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</si>
  <si>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</si>
  <si>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</si>
  <si>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</si>
  <si>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</si>
  <si>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</si>
  <si>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</si>
  <si>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</si>
  <si>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Container</t>
  </si>
  <si>
    <t>Breakbulk</t>
  </si>
  <si>
    <t>Total TEUs</t>
  </si>
  <si>
    <t>% Change</t>
  </si>
  <si>
    <t>Ship Calls*</t>
  </si>
  <si>
    <t>Export Loads</t>
  </si>
  <si>
    <t>Import Loads</t>
  </si>
  <si>
    <t>TEUs</t>
  </si>
  <si>
    <t>Total General Cargo</t>
  </si>
  <si>
    <t>Date</t>
  </si>
  <si>
    <t>Total Containers</t>
  </si>
  <si>
    <t>Ship Calls</t>
  </si>
  <si>
    <t>Export Empties</t>
  </si>
  <si>
    <t>Import Empties</t>
  </si>
  <si>
    <t>*Does not include Layberth</t>
  </si>
  <si>
    <t>Export Container Tonnage</t>
  </si>
  <si>
    <t>Import Container Tonnage</t>
  </si>
  <si>
    <t>Export Breakbulk Tonnage</t>
  </si>
  <si>
    <t>Import Breakbulk Tonnage</t>
  </si>
  <si>
    <t>Domestic Breakbulk Tonnage</t>
  </si>
  <si>
    <t>Export %</t>
  </si>
  <si>
    <t>Import %</t>
  </si>
  <si>
    <t>Export Tonnage %</t>
  </si>
  <si>
    <t>Import Tonnage %</t>
  </si>
  <si>
    <t>Total Loads</t>
  </si>
  <si>
    <t>Total Empties</t>
  </si>
  <si>
    <t>1995</t>
  </si>
  <si>
    <t>1996</t>
  </si>
  <si>
    <t>1997</t>
  </si>
  <si>
    <t>1998</t>
  </si>
  <si>
    <t>1999</t>
  </si>
  <si>
    <t>2000</t>
  </si>
  <si>
    <t>Rail</t>
  </si>
  <si>
    <t>Truck</t>
  </si>
  <si>
    <t>Barge</t>
  </si>
  <si>
    <t>Rail %</t>
  </si>
  <si>
    <t>Truck %</t>
  </si>
  <si>
    <t>Barge %</t>
  </si>
  <si>
    <t>20'</t>
  </si>
  <si>
    <t>40'</t>
  </si>
  <si>
    <t>45'</t>
  </si>
  <si>
    <t>Totals</t>
  </si>
  <si>
    <t>Export</t>
  </si>
  <si>
    <t>Import</t>
  </si>
  <si>
    <t>TEU Volume</t>
  </si>
  <si>
    <t>Container Volume</t>
  </si>
  <si>
    <t>Container Volume by Mode</t>
  </si>
  <si>
    <t>General Cargo Tonnage (Short Tons)</t>
  </si>
  <si>
    <t>TEU Volume Breakdown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</si>
</sst>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"/>
  </numFmts>
  <fonts count="13" x14ac:knownFonts="1">
    <font>
      <sz val="12"/>
      <name val="Arial"/>
    </font>
    <font>
      <sz val="10"/>
      <name val="Arial"/>
      <family val="2"/>
    </font>
    <font>
      <sz val="12"/>
      <name val="Arial"/>
      <family val="2"/>
    </font>
    <font>
      <b/>
      <sz val="28"/>
      <color theme="3"/>
      <name val="Arial"/>
      <family val="2"/>
    </font>
    <font>
      <sz val="12"/>
      <color theme="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i/>
      <sz val="12"/>
      <name val="Arial"/>
      <family val="2"/>
    </font>
    <font>
      <u/>
      <sz val="12"/>
      <name val="Arial"/>
      <family val="2"/>
    </font>
    <font>
      <b/>
      <sz val="26"/>
      <color theme="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22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31">
    <xf numFmtId="0" fontId="0" fillId="0" borderId="0" xfId="0"/>
    <xf numFmtId="0" fontId="2" fillId="0" borderId="0" xfId="0" applyFont="1" applyFill="1"/>
    <xf numFmtId="0" fontId="3" fillId="0" borderId="0" xfId="0" applyFont="1" applyAlignment="1" applyProtection="1">
      <alignment vertical="center"/>
    </xf>
    <xf numFmtId="0" fontId="2" fillId="0" borderId="0" xfId="0" applyFont="1"/>
    <xf numFmtId="0" fontId="4" fillId="3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right" vertical="center"/>
    </xf>
    <xf numFmtId="0" fontId="5" fillId="3" borderId="0" xfId="0" applyFont="1" applyFill="1" applyAlignment="1" applyProtection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right"/>
    </xf>
    <xf numFmtId="165" fontId="2" fillId="0" borderId="0" xfId="1" applyNumberFormat="1" applyFont="1" applyAlignment="1" applyProtection="1"/>
    <xf numFmtId="165" fontId="2" fillId="0" borderId="0" xfId="1" applyNumberFormat="1" applyFont="1"/>
    <xf numFmtId="165" fontId="2" fillId="2" borderId="0" xfId="1" applyNumberFormat="1" applyFont="1" applyFill="1" applyAlignment="1" applyProtection="1"/>
    <xf numFmtId="165" fontId="2" fillId="0" borderId="0" xfId="0" applyNumberFormat="1" applyFont="1" applyAlignment="1" applyProtection="1"/>
    <xf numFmtId="0" fontId="4" fillId="3" borderId="0" xfId="0" applyFont="1" applyFill="1" applyProtection="1"/>
    <xf numFmtId="0" fontId="4" fillId="3" borderId="0" xfId="0" applyFont="1" applyFill="1" applyAlignment="1" applyProtection="1">
      <alignment horizontal="right"/>
    </xf>
    <xf numFmtId="165" fontId="5" fillId="3" borderId="0" xfId="1" applyNumberFormat="1" applyFont="1" applyFill="1" applyAlignment="1" applyProtection="1">
      <alignment horizontal="right" vertical="center"/>
    </xf>
    <xf numFmtId="165" fontId="5" fillId="3" borderId="0" xfId="0" applyNumberFormat="1" applyFont="1" applyFill="1" applyAlignment="1" applyProtection="1">
      <alignment horizontal="right" vertical="center"/>
    </xf>
    <xf numFmtId="165" fontId="2" fillId="0" borderId="0" xfId="1" applyNumberFormat="1" applyFont="1" applyAlignment="1" applyProtection="1">
      <alignment horizontal="center"/>
    </xf>
    <xf numFmtId="165" fontId="2" fillId="0" borderId="0" xfId="1" applyNumberFormat="1" applyFont="1" applyAlignment="1" applyProtection="1">
      <alignment horizontal="left"/>
    </xf>
    <xf numFmtId="165" fontId="2" fillId="2" borderId="0" xfId="0" applyNumberFormat="1" applyFont="1" applyFill="1" applyAlignment="1" applyProtection="1"/>
    <xf numFmtId="165" fontId="2" fillId="0" borderId="0" xfId="0" applyNumberFormat="1" applyFont="1" applyFill="1" applyAlignment="1" applyProtection="1"/>
    <xf numFmtId="165" fontId="2" fillId="0" borderId="0" xfId="1" applyNumberFormat="1" applyFont="1" applyAlignment="1" applyProtection="1">
      <alignment horizontal="centerContinuous"/>
    </xf>
    <xf numFmtId="37" fontId="7" fillId="0" borderId="0" xfId="0" applyNumberFormat="1" applyFont="1" applyProtection="1"/>
    <xf numFmtId="165" fontId="7" fillId="0" borderId="0" xfId="1" applyNumberFormat="1" applyFont="1" applyProtection="1"/>
    <xf numFmtId="165" fontId="7" fillId="0" borderId="0" xfId="0" applyNumberFormat="1" applyFont="1" applyAlignment="1" applyProtection="1"/>
    <xf numFmtId="165" fontId="7" fillId="0" borderId="0" xfId="1" applyNumberFormat="1" applyFont="1" applyAlignment="1" applyProtection="1"/>
    <xf numFmtId="0" fontId="2" fillId="0" borderId="0" xfId="0" applyFont="1" applyAlignment="1">
      <alignment horizontal="right"/>
    </xf>
    <xf numFmtId="0" fontId="2" fillId="0" borderId="0" xfId="0" applyFont="1" applyBorder="1"/>
    <xf numFmtId="0" fontId="2" fillId="4" borderId="0" xfId="0" applyFont="1" applyFill="1" applyBorder="1"/>
    <xf numFmtId="0" fontId="2" fillId="4" borderId="0" xfId="0" applyFont="1" applyFill="1" applyBorder="1" applyAlignment="1" applyProtection="1">
      <alignment horizontal="right"/>
    </xf>
    <xf numFmtId="164" fontId="7" fillId="4" borderId="0" xfId="2" applyNumberFormat="1" applyFont="1" applyFill="1" applyBorder="1" applyAlignment="1" applyProtection="1">
      <alignment horizontal="right"/>
    </xf>
    <xf numFmtId="164" fontId="7" fillId="4" borderId="0" xfId="2" applyNumberFormat="1" applyFont="1" applyFill="1" applyBorder="1" applyAlignment="1">
      <alignment horizontal="right"/>
    </xf>
    <xf numFmtId="164" fontId="2" fillId="0" borderId="0" xfId="2" applyNumberFormat="1" applyFont="1"/>
    <xf numFmtId="0" fontId="6" fillId="0" borderId="0" xfId="0" applyFont="1" applyAlignment="1" applyProtection="1">
      <alignment horizontal="right"/>
    </xf>
    <xf numFmtId="165" fontId="2" fillId="0" borderId="0" xfId="1" applyNumberFormat="1" applyFont="1" applyAlignment="1" applyProtection="1">
      <alignment horizontal="right"/>
    </xf>
    <xf numFmtId="37" fontId="2" fillId="0" borderId="0" xfId="0" applyNumberFormat="1" applyFont="1"/>
    <xf numFmtId="165" fontId="2" fillId="0" borderId="0" xfId="0" applyNumberFormat="1" applyFont="1"/>
    <xf numFmtId="37" fontId="2" fillId="0" borderId="0" xfId="0" applyNumberFormat="1" applyFont="1" applyAlignment="1">
      <alignment horizontal="center"/>
    </xf>
    <xf numFmtId="37" fontId="2" fillId="0" borderId="0" xfId="0" applyNumberFormat="1" applyFont="1" applyAlignment="1" applyProtection="1">
      <alignment horizontal="right"/>
    </xf>
    <xf numFmtId="165" fontId="2" fillId="0" borderId="0" xfId="1" applyNumberFormat="1" applyFont="1" applyFill="1" applyAlignment="1" applyProtection="1">
      <alignment horizontal="right"/>
    </xf>
    <xf numFmtId="0" fontId="8" fillId="0" borderId="0" xfId="0" applyFont="1" applyProtection="1"/>
    <xf numFmtId="164" fontId="7" fillId="0" borderId="0" xfId="0" applyNumberFormat="1" applyFont="1" applyProtection="1"/>
    <xf numFmtId="10" fontId="7" fillId="0" borderId="0" xfId="0" applyNumberFormat="1" applyFont="1" applyProtection="1"/>
    <xf numFmtId="0" fontId="7" fillId="0" borderId="0" xfId="0" applyFont="1"/>
    <xf numFmtId="0" fontId="7" fillId="0" borderId="0" xfId="0" applyFont="1" applyProtection="1"/>
    <xf numFmtId="0" fontId="2" fillId="0" borderId="0" xfId="0" applyFont="1" applyAlignment="1">
      <alignment horizontal="center"/>
    </xf>
    <xf numFmtId="37" fontId="2" fillId="0" borderId="0" xfId="0" applyNumberFormat="1" applyFont="1" applyProtection="1"/>
    <xf numFmtId="165" fontId="2" fillId="0" borderId="0" xfId="0" applyNumberFormat="1" applyFont="1" applyProtection="1"/>
    <xf numFmtId="165" fontId="2" fillId="0" borderId="0" xfId="1" applyNumberFormat="1" applyFont="1" applyFill="1" applyAlignment="1" applyProtection="1"/>
    <xf numFmtId="165" fontId="2" fillId="0" borderId="0" xfId="0" applyNumberFormat="1" applyFont="1" applyFill="1" applyProtection="1"/>
    <xf numFmtId="165" fontId="7" fillId="0" borderId="0" xfId="0" applyNumberFormat="1" applyFont="1" applyProtection="1"/>
    <xf numFmtId="0" fontId="2" fillId="4" borderId="0" xfId="0" applyFont="1" applyFill="1" applyBorder="1" applyAlignment="1" applyProtection="1">
      <alignment horizontal="right"/>
      <protection locked="0"/>
    </xf>
    <xf numFmtId="164" fontId="7" fillId="4" borderId="0" xfId="2" applyNumberFormat="1" applyFont="1" applyFill="1" applyBorder="1" applyProtection="1">
      <protection locked="0"/>
    </xf>
    <xf numFmtId="10" fontId="7" fillId="4" borderId="0" xfId="2" applyNumberFormat="1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165" fontId="2" fillId="0" borderId="0" xfId="1" applyNumberFormat="1" applyFont="1" applyAlignment="1">
      <alignment horizontal="right"/>
    </xf>
    <xf numFmtId="165" fontId="2" fillId="0" borderId="0" xfId="1" applyNumberFormat="1" applyFont="1" applyFill="1" applyAlignment="1">
      <alignment horizontal="right"/>
    </xf>
    <xf numFmtId="37" fontId="7" fillId="0" borderId="0" xfId="0" applyNumberFormat="1" applyFont="1" applyAlignment="1" applyProtection="1">
      <alignment horizontal="right"/>
    </xf>
    <xf numFmtId="0" fontId="4" fillId="5" borderId="0" xfId="0" applyFont="1" applyFill="1" applyAlignment="1" applyProtection="1">
      <alignment horizontal="center"/>
    </xf>
    <xf numFmtId="0" fontId="9" fillId="5" borderId="0" xfId="0" applyFont="1" applyFill="1" applyAlignment="1" applyProtection="1">
      <alignment horizontal="right" vertical="center"/>
    </xf>
    <xf numFmtId="0" fontId="7" fillId="0" borderId="0" xfId="0" applyFont="1" applyAlignment="1" applyProtection="1">
      <alignment horizontal="right"/>
    </xf>
    <xf numFmtId="0" fontId="10" fillId="0" borderId="0" xfId="0" applyFont="1" applyProtection="1"/>
    <xf numFmtId="0" fontId="9" fillId="3" borderId="0" xfId="0" applyFont="1" applyFill="1" applyAlignment="1" applyProtection="1">
      <alignment horizontal="center" vertical="center"/>
    </xf>
    <xf numFmtId="0" fontId="9" fillId="3" borderId="0" xfId="0" applyFont="1" applyFill="1" applyAlignment="1" applyProtection="1">
      <alignment horizontal="right" vertical="center"/>
    </xf>
    <xf numFmtId="1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4" borderId="0" xfId="0" applyFont="1" applyFill="1" applyBorder="1" applyAlignment="1" applyProtection="1">
      <alignment wrapText="1"/>
      <protection locked="0"/>
    </xf>
    <xf numFmtId="0" fontId="9" fillId="3" borderId="0" xfId="0" applyFont="1" applyFill="1" applyBorder="1" applyAlignment="1" applyProtection="1">
      <alignment horizontal="right" vertical="center"/>
    </xf>
    <xf numFmtId="0" fontId="4" fillId="5" borderId="0" xfId="0" applyFont="1" applyFill="1" applyBorder="1" applyAlignment="1" applyProtection="1">
      <alignment horizontal="right"/>
    </xf>
    <xf numFmtId="0" fontId="9" fillId="5" borderId="0" xfId="0" applyFont="1" applyFill="1" applyBorder="1" applyAlignment="1" applyProtection="1">
      <alignment horizontal="right" vertical="center"/>
    </xf>
    <xf numFmtId="0" fontId="2" fillId="0" borderId="0" xfId="0" applyFont="1" applyProtection="1"/>
    <xf numFmtId="0" fontId="9" fillId="3" borderId="1" xfId="0" applyFont="1" applyFill="1" applyBorder="1" applyAlignment="1" applyProtection="1">
      <alignment horizontal="left" vertical="center"/>
    </xf>
    <xf numFmtId="0" fontId="9" fillId="3" borderId="1" xfId="0" applyFont="1" applyFill="1" applyBorder="1" applyAlignment="1" applyProtection="1">
      <alignment horizontal="right" vertical="center"/>
    </xf>
    <xf numFmtId="10" fontId="2" fillId="0" borderId="0" xfId="2" applyNumberFormat="1" applyFont="1"/>
    <xf numFmtId="43" fontId="2" fillId="0" borderId="0" xfId="1" applyFont="1"/>
    <xf numFmtId="0" fontId="2" fillId="0" borderId="0" xfId="0" applyFont="1" applyAlignment="1" applyProtection="1">
      <alignment horizontal="centerContinuous"/>
    </xf>
    <xf numFmtId="0" fontId="7" fillId="0" borderId="0" xfId="0" applyFont="1" applyAlignment="1" applyProtection="1">
      <alignment horizontal="centerContinuous"/>
    </xf>
    <xf numFmtId="0" fontId="11" fillId="0" borderId="0" xfId="0" applyFont="1" applyProtection="1"/>
    <xf numFmtId="0" fontId="7" fillId="0" borderId="5" xfId="0" applyFont="1" applyBorder="1" applyAlignment="1" applyProtection="1">
      <alignment horizontal="center"/>
    </xf>
    <xf numFmtId="0" fontId="7" fillId="0" borderId="0" xfId="0" applyFont="1" applyBorder="1" applyAlignment="1" applyProtection="1">
      <alignment horizontal="center"/>
    </xf>
    <xf numFmtId="0" fontId="7" fillId="0" borderId="6" xfId="0" applyFont="1" applyBorder="1" applyAlignment="1" applyProtection="1">
      <alignment horizontal="center"/>
    </xf>
    <xf numFmtId="0" fontId="7" fillId="0" borderId="5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6" xfId="0" applyFont="1" applyBorder="1" applyAlignment="1" applyProtection="1">
      <alignment horizontal="right"/>
    </xf>
    <xf numFmtId="37" fontId="2" fillId="0" borderId="0" xfId="0" applyNumberFormat="1" applyFont="1" applyBorder="1" applyProtection="1"/>
    <xf numFmtId="9" fontId="2" fillId="0" borderId="0" xfId="0" applyNumberFormat="1" applyFont="1" applyBorder="1" applyProtection="1"/>
    <xf numFmtId="37" fontId="2" fillId="0" borderId="5" xfId="0" applyNumberFormat="1" applyFont="1" applyBorder="1" applyProtection="1"/>
    <xf numFmtId="9" fontId="2" fillId="0" borderId="6" xfId="0" applyNumberFormat="1" applyFont="1" applyBorder="1" applyProtection="1"/>
    <xf numFmtId="164" fontId="2" fillId="0" borderId="0" xfId="0" applyNumberFormat="1" applyFont="1" applyBorder="1" applyProtection="1"/>
    <xf numFmtId="164" fontId="2" fillId="0" borderId="6" xfId="0" applyNumberFormat="1" applyFont="1" applyBorder="1" applyProtection="1"/>
    <xf numFmtId="37" fontId="2" fillId="0" borderId="0" xfId="0" applyNumberFormat="1" applyFont="1" applyFill="1" applyBorder="1" applyProtection="1"/>
    <xf numFmtId="37" fontId="2" fillId="0" borderId="7" xfId="0" applyNumberFormat="1" applyFont="1" applyBorder="1" applyProtection="1"/>
    <xf numFmtId="37" fontId="2" fillId="0" borderId="8" xfId="0" applyNumberFormat="1" applyFont="1" applyBorder="1" applyProtection="1"/>
    <xf numFmtId="9" fontId="2" fillId="0" borderId="8" xfId="0" applyNumberFormat="1" applyFont="1" applyBorder="1" applyProtection="1"/>
    <xf numFmtId="9" fontId="2" fillId="0" borderId="9" xfId="0" applyNumberFormat="1" applyFont="1" applyBorder="1" applyProtection="1"/>
    <xf numFmtId="164" fontId="2" fillId="0" borderId="8" xfId="0" applyNumberFormat="1" applyFont="1" applyBorder="1" applyProtection="1"/>
    <xf numFmtId="164" fontId="2" fillId="0" borderId="9" xfId="0" applyNumberFormat="1" applyFont="1" applyBorder="1" applyProtection="1"/>
    <xf numFmtId="9" fontId="2" fillId="0" borderId="0" xfId="0" applyNumberFormat="1" applyFont="1" applyBorder="1"/>
    <xf numFmtId="9" fontId="2" fillId="0" borderId="0" xfId="0" applyNumberFormat="1" applyFont="1"/>
    <xf numFmtId="9" fontId="7" fillId="0" borderId="0" xfId="0" applyNumberFormat="1" applyFont="1" applyProtection="1"/>
    <xf numFmtId="9" fontId="7" fillId="0" borderId="0" xfId="0" applyNumberFormat="1" applyFont="1" applyAlignment="1" applyProtection="1">
      <alignment horizontal="right"/>
    </xf>
    <xf numFmtId="9" fontId="7" fillId="0" borderId="0" xfId="0" applyNumberFormat="1" applyFont="1" applyBorder="1" applyAlignment="1" applyProtection="1">
      <alignment horizontal="right"/>
    </xf>
    <xf numFmtId="37" fontId="7" fillId="0" borderId="0" xfId="0" applyNumberFormat="1" applyFont="1" applyBorder="1" applyAlignment="1" applyProtection="1">
      <alignment horizontal="right"/>
    </xf>
    <xf numFmtId="0" fontId="7" fillId="0" borderId="0" xfId="0" applyFont="1" applyAlignment="1">
      <alignment horizontal="right"/>
    </xf>
    <xf numFmtId="164" fontId="7" fillId="0" borderId="0" xfId="0" applyNumberFormat="1" applyFont="1" applyAlignment="1" applyProtection="1">
      <alignment horizontal="right"/>
    </xf>
    <xf numFmtId="164" fontId="7" fillId="0" borderId="0" xfId="0" applyNumberFormat="1" applyFont="1" applyBorder="1" applyAlignment="1" applyProtection="1">
      <alignment horizontal="right"/>
    </xf>
    <xf numFmtId="165" fontId="7" fillId="0" borderId="0" xfId="1" applyNumberFormat="1" applyFont="1" applyBorder="1" applyAlignment="1" applyProtection="1">
      <alignment horizontal="right"/>
    </xf>
    <xf numFmtId="0" fontId="7" fillId="0" borderId="0" xfId="0" applyFont="1" applyAlignment="1" applyProtection="1">
      <alignment horizontal="center"/>
    </xf>
    <xf numFmtId="0" fontId="12" fillId="0" borderId="0" xfId="0" applyFont="1" applyAlignment="1" applyProtection="1"/>
    <xf numFmtId="0" fontId="12" fillId="0" borderId="0" xfId="0" applyFont="1" applyBorder="1" applyAlignment="1" applyProtection="1"/>
    <xf numFmtId="0" fontId="3" fillId="0" borderId="0" xfId="0" applyFont="1" applyBorder="1" applyAlignment="1" applyProtection="1"/>
    <xf numFmtId="0" fontId="5" fillId="3" borderId="0" xfId="0" applyNumberFormat="1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5" fillId="3" borderId="0" xfId="0" applyFont="1" applyFill="1" applyBorder="1" applyAlignment="1" applyProtection="1">
      <alignment horizontal="right" vertical="center"/>
    </xf>
    <xf numFmtId="43" fontId="2" fillId="0" borderId="0" xfId="1" applyNumberFormat="1" applyFont="1" applyProtection="1"/>
    <xf numFmtId="0" fontId="2" fillId="0" borderId="0" xfId="0" quotePrefix="1" applyFont="1" applyAlignment="1" applyProtection="1">
      <alignment horizontal="right"/>
    </xf>
    <xf numFmtId="43" fontId="2" fillId="0" borderId="8" xfId="1" applyNumberFormat="1" applyFont="1" applyBorder="1" applyProtection="1"/>
    <xf numFmtId="43" fontId="7" fillId="0" borderId="0" xfId="1" applyNumberFormat="1" applyFont="1" applyProtection="1"/>
    <xf numFmtId="43" fontId="7" fillId="0" borderId="8" xfId="1" applyNumberFormat="1" applyFont="1" applyBorder="1" applyProtection="1"/>
    <xf numFmtId="0" fontId="2" fillId="0" borderId="8" xfId="0" quotePrefix="1" applyFont="1" applyBorder="1" applyAlignment="1" applyProtection="1">
      <alignment horizontal="right"/>
    </xf>
    <xf numFmtId="166" fontId="2" fillId="0" borderId="0" xfId="2" applyNumberFormat="1" applyFont="1"/>
    <xf numFmtId="43" fontId="2" fillId="0" borderId="0" xfId="1" applyNumberFormat="1" applyFont="1" applyAlignment="1" applyProtection="1"/>
    <xf numFmtId="43" fontId="7" fillId="0" borderId="0" xfId="0" applyNumberFormat="1" applyFont="1" applyAlignment="1" applyProtection="1"/>
    <xf numFmtId="4" fontId="2" fillId="0" borderId="0" xfId="0" applyNumberFormat="1" applyFont="1"/>
    <xf numFmtId="4" fontId="2" fillId="0" borderId="0" xfId="0" applyNumberFormat="1" applyFont="1" applyBorder="1"/>
    <xf numFmtId="4" fontId="2" fillId="0" borderId="8" xfId="0" applyNumberFormat="1" applyFont="1" applyBorder="1"/>
    <xf numFmtId="43" fontId="2" fillId="0" borderId="0" xfId="0" applyNumberFormat="1" applyFont="1"/>
    <xf numFmtId="0" fontId="9" fillId="3" borderId="0" xfId="0" applyFont="1" applyFill="1" applyBorder="1" applyAlignment="1" applyProtection="1">
      <alignment horizontal="left" vertic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 applyProtection="1">
      <alignment horizontal="center" vertical="center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142875</xdr:rowOff>
    </xdr:from>
    <xdr:to>
      <xdr:col>1</xdr:col>
      <xdr:colOff>694532</xdr:colOff>
      <xdr:row>0</xdr:row>
      <xdr:rowOff>715471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42875"/>
          <a:ext cx="1456532" cy="5725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127000</xdr:rowOff>
    </xdr:from>
    <xdr:to>
      <xdr:col>4</xdr:col>
      <xdr:colOff>623094</xdr:colOff>
      <xdr:row>0</xdr:row>
      <xdr:rowOff>699596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127000"/>
          <a:ext cx="1456532" cy="5725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150813</xdr:colOff>
      <xdr:row>0</xdr:row>
      <xdr:rowOff>142875</xdr:rowOff>
    </xdr:from>
    <xdr:to>
      <xdr:col>1</xdr:col>
      <xdr:colOff>1075532</xdr:colOff>
      <xdr:row>0</xdr:row>
      <xdr:rowOff>715471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813" y="142875"/>
          <a:ext cx="1456532" cy="5725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79375</xdr:colOff>
      <xdr:row>0</xdr:row>
      <xdr:rowOff>111125</xdr:rowOff>
    </xdr:from>
    <xdr:to>
      <xdr:col>3</xdr:col>
      <xdr:colOff>591344</xdr:colOff>
      <xdr:row>0</xdr:row>
      <xdr:rowOff>683721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75" y="111125"/>
          <a:ext cx="1456532" cy="5725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100853</xdr:colOff>
      <xdr:row>0</xdr:row>
      <xdr:rowOff>102455</xdr:rowOff>
    </xdr:from>
    <xdr:to>
      <xdr:col>1</xdr:col>
      <xdr:colOff>300990</xdr:colOff>
      <xdr:row>0</xdr:row>
      <xdr:rowOff>598672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3" y="102455"/>
          <a:ext cx="1415527" cy="4962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54429</xdr:colOff>
      <xdr:row>0</xdr:row>
      <xdr:rowOff>119744</xdr:rowOff>
    </xdr:from>
    <xdr:to>
      <xdr:col>144</xdr:col>
      <xdr:colOff>729344</xdr:colOff>
      <xdr:row>0</xdr:row>
      <xdr:rowOff>686535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29" y="119744"/>
          <a:ext cx="1404258" cy="566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POV2015">
  <a:themeElements>
    <a:clrScheme name="Port of Virginia">
      <a:dk1>
        <a:sysClr val="windowText" lastClr="000000"/>
      </a:dk1>
      <a:lt1>
        <a:sysClr val="window" lastClr="FFFFFF"/>
      </a:lt1>
      <a:dk2>
        <a:srgbClr val="003C5B"/>
      </a:dk2>
      <a:lt2>
        <a:srgbClr val="939598"/>
      </a:lt2>
      <a:accent1>
        <a:srgbClr val="00ADBB"/>
      </a:accent1>
      <a:accent2>
        <a:srgbClr val="003C5B"/>
      </a:accent2>
      <a:accent3>
        <a:srgbClr val="8D7249"/>
      </a:accent3>
      <a:accent4>
        <a:srgbClr val="7F56C6"/>
      </a:accent4>
      <a:accent5>
        <a:srgbClr val="70D549"/>
      </a:accent5>
      <a:accent6>
        <a:srgbClr val="FF6700"/>
      </a:accent6>
      <a:hlink>
        <a:srgbClr val="00ADBB"/>
      </a:hlink>
      <a:folHlink>
        <a:srgbClr val="7F56C6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POV Theme" id="{BDDA1052-64BF-4ABA-8F37-3D4918EEC709}" vid="{6B9F5CA8-7ACB-4431-9090-2ECC795B81F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Q102"/>
  <sheetViews>
    <sheetView showGridLines="0" tabSelected="1" defaultGridColor="0" colorId="9" zoomScale="70" zoomScaleNormal="70" zoomScalePageLayoutView="7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11.453125" defaultRowHeight="15" x14ac:dyDescent="0.25"/>
  <cols>
    <col min="1" max="1" width="10.90625" style="1" customWidth="1"/>
    <col min="2" max="2" width="15" style="26" customWidth="1"/>
    <col min="3" max="3" width="14.6328125" style="3" hidden="1" customWidth="1"/>
    <col min="4" max="5" width="14.81640625" style="3" hidden="1" customWidth="1"/>
    <col min="6" max="9" width="14.81640625" style="3" customWidth="1"/>
    <col min="10" max="10" width="15" style="26" customWidth="1"/>
    <col min="11" max="12" width="14.81640625" style="3" customWidth="1"/>
    <col min="13" max="13" width="11.54296875" style="3" customWidth="1"/>
    <col min="14" max="14" width="11.453125" style="3"/>
    <col min="15" max="16" width="13.08984375" style="3" bestFit="1" customWidth="1"/>
    <col min="17" max="16384" width="11.453125" style="3"/>
  </cols>
  <sheetData>
    <row r="1" spans="1:16" ht="64.95" customHeight="1" x14ac:dyDescent="0.25">
      <c r="B1" s="2"/>
      <c r="E1" s="2"/>
      <c r="F1" s="2" t="s">
        <v>57</v>
      </c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s="7" customFormat="1" ht="21.75" customHeight="1" x14ac:dyDescent="0.25">
      <c r="A2" s="4"/>
      <c r="B2" s="5"/>
      <c r="C2" s="63">
        <v>2009</v>
      </c>
      <c r="D2" s="63">
        <v>2010</v>
      </c>
      <c r="E2" s="63">
        <v>2011</v>
      </c>
      <c r="F2" s="63">
        <v>2012</v>
      </c>
      <c r="G2" s="63">
        <v>2013</v>
      </c>
      <c r="H2" s="63">
        <v>2014</v>
      </c>
      <c r="I2" s="63">
        <v>2015</v>
      </c>
      <c r="J2" s="63">
        <v>2016</v>
      </c>
      <c r="K2" s="63">
        <v>2017</v>
      </c>
      <c r="L2" s="63">
        <v>2018</v>
      </c>
      <c r="M2" s="63">
        <v>2019</v>
      </c>
      <c r="N2" s="63">
        <v>2020</v>
      </c>
      <c r="O2" s="63">
        <v>2021</v>
      </c>
      <c r="P2" s="63">
        <v>2022</v>
      </c>
    </row>
    <row r="3" spans="1:16" ht="19.95" customHeight="1" x14ac:dyDescent="0.3">
      <c r="A3" s="44" t="s">
        <v>1</v>
      </c>
      <c r="B3" s="8" t="s">
        <v>18</v>
      </c>
      <c r="C3" s="9">
        <v>54809</v>
      </c>
      <c r="D3" s="9">
        <v>64664</v>
      </c>
      <c r="E3" s="9">
        <v>71433</v>
      </c>
      <c r="F3" s="9">
        <v>69867</v>
      </c>
      <c r="G3" s="10">
        <v>72685.25</v>
      </c>
      <c r="H3" s="9">
        <v>78065</v>
      </c>
      <c r="I3" s="9">
        <v>83349.25</v>
      </c>
      <c r="J3" s="9">
        <v>76359.75</v>
      </c>
      <c r="K3" s="9">
        <f>Data!B9</f>
        <v>89766.5</v>
      </c>
      <c r="L3" s="9">
        <f>Data!$B21</f>
        <v>76293.5</v>
      </c>
      <c r="M3" s="9">
        <f>Data!$B33</f>
        <v>77948.25</v>
      </c>
      <c r="N3" s="9">
        <f>Data!$B45</f>
        <v>79328</v>
      </c>
      <c r="O3" s="9">
        <f>Data!$B57</f>
        <v>84688</v>
      </c>
      <c r="P3" s="9">
        <f>Data!$B69</f>
        <v>69589.25</v>
      </c>
    </row>
    <row r="4" spans="1:16" ht="19.95" customHeight="1" x14ac:dyDescent="0.3">
      <c r="A4" s="44"/>
      <c r="B4" s="8" t="s">
        <v>19</v>
      </c>
      <c r="C4" s="9">
        <v>55634</v>
      </c>
      <c r="D4" s="9">
        <v>51330</v>
      </c>
      <c r="E4" s="9">
        <v>64939</v>
      </c>
      <c r="F4" s="9">
        <v>62271</v>
      </c>
      <c r="G4" s="9">
        <v>62405</v>
      </c>
      <c r="H4" s="9">
        <v>69836</v>
      </c>
      <c r="I4" s="9">
        <v>79732.75</v>
      </c>
      <c r="J4" s="11">
        <v>84185.5</v>
      </c>
      <c r="K4" s="9">
        <f>Data!C9</f>
        <v>101301.5</v>
      </c>
      <c r="L4" s="9">
        <f>Data!$C21</f>
        <v>104149.75</v>
      </c>
      <c r="M4" s="9">
        <f>Data!$C33</f>
        <v>109756.5</v>
      </c>
      <c r="N4" s="9">
        <f>Data!$C45</f>
        <v>108884</v>
      </c>
      <c r="O4" s="9">
        <f>Data!$C57</f>
        <v>130776.75</v>
      </c>
      <c r="P4" s="9">
        <f>Data!$C69</f>
        <v>127596.75</v>
      </c>
    </row>
    <row r="5" spans="1:16" ht="19.95" customHeight="1" x14ac:dyDescent="0.3">
      <c r="A5" s="44"/>
      <c r="B5" s="8" t="s">
        <v>25</v>
      </c>
      <c r="C5" s="9">
        <v>21532</v>
      </c>
      <c r="D5" s="9">
        <v>10705</v>
      </c>
      <c r="E5" s="11">
        <v>11648</v>
      </c>
      <c r="F5" s="9">
        <v>13559</v>
      </c>
      <c r="G5" s="9">
        <v>12171.75</v>
      </c>
      <c r="H5" s="9">
        <v>12731.75</v>
      </c>
      <c r="I5" s="9">
        <v>23108.25</v>
      </c>
      <c r="J5" s="11">
        <v>26786</v>
      </c>
      <c r="K5" s="9">
        <f>Data!E9</f>
        <v>31465.5</v>
      </c>
      <c r="L5" s="9">
        <f>Data!$E21</f>
        <v>37882.5</v>
      </c>
      <c r="M5" s="9">
        <f>Data!$E33</f>
        <v>50537.75</v>
      </c>
      <c r="N5" s="9">
        <f>Data!$E45</f>
        <v>36655.5</v>
      </c>
      <c r="O5" s="9">
        <f>Data!$E57</f>
        <v>54730</v>
      </c>
      <c r="P5" s="9">
        <f>Data!$E69</f>
        <v>61714.75</v>
      </c>
    </row>
    <row r="6" spans="1:16" ht="19.95" customHeight="1" x14ac:dyDescent="0.3">
      <c r="A6" s="44"/>
      <c r="B6" s="8" t="s">
        <v>26</v>
      </c>
      <c r="C6" s="9">
        <v>6019</v>
      </c>
      <c r="D6" s="9">
        <v>17398</v>
      </c>
      <c r="E6" s="11">
        <v>11245</v>
      </c>
      <c r="F6" s="9">
        <v>8602.75</v>
      </c>
      <c r="G6" s="10">
        <v>11504.25</v>
      </c>
      <c r="H6" s="12">
        <v>6638.75</v>
      </c>
      <c r="I6" s="12">
        <v>5805.75</v>
      </c>
      <c r="J6" s="12">
        <v>5513</v>
      </c>
      <c r="K6" s="9">
        <f>Data!F9</f>
        <v>5982.5</v>
      </c>
      <c r="L6" s="9">
        <f>Data!$F21</f>
        <v>2208</v>
      </c>
      <c r="M6" s="9">
        <f>Data!$F33</f>
        <v>1868</v>
      </c>
      <c r="N6" s="9">
        <f>Data!$F45</f>
        <v>2366</v>
      </c>
      <c r="O6" s="9">
        <f>Data!$F57</f>
        <v>774</v>
      </c>
      <c r="P6" s="9">
        <f>Data!$F69</f>
        <v>3119</v>
      </c>
    </row>
    <row r="7" spans="1:16" ht="19.95" customHeight="1" x14ac:dyDescent="0.3">
      <c r="A7" s="44"/>
      <c r="B7" s="8" t="s">
        <v>15</v>
      </c>
      <c r="C7" s="12">
        <f t="shared" ref="C7" si="0">SUM(C3:C6)</f>
        <v>137994</v>
      </c>
      <c r="D7" s="12">
        <f>SUM(D3:D6)</f>
        <v>144097</v>
      </c>
      <c r="E7" s="12">
        <f>SUM(E3:E6)</f>
        <v>159265</v>
      </c>
      <c r="F7" s="12">
        <f>SUM(F3:F6)</f>
        <v>154299.75</v>
      </c>
      <c r="G7" s="9">
        <f>SUM(G3:G6)</f>
        <v>158766.25</v>
      </c>
      <c r="H7" s="12">
        <f>SUM(H3:H6)</f>
        <v>167271.5</v>
      </c>
      <c r="I7" s="12">
        <f t="shared" ref="I7" si="1">SUM(I3:I6)</f>
        <v>191996</v>
      </c>
      <c r="J7" s="12">
        <f>SUM(J3:J6)</f>
        <v>192844.25</v>
      </c>
      <c r="K7" s="12">
        <f>Data!H9</f>
        <v>228516</v>
      </c>
      <c r="L7" s="12">
        <f>Data!$H21</f>
        <v>220533.75</v>
      </c>
      <c r="M7" s="12">
        <f>Data!$H33</f>
        <v>240110.5</v>
      </c>
      <c r="N7" s="12">
        <f>Data!$H45</f>
        <v>227233.5</v>
      </c>
      <c r="O7" s="12">
        <f>Data!$H57</f>
        <v>270968.75</v>
      </c>
      <c r="P7" s="12">
        <f>Data!$H69</f>
        <v>262019.75</v>
      </c>
    </row>
    <row r="8" spans="1:16" ht="19.95" customHeight="1" x14ac:dyDescent="0.25">
      <c r="A8" s="13"/>
      <c r="B8" s="14"/>
      <c r="C8" s="13"/>
      <c r="D8" s="13"/>
      <c r="E8" s="13"/>
      <c r="F8" s="13"/>
      <c r="G8" s="15"/>
      <c r="H8" s="6"/>
      <c r="I8" s="6"/>
      <c r="J8" s="16"/>
      <c r="K8" s="6"/>
      <c r="L8" s="6"/>
      <c r="M8" s="6"/>
      <c r="N8" s="6"/>
      <c r="O8" s="6"/>
      <c r="P8" s="6"/>
    </row>
    <row r="9" spans="1:16" ht="19.95" customHeight="1" x14ac:dyDescent="0.3">
      <c r="A9" s="44" t="s">
        <v>2</v>
      </c>
      <c r="B9" s="8" t="s">
        <v>18</v>
      </c>
      <c r="C9" s="17">
        <v>58763</v>
      </c>
      <c r="D9" s="17">
        <v>72858</v>
      </c>
      <c r="E9" s="17">
        <v>67183</v>
      </c>
      <c r="F9" s="17">
        <v>75707.75</v>
      </c>
      <c r="G9" s="10">
        <v>79139</v>
      </c>
      <c r="H9" s="9">
        <v>81435.5</v>
      </c>
      <c r="I9" s="9">
        <v>76149.5</v>
      </c>
      <c r="J9" s="9">
        <v>82064.75</v>
      </c>
      <c r="K9" s="9">
        <f>Data!B10</f>
        <v>85826.5</v>
      </c>
      <c r="L9" s="9">
        <f>Data!$B22</f>
        <v>82103.75</v>
      </c>
      <c r="M9" s="9">
        <f>Data!$B34</f>
        <v>76641.75</v>
      </c>
      <c r="N9" s="9">
        <f>Data!$B46</f>
        <v>80834</v>
      </c>
      <c r="O9" s="9">
        <f>Data!$B58</f>
        <v>87466.25</v>
      </c>
      <c r="P9" s="9">
        <f>Data!$B70</f>
        <v>88582</v>
      </c>
    </row>
    <row r="10" spans="1:16" ht="19.95" customHeight="1" x14ac:dyDescent="0.3">
      <c r="A10" s="44"/>
      <c r="B10" s="8" t="s">
        <v>19</v>
      </c>
      <c r="C10" s="17">
        <v>55223</v>
      </c>
      <c r="D10" s="17">
        <v>60737</v>
      </c>
      <c r="E10" s="17">
        <v>61659</v>
      </c>
      <c r="F10" s="17">
        <v>62751.75</v>
      </c>
      <c r="G10" s="9">
        <v>68595</v>
      </c>
      <c r="H10" s="9">
        <v>77646.5</v>
      </c>
      <c r="I10" s="9">
        <v>76846.25</v>
      </c>
      <c r="J10" s="11">
        <v>99882.75</v>
      </c>
      <c r="K10" s="9">
        <f>Data!C10</f>
        <v>96921.25</v>
      </c>
      <c r="L10" s="9">
        <f>Data!$C22</f>
        <v>100367.75</v>
      </c>
      <c r="M10" s="9">
        <f>Data!$C34</f>
        <v>105356.75</v>
      </c>
      <c r="N10" s="9">
        <f>Data!$C46</f>
        <v>97559</v>
      </c>
      <c r="O10" s="9">
        <f>Data!$C58</f>
        <v>110274.25</v>
      </c>
      <c r="P10" s="9">
        <f>Data!$C70</f>
        <v>143475.5</v>
      </c>
    </row>
    <row r="11" spans="1:16" ht="19.95" customHeight="1" x14ac:dyDescent="0.3">
      <c r="A11" s="44"/>
      <c r="B11" s="8" t="s">
        <v>25</v>
      </c>
      <c r="C11" s="17">
        <v>11786</v>
      </c>
      <c r="D11" s="17">
        <v>9442</v>
      </c>
      <c r="E11" s="17">
        <v>14368</v>
      </c>
      <c r="F11" s="17">
        <v>9976</v>
      </c>
      <c r="G11" s="9">
        <v>12404</v>
      </c>
      <c r="H11" s="9">
        <v>13725.5</v>
      </c>
      <c r="I11" s="9">
        <v>17263.5</v>
      </c>
      <c r="J11" s="11">
        <v>35020.75</v>
      </c>
      <c r="K11" s="9">
        <f>Data!E10</f>
        <v>30437</v>
      </c>
      <c r="L11" s="9">
        <f>Data!$E22</f>
        <v>34156</v>
      </c>
      <c r="M11" s="9">
        <f>Data!$E34</f>
        <v>44037.75</v>
      </c>
      <c r="N11" s="9">
        <f>Data!$E46</f>
        <v>27917.5</v>
      </c>
      <c r="O11" s="9">
        <f>Data!$E58</f>
        <v>48493.5</v>
      </c>
      <c r="P11" s="9">
        <f>Data!$E70</f>
        <v>58880.5</v>
      </c>
    </row>
    <row r="12" spans="1:16" ht="19.95" customHeight="1" x14ac:dyDescent="0.3">
      <c r="A12" s="44"/>
      <c r="B12" s="8" t="s">
        <v>26</v>
      </c>
      <c r="C12" s="17">
        <v>7587</v>
      </c>
      <c r="D12" s="17">
        <v>12012</v>
      </c>
      <c r="E12" s="17">
        <v>10436</v>
      </c>
      <c r="F12" s="17">
        <v>8614</v>
      </c>
      <c r="G12" s="10">
        <v>9253</v>
      </c>
      <c r="H12" s="12">
        <v>6716</v>
      </c>
      <c r="I12" s="12">
        <v>7845.5</v>
      </c>
      <c r="J12" s="12">
        <v>3758</v>
      </c>
      <c r="K12" s="12">
        <f>Data!F10</f>
        <v>7190.75</v>
      </c>
      <c r="L12" s="12">
        <f>Data!$F22</f>
        <v>2099</v>
      </c>
      <c r="M12" s="9">
        <f>Data!$F34</f>
        <v>2115</v>
      </c>
      <c r="N12" s="9">
        <f>Data!$F46</f>
        <v>1505.25</v>
      </c>
      <c r="O12" s="9">
        <f>Data!$F58</f>
        <v>2291.5</v>
      </c>
      <c r="P12" s="9">
        <f>Data!$F70</f>
        <v>5263</v>
      </c>
    </row>
    <row r="13" spans="1:16" ht="19.95" customHeight="1" x14ac:dyDescent="0.3">
      <c r="A13" s="44"/>
      <c r="B13" s="8" t="s">
        <v>15</v>
      </c>
      <c r="C13" s="12">
        <f t="shared" ref="C13:J13" si="2">SUM(C9:C12)</f>
        <v>133359</v>
      </c>
      <c r="D13" s="12">
        <f t="shared" si="2"/>
        <v>155049</v>
      </c>
      <c r="E13" s="12">
        <f t="shared" si="2"/>
        <v>153646</v>
      </c>
      <c r="F13" s="12">
        <f t="shared" si="2"/>
        <v>157049.5</v>
      </c>
      <c r="G13" s="9">
        <f t="shared" si="2"/>
        <v>169391</v>
      </c>
      <c r="H13" s="12">
        <f t="shared" si="2"/>
        <v>179523.5</v>
      </c>
      <c r="I13" s="12">
        <f t="shared" si="2"/>
        <v>178104.75</v>
      </c>
      <c r="J13" s="12">
        <f t="shared" si="2"/>
        <v>220726.25</v>
      </c>
      <c r="K13" s="12">
        <f>Data!H10</f>
        <v>220375.5</v>
      </c>
      <c r="L13" s="12">
        <f>Data!$H22</f>
        <v>218726.5</v>
      </c>
      <c r="M13" s="12">
        <f>Data!$H34</f>
        <v>228151.25</v>
      </c>
      <c r="N13" s="12">
        <f>Data!$H46</f>
        <v>207815.75</v>
      </c>
      <c r="O13" s="12">
        <f>Data!$H58</f>
        <v>248525.5</v>
      </c>
      <c r="P13" s="12">
        <f>Data!$H70</f>
        <v>296201</v>
      </c>
    </row>
    <row r="14" spans="1:16" ht="19.95" customHeight="1" x14ac:dyDescent="0.25">
      <c r="A14" s="13"/>
      <c r="B14" s="14"/>
      <c r="C14" s="13"/>
      <c r="D14" s="13"/>
      <c r="E14" s="13"/>
      <c r="F14" s="13"/>
      <c r="G14" s="15"/>
      <c r="H14" s="6"/>
      <c r="I14" s="6"/>
      <c r="J14" s="16"/>
      <c r="K14" s="6"/>
      <c r="L14" s="6"/>
      <c r="M14" s="6"/>
      <c r="N14" s="6"/>
      <c r="O14" s="6"/>
      <c r="P14" s="6"/>
    </row>
    <row r="15" spans="1:16" ht="19.95" customHeight="1" x14ac:dyDescent="0.3">
      <c r="A15" s="44" t="s">
        <v>3</v>
      </c>
      <c r="B15" s="8" t="s">
        <v>18</v>
      </c>
      <c r="C15" s="18">
        <v>64383</v>
      </c>
      <c r="D15" s="18">
        <v>77834</v>
      </c>
      <c r="E15" s="18">
        <v>76702</v>
      </c>
      <c r="F15" s="18">
        <v>79521</v>
      </c>
      <c r="G15" s="10">
        <v>87648.75</v>
      </c>
      <c r="H15" s="9">
        <v>93016.25</v>
      </c>
      <c r="I15" s="9">
        <v>96564.5</v>
      </c>
      <c r="J15" s="9">
        <v>89454.5</v>
      </c>
      <c r="K15" s="9">
        <f>Data!B11</f>
        <v>92384</v>
      </c>
      <c r="L15" s="9">
        <f>Data!$B23</f>
        <v>98648.25</v>
      </c>
      <c r="M15" s="9">
        <f>Data!$B35</f>
        <v>89282</v>
      </c>
      <c r="N15" s="9">
        <f>Data!$B47</f>
        <v>90761</v>
      </c>
      <c r="O15" s="9">
        <f>Data!$B59</f>
        <v>94845.75</v>
      </c>
      <c r="P15" s="9">
        <f>Data!$B71</f>
        <v>95803</v>
      </c>
    </row>
    <row r="16" spans="1:16" ht="19.95" customHeight="1" x14ac:dyDescent="0.3">
      <c r="A16" s="44"/>
      <c r="B16" s="8" t="s">
        <v>19</v>
      </c>
      <c r="C16" s="18">
        <v>53377</v>
      </c>
      <c r="D16" s="18">
        <v>63306</v>
      </c>
      <c r="E16" s="18">
        <v>60139.5</v>
      </c>
      <c r="F16" s="18">
        <v>68116.5</v>
      </c>
      <c r="G16" s="10">
        <v>70953.75</v>
      </c>
      <c r="H16" s="9">
        <v>80519.5</v>
      </c>
      <c r="I16" s="9">
        <v>105719</v>
      </c>
      <c r="J16" s="11">
        <v>91059</v>
      </c>
      <c r="K16" s="9">
        <f>Data!C11</f>
        <v>99664.75</v>
      </c>
      <c r="L16" s="9">
        <f>Data!$C23</f>
        <v>113122.5</v>
      </c>
      <c r="M16" s="9">
        <f>Data!$C35</f>
        <v>107039.5</v>
      </c>
      <c r="N16" s="9">
        <f>Data!$C47</f>
        <v>99129</v>
      </c>
      <c r="O16" s="9">
        <f>Data!$C59</f>
        <v>130066.25</v>
      </c>
      <c r="P16" s="9">
        <f>Data!$C71</f>
        <v>148932</v>
      </c>
    </row>
    <row r="17" spans="1:17" ht="19.95" customHeight="1" x14ac:dyDescent="0.3">
      <c r="A17" s="44"/>
      <c r="B17" s="8" t="s">
        <v>25</v>
      </c>
      <c r="C17" s="18">
        <v>9678</v>
      </c>
      <c r="D17" s="18">
        <v>9582</v>
      </c>
      <c r="E17" s="18">
        <v>13509</v>
      </c>
      <c r="F17" s="18">
        <v>10840</v>
      </c>
      <c r="G17" s="10">
        <v>11722</v>
      </c>
      <c r="H17" s="9">
        <v>14422.5</v>
      </c>
      <c r="I17" s="9">
        <v>17134.25</v>
      </c>
      <c r="J17" s="11">
        <v>28672.5</v>
      </c>
      <c r="K17" s="9">
        <f>Data!E11</f>
        <v>32487.75</v>
      </c>
      <c r="L17" s="9">
        <f>Data!$E23</f>
        <v>38151.5</v>
      </c>
      <c r="M17" s="9">
        <f>Data!$E35</f>
        <v>41711.75</v>
      </c>
      <c r="N17" s="9">
        <f>Data!$E47</f>
        <v>26347.25</v>
      </c>
      <c r="O17" s="9">
        <f>Data!$E59</f>
        <v>51092</v>
      </c>
      <c r="P17" s="9">
        <f>Data!$E71</f>
        <v>66771</v>
      </c>
    </row>
    <row r="18" spans="1:17" ht="19.95" customHeight="1" x14ac:dyDescent="0.3">
      <c r="A18" s="44"/>
      <c r="B18" s="8" t="s">
        <v>26</v>
      </c>
      <c r="C18" s="18">
        <v>9298</v>
      </c>
      <c r="D18" s="18">
        <v>16540</v>
      </c>
      <c r="E18" s="18">
        <v>9403.5</v>
      </c>
      <c r="F18" s="18">
        <v>8241</v>
      </c>
      <c r="G18" s="10">
        <v>9193.25</v>
      </c>
      <c r="H18" s="12">
        <v>9875.25</v>
      </c>
      <c r="I18" s="12">
        <v>9992.25</v>
      </c>
      <c r="J18" s="12">
        <v>4000</v>
      </c>
      <c r="K18" s="12">
        <f>Data!F11</f>
        <v>7611.75</v>
      </c>
      <c r="L18" s="12">
        <f>Data!$F23</f>
        <v>2308</v>
      </c>
      <c r="M18" s="9">
        <f>Data!$F35</f>
        <v>2002</v>
      </c>
      <c r="N18" s="9">
        <f>Data!$F47</f>
        <v>3078</v>
      </c>
      <c r="O18" s="9">
        <f>Data!$F59</f>
        <v>3510</v>
      </c>
      <c r="P18" s="9">
        <f>Data!$F71</f>
        <v>3192</v>
      </c>
    </row>
    <row r="19" spans="1:17" ht="19.95" customHeight="1" x14ac:dyDescent="0.3">
      <c r="A19" s="44"/>
      <c r="B19" s="8" t="s">
        <v>15</v>
      </c>
      <c r="C19" s="12">
        <f t="shared" ref="C19" si="3">SUM(C15:C18)</f>
        <v>136736</v>
      </c>
      <c r="D19" s="12">
        <f>SUM(D15:D18)</f>
        <v>167262</v>
      </c>
      <c r="E19" s="12">
        <f>SUM(E15:E18)</f>
        <v>159754</v>
      </c>
      <c r="F19" s="12">
        <f>SUM(F15:F18)</f>
        <v>166718.5</v>
      </c>
      <c r="G19" s="9">
        <f>SUM(G15:G18)</f>
        <v>179517.75</v>
      </c>
      <c r="H19" s="12">
        <f>SUM(H15:H18)</f>
        <v>197833.5</v>
      </c>
      <c r="I19" s="12">
        <f t="shared" ref="I19" si="4">SUM(I15:I18)</f>
        <v>229410</v>
      </c>
      <c r="J19" s="12">
        <f>SUM(J15:J18)</f>
        <v>213186</v>
      </c>
      <c r="K19" s="12">
        <f>Data!H11</f>
        <v>232148.25</v>
      </c>
      <c r="L19" s="12">
        <f>Data!$H23</f>
        <v>252230.25</v>
      </c>
      <c r="M19" s="12">
        <f>Data!$H35</f>
        <v>240035.25</v>
      </c>
      <c r="N19" s="12">
        <f>Data!$H47</f>
        <v>219315.25</v>
      </c>
      <c r="O19" s="12">
        <f>Data!$H59</f>
        <v>279514</v>
      </c>
      <c r="P19" s="12">
        <f>Data!$H71</f>
        <v>314698</v>
      </c>
      <c r="Q19" s="73"/>
    </row>
    <row r="20" spans="1:17" ht="19.95" customHeight="1" x14ac:dyDescent="0.25">
      <c r="A20" s="13"/>
      <c r="B20" s="14"/>
      <c r="C20" s="13"/>
      <c r="D20" s="13"/>
      <c r="E20" s="13"/>
      <c r="F20" s="13"/>
      <c r="G20" s="15"/>
      <c r="H20" s="6"/>
      <c r="I20" s="6"/>
      <c r="J20" s="16"/>
      <c r="K20" s="6"/>
      <c r="L20" s="6"/>
      <c r="M20" s="6"/>
      <c r="N20" s="6"/>
      <c r="O20" s="6"/>
      <c r="P20" s="6"/>
    </row>
    <row r="21" spans="1:17" ht="19.95" customHeight="1" x14ac:dyDescent="0.3">
      <c r="A21" s="44" t="s">
        <v>4</v>
      </c>
      <c r="B21" s="8" t="s">
        <v>18</v>
      </c>
      <c r="C21" s="18">
        <v>65024</v>
      </c>
      <c r="D21" s="18">
        <v>69329</v>
      </c>
      <c r="E21" s="18">
        <v>73538</v>
      </c>
      <c r="F21" s="18">
        <v>75192.5</v>
      </c>
      <c r="G21" s="10">
        <v>83128.25</v>
      </c>
      <c r="H21" s="9">
        <v>91701.25</v>
      </c>
      <c r="I21" s="9">
        <v>92568.25</v>
      </c>
      <c r="J21" s="9">
        <v>82322.5</v>
      </c>
      <c r="K21" s="9">
        <f>Data!B12</f>
        <v>85623</v>
      </c>
      <c r="L21" s="9">
        <f>Data!$B24</f>
        <v>86251.25</v>
      </c>
      <c r="M21" s="9">
        <f>Data!$B36</f>
        <v>85378</v>
      </c>
      <c r="N21" s="9">
        <f>Data!$B48</f>
        <v>71158.25</v>
      </c>
      <c r="O21" s="9">
        <f>Data!$B60</f>
        <v>95618.25</v>
      </c>
      <c r="P21" s="9">
        <f>Data!$B72</f>
        <v>99588.75</v>
      </c>
    </row>
    <row r="22" spans="1:17" ht="19.95" customHeight="1" x14ac:dyDescent="0.3">
      <c r="A22" s="44"/>
      <c r="B22" s="8" t="s">
        <v>19</v>
      </c>
      <c r="C22" s="18">
        <v>54487</v>
      </c>
      <c r="D22" s="18">
        <v>56636</v>
      </c>
      <c r="E22" s="18">
        <v>64573.25</v>
      </c>
      <c r="F22" s="18">
        <v>68954</v>
      </c>
      <c r="G22" s="10">
        <v>74000.5</v>
      </c>
      <c r="H22" s="9">
        <v>87112.5</v>
      </c>
      <c r="I22" s="9">
        <v>87124</v>
      </c>
      <c r="J22" s="11">
        <v>92429</v>
      </c>
      <c r="K22" s="9">
        <f>Data!C12</f>
        <v>101113.75</v>
      </c>
      <c r="L22" s="9">
        <f>Data!$C24</f>
        <v>97606.75</v>
      </c>
      <c r="M22" s="9">
        <f>Data!$C36</f>
        <v>119265.75</v>
      </c>
      <c r="N22" s="9">
        <f>Data!$C48</f>
        <v>100310.25</v>
      </c>
      <c r="O22" s="9">
        <f>Data!$C60</f>
        <v>137954</v>
      </c>
      <c r="P22" s="9">
        <f>Data!$C72</f>
        <v>142639.25</v>
      </c>
    </row>
    <row r="23" spans="1:17" ht="19.95" customHeight="1" x14ac:dyDescent="0.3">
      <c r="A23" s="44"/>
      <c r="B23" s="8" t="s">
        <v>25</v>
      </c>
      <c r="C23" s="18">
        <v>9799</v>
      </c>
      <c r="D23" s="18">
        <v>10398</v>
      </c>
      <c r="E23" s="18">
        <v>12182</v>
      </c>
      <c r="F23" s="18">
        <v>15513</v>
      </c>
      <c r="G23" s="10">
        <v>13132.75</v>
      </c>
      <c r="H23" s="9">
        <v>16490</v>
      </c>
      <c r="I23" s="9">
        <v>23099.5</v>
      </c>
      <c r="J23" s="11">
        <v>35977.75</v>
      </c>
      <c r="K23" s="9">
        <f>Data!E12</f>
        <v>34927.25</v>
      </c>
      <c r="L23" s="9">
        <f>Data!$E24</f>
        <v>33311</v>
      </c>
      <c r="M23" s="9">
        <f>Data!$E36</f>
        <v>38579.5</v>
      </c>
      <c r="N23" s="9">
        <f>Data!$E48</f>
        <v>32604.5</v>
      </c>
      <c r="O23" s="9">
        <f>Data!$E60</f>
        <v>50909</v>
      </c>
      <c r="P23" s="9">
        <f>Data!$E72</f>
        <v>78724</v>
      </c>
    </row>
    <row r="24" spans="1:17" ht="19.95" customHeight="1" x14ac:dyDescent="0.3">
      <c r="A24" s="44"/>
      <c r="B24" s="8" t="s">
        <v>26</v>
      </c>
      <c r="C24" s="18">
        <v>14764</v>
      </c>
      <c r="D24" s="18">
        <v>10756</v>
      </c>
      <c r="E24" s="18">
        <v>10961</v>
      </c>
      <c r="F24" s="18">
        <v>9984</v>
      </c>
      <c r="G24" s="10">
        <v>9108</v>
      </c>
      <c r="H24" s="12">
        <v>6086.5</v>
      </c>
      <c r="I24" s="12">
        <v>7385.25</v>
      </c>
      <c r="J24" s="12">
        <v>4524.5</v>
      </c>
      <c r="K24" s="12">
        <f>Data!F12</f>
        <v>3532.25</v>
      </c>
      <c r="L24" s="12">
        <f>Data!$F24</f>
        <v>2112</v>
      </c>
      <c r="M24" s="9">
        <f>Data!$F36</f>
        <v>2710</v>
      </c>
      <c r="N24" s="9">
        <f>Data!$F48</f>
        <v>3171.25</v>
      </c>
      <c r="O24" s="9">
        <f>Data!$F60</f>
        <v>1924</v>
      </c>
      <c r="P24" s="9">
        <f>Data!$F72</f>
        <v>2292</v>
      </c>
    </row>
    <row r="25" spans="1:17" ht="19.95" customHeight="1" x14ac:dyDescent="0.3">
      <c r="A25" s="44"/>
      <c r="B25" s="8" t="s">
        <v>15</v>
      </c>
      <c r="C25" s="12">
        <f t="shared" ref="C25" si="5">SUM(C21:C24)</f>
        <v>144074</v>
      </c>
      <c r="D25" s="12">
        <f>SUM(D21:D24)</f>
        <v>147119</v>
      </c>
      <c r="E25" s="12">
        <f>SUM(E21:E24)</f>
        <v>161254.25</v>
      </c>
      <c r="F25" s="12">
        <f>SUM(F21:F24)</f>
        <v>169643.5</v>
      </c>
      <c r="G25" s="9">
        <f>SUM(G21:G24)</f>
        <v>179369.5</v>
      </c>
      <c r="H25" s="12">
        <f>SUM(H21:H24)</f>
        <v>201390.25</v>
      </c>
      <c r="I25" s="12">
        <f t="shared" ref="I25" si="6">SUM(I21:I24)</f>
        <v>210177</v>
      </c>
      <c r="J25" s="12">
        <f>SUM(J21:J24)</f>
        <v>215253.75</v>
      </c>
      <c r="K25" s="12">
        <f>Data!H12</f>
        <v>225196.25</v>
      </c>
      <c r="L25" s="12">
        <f>Data!$H24</f>
        <v>219281</v>
      </c>
      <c r="M25" s="12">
        <f>Data!$H36</f>
        <v>245933.25</v>
      </c>
      <c r="N25" s="12">
        <f>Data!$H48</f>
        <v>207244.25</v>
      </c>
      <c r="O25" s="12">
        <f>Data!$H60</f>
        <v>286405.25</v>
      </c>
      <c r="P25" s="12">
        <f>Data!$H72</f>
        <v>323244</v>
      </c>
      <c r="Q25" s="32"/>
    </row>
    <row r="26" spans="1:17" ht="19.95" customHeight="1" x14ac:dyDescent="0.25">
      <c r="A26" s="13"/>
      <c r="B26" s="14"/>
      <c r="C26" s="13"/>
      <c r="D26" s="13"/>
      <c r="E26" s="13"/>
      <c r="F26" s="13"/>
      <c r="G26" s="15"/>
      <c r="H26" s="6"/>
      <c r="I26" s="6"/>
      <c r="J26" s="16"/>
      <c r="K26" s="6"/>
      <c r="L26" s="6"/>
      <c r="M26" s="6"/>
      <c r="N26" s="6"/>
      <c r="O26" s="6"/>
      <c r="P26" s="6"/>
    </row>
    <row r="27" spans="1:17" ht="19.95" customHeight="1" x14ac:dyDescent="0.3">
      <c r="A27" s="44" t="s">
        <v>5</v>
      </c>
      <c r="B27" s="8" t="s">
        <v>18</v>
      </c>
      <c r="C27" s="18">
        <v>64106</v>
      </c>
      <c r="D27" s="18">
        <v>72525</v>
      </c>
      <c r="E27" s="18">
        <v>71395</v>
      </c>
      <c r="F27" s="18">
        <v>83205.75</v>
      </c>
      <c r="G27" s="10">
        <v>84840.75</v>
      </c>
      <c r="H27" s="9">
        <v>91686.25</v>
      </c>
      <c r="I27" s="9">
        <v>91801.5</v>
      </c>
      <c r="J27" s="9">
        <v>80729</v>
      </c>
      <c r="K27" s="9">
        <f>Data!B13</f>
        <v>85824</v>
      </c>
      <c r="L27" s="9">
        <f>Data!$B25</f>
        <v>85157.25</v>
      </c>
      <c r="M27" s="9">
        <f>Data!$B37</f>
        <v>88064.5</v>
      </c>
      <c r="N27" s="9">
        <f>Data!$B49</f>
        <v>72160</v>
      </c>
      <c r="O27" s="9">
        <f>Data!$B61</f>
        <v>99717.25</v>
      </c>
      <c r="P27" s="9">
        <f>Data!$B73</f>
        <v>97704.75</v>
      </c>
    </row>
    <row r="28" spans="1:17" ht="19.95" customHeight="1" x14ac:dyDescent="0.3">
      <c r="A28" s="44"/>
      <c r="B28" s="8" t="s">
        <v>19</v>
      </c>
      <c r="C28" s="18">
        <v>54293</v>
      </c>
      <c r="D28" s="18">
        <v>65445</v>
      </c>
      <c r="E28" s="18">
        <v>62843</v>
      </c>
      <c r="F28" s="18">
        <v>72083.75</v>
      </c>
      <c r="G28" s="10">
        <v>77914.5</v>
      </c>
      <c r="H28" s="9">
        <v>84854.5</v>
      </c>
      <c r="I28" s="9">
        <v>94614.75</v>
      </c>
      <c r="J28" s="11">
        <v>92438.5</v>
      </c>
      <c r="K28" s="9">
        <f>Data!C13</f>
        <v>100593.5</v>
      </c>
      <c r="L28" s="9">
        <f>Data!$C25</f>
        <v>108592.25</v>
      </c>
      <c r="M28" s="9">
        <f>Data!$C37</f>
        <v>119591.75</v>
      </c>
      <c r="N28" s="9">
        <f>Data!$C49</f>
        <v>87669.25</v>
      </c>
      <c r="O28" s="9">
        <f>Data!$C61</f>
        <v>144916.25</v>
      </c>
      <c r="P28" s="9">
        <f>Data!$C73</f>
        <v>168023.25</v>
      </c>
    </row>
    <row r="29" spans="1:17" ht="19.95" customHeight="1" x14ac:dyDescent="0.3">
      <c r="A29" s="44"/>
      <c r="B29" s="8" t="s">
        <v>25</v>
      </c>
      <c r="C29" s="18">
        <v>9867</v>
      </c>
      <c r="D29" s="18">
        <v>14605</v>
      </c>
      <c r="E29" s="18">
        <v>12886</v>
      </c>
      <c r="F29" s="18">
        <v>14763.25</v>
      </c>
      <c r="G29" s="10">
        <v>18376.5</v>
      </c>
      <c r="H29" s="9">
        <v>20495</v>
      </c>
      <c r="I29" s="9">
        <v>35742.25</v>
      </c>
      <c r="J29" s="11">
        <v>39818.5</v>
      </c>
      <c r="K29" s="9">
        <f>Data!E13</f>
        <v>56015.75</v>
      </c>
      <c r="L29" s="9">
        <f>Data!$E25</f>
        <v>40552</v>
      </c>
      <c r="M29" s="9">
        <f>Data!$E37</f>
        <v>51173.25</v>
      </c>
      <c r="N29" s="9">
        <f>Data!$E49</f>
        <v>39940</v>
      </c>
      <c r="O29" s="9">
        <f>Data!$E61</f>
        <v>67970</v>
      </c>
      <c r="P29" s="9">
        <f>Data!$E73</f>
        <v>71083</v>
      </c>
    </row>
    <row r="30" spans="1:17" ht="19.95" customHeight="1" x14ac:dyDescent="0.3">
      <c r="A30" s="44"/>
      <c r="B30" s="8" t="s">
        <v>26</v>
      </c>
      <c r="C30" s="18">
        <v>13171</v>
      </c>
      <c r="D30" s="18">
        <v>8961</v>
      </c>
      <c r="E30" s="18">
        <v>11415</v>
      </c>
      <c r="F30" s="18">
        <v>8531</v>
      </c>
      <c r="G30" s="10">
        <v>10235.75</v>
      </c>
      <c r="H30" s="12">
        <v>7196.5</v>
      </c>
      <c r="I30" s="12">
        <v>8352.25</v>
      </c>
      <c r="J30" s="12">
        <v>6412.25</v>
      </c>
      <c r="K30" s="12">
        <f>Data!F13</f>
        <v>4438</v>
      </c>
      <c r="L30" s="12">
        <f>Data!$F25</f>
        <v>2589</v>
      </c>
      <c r="M30" s="9">
        <f>Data!$F37</f>
        <v>2064</v>
      </c>
      <c r="N30" s="9">
        <f>Data!$F49</f>
        <v>2068</v>
      </c>
      <c r="O30" s="9">
        <f>Data!$F61</f>
        <v>2338</v>
      </c>
      <c r="P30" s="9">
        <f>Data!$F73</f>
        <v>4800</v>
      </c>
    </row>
    <row r="31" spans="1:17" ht="19.95" customHeight="1" x14ac:dyDescent="0.3">
      <c r="A31" s="44"/>
      <c r="B31" s="8" t="s">
        <v>15</v>
      </c>
      <c r="C31" s="12">
        <f t="shared" ref="C31" si="7">SUM(C27:C30)</f>
        <v>141437</v>
      </c>
      <c r="D31" s="12">
        <f>SUM(D27:D30)</f>
        <v>161536</v>
      </c>
      <c r="E31" s="12">
        <f>SUM(E27:E30)</f>
        <v>158539</v>
      </c>
      <c r="F31" s="12">
        <f>SUM(F27:F30)</f>
        <v>178583.75</v>
      </c>
      <c r="G31" s="9">
        <f>SUM(G27:G30)</f>
        <v>191367.5</v>
      </c>
      <c r="H31" s="12">
        <f>SUM(H27:H30)</f>
        <v>204232.25</v>
      </c>
      <c r="I31" s="12">
        <f t="shared" ref="I31" si="8">SUM(I27:I30)</f>
        <v>230510.75</v>
      </c>
      <c r="J31" s="12">
        <f>SUM(J27:J30)</f>
        <v>219398.25</v>
      </c>
      <c r="K31" s="12">
        <f>Data!H13</f>
        <v>246871.25</v>
      </c>
      <c r="L31" s="12">
        <f>Data!$H25</f>
        <v>236890.5</v>
      </c>
      <c r="M31" s="12">
        <f>Data!$H37</f>
        <v>260893.5</v>
      </c>
      <c r="N31" s="12">
        <f>Data!$H49</f>
        <v>201837.25</v>
      </c>
      <c r="O31" s="12">
        <f>Data!$H61</f>
        <v>314941.5</v>
      </c>
      <c r="P31" s="12">
        <f>Data!$H73</f>
        <v>341611</v>
      </c>
      <c r="Q31" s="74"/>
    </row>
    <row r="32" spans="1:17" ht="19.95" customHeight="1" x14ac:dyDescent="0.25">
      <c r="A32" s="13"/>
      <c r="B32" s="14"/>
      <c r="C32" s="13"/>
      <c r="D32" s="13"/>
      <c r="E32" s="13"/>
      <c r="F32" s="13"/>
      <c r="G32" s="15"/>
      <c r="H32" s="6"/>
      <c r="I32" s="6"/>
      <c r="J32" s="16"/>
      <c r="K32" s="6"/>
      <c r="L32" s="6"/>
      <c r="M32" s="6"/>
      <c r="N32" s="6"/>
      <c r="O32" s="6"/>
      <c r="P32" s="6"/>
    </row>
    <row r="33" spans="1:16" ht="19.95" customHeight="1" x14ac:dyDescent="0.3">
      <c r="A33" s="44" t="s">
        <v>6</v>
      </c>
      <c r="B33" s="8" t="s">
        <v>18</v>
      </c>
      <c r="C33" s="18">
        <v>65992</v>
      </c>
      <c r="D33" s="18">
        <v>68316</v>
      </c>
      <c r="E33" s="18">
        <v>69525.5</v>
      </c>
      <c r="F33" s="18">
        <v>75581</v>
      </c>
      <c r="G33" s="10">
        <v>76399</v>
      </c>
      <c r="H33" s="9">
        <v>81780.5</v>
      </c>
      <c r="I33" s="9">
        <v>81363</v>
      </c>
      <c r="J33" s="9">
        <f>Data!B2</f>
        <v>81809.75</v>
      </c>
      <c r="K33" s="9">
        <f>Data!B14</f>
        <v>81533.75</v>
      </c>
      <c r="L33" s="9">
        <f>Data!$B26</f>
        <v>80595.5</v>
      </c>
      <c r="M33" s="9">
        <f>Data!$B38</f>
        <v>76535.25</v>
      </c>
      <c r="N33" s="9">
        <f>Data!$B50</f>
        <v>71591</v>
      </c>
      <c r="O33" s="9">
        <f>Data!$B62</f>
        <v>78853</v>
      </c>
      <c r="P33" s="9">
        <f>Data!$B74</f>
        <v>86097.75</v>
      </c>
    </row>
    <row r="34" spans="1:16" ht="19.95" customHeight="1" x14ac:dyDescent="0.3">
      <c r="A34" s="44"/>
      <c r="B34" s="8" t="s">
        <v>19</v>
      </c>
      <c r="C34" s="18">
        <v>54490</v>
      </c>
      <c r="D34" s="18">
        <v>67022</v>
      </c>
      <c r="E34" s="18">
        <v>60048.5</v>
      </c>
      <c r="F34" s="18">
        <v>71130</v>
      </c>
      <c r="G34" s="10">
        <v>72839.25</v>
      </c>
      <c r="H34" s="9">
        <v>77135</v>
      </c>
      <c r="I34" s="9">
        <v>87172.5</v>
      </c>
      <c r="J34" s="11">
        <f>Data!C2</f>
        <v>93629.5</v>
      </c>
      <c r="K34" s="9">
        <f>Data!C14</f>
        <v>103006</v>
      </c>
      <c r="L34" s="9">
        <f>Data!$C26</f>
        <v>105955</v>
      </c>
      <c r="M34" s="9">
        <f>Data!$C38</f>
        <v>112663.75</v>
      </c>
      <c r="N34" s="9">
        <f>Data!$C50</f>
        <v>95502.25</v>
      </c>
      <c r="O34" s="9">
        <f>Data!$C62</f>
        <v>138737.25</v>
      </c>
      <c r="P34" s="9">
        <f>Data!$C74</f>
        <v>151380</v>
      </c>
    </row>
    <row r="35" spans="1:16" ht="19.95" customHeight="1" x14ac:dyDescent="0.3">
      <c r="A35" s="44"/>
      <c r="B35" s="8" t="s">
        <v>25</v>
      </c>
      <c r="C35" s="18">
        <v>9871</v>
      </c>
      <c r="D35" s="18">
        <v>16800</v>
      </c>
      <c r="E35" s="18">
        <v>13284.5</v>
      </c>
      <c r="F35" s="18">
        <v>14054</v>
      </c>
      <c r="G35" s="10">
        <v>16621</v>
      </c>
      <c r="H35" s="9">
        <v>23123.5</v>
      </c>
      <c r="I35" s="9">
        <v>38626.5</v>
      </c>
      <c r="J35" s="11">
        <f>Data!E2</f>
        <v>35632.5</v>
      </c>
      <c r="K35" s="9">
        <f>Data!E14</f>
        <v>44037</v>
      </c>
      <c r="L35" s="9">
        <f>Data!$E26</f>
        <v>35615</v>
      </c>
      <c r="M35" s="9">
        <f>Data!$E38</f>
        <v>48622.25</v>
      </c>
      <c r="N35" s="9">
        <f>Data!$E50</f>
        <v>41840.75</v>
      </c>
      <c r="O35" s="9">
        <f>Data!$E62</f>
        <v>61368.75</v>
      </c>
      <c r="P35" s="9">
        <f>Data!$E74</f>
        <v>73625.75</v>
      </c>
    </row>
    <row r="36" spans="1:16" ht="19.95" customHeight="1" x14ac:dyDescent="0.3">
      <c r="A36" s="44"/>
      <c r="B36" s="8" t="s">
        <v>26</v>
      </c>
      <c r="C36" s="18">
        <v>8099</v>
      </c>
      <c r="D36" s="18">
        <v>8563</v>
      </c>
      <c r="E36" s="18">
        <v>8590.5</v>
      </c>
      <c r="F36" s="18">
        <v>7665</v>
      </c>
      <c r="G36" s="10">
        <v>10005</v>
      </c>
      <c r="H36" s="12">
        <v>4364.25</v>
      </c>
      <c r="I36" s="12">
        <v>6355.25</v>
      </c>
      <c r="J36" s="19">
        <f>Data!F2</f>
        <v>5600.25</v>
      </c>
      <c r="K36" s="12">
        <f>Data!F14</f>
        <v>3098</v>
      </c>
      <c r="L36" s="12">
        <f>Data!$F26</f>
        <v>1674</v>
      </c>
      <c r="M36" s="9">
        <f>Data!$F38</f>
        <v>1507.75</v>
      </c>
      <c r="N36" s="9">
        <f>Data!$F50</f>
        <v>1735.25</v>
      </c>
      <c r="O36" s="9">
        <f>Data!$F62</f>
        <v>2387</v>
      </c>
      <c r="P36" s="9">
        <f>Data!$F74</f>
        <v>5146</v>
      </c>
    </row>
    <row r="37" spans="1:16" ht="19.95" customHeight="1" x14ac:dyDescent="0.3">
      <c r="A37" s="44"/>
      <c r="B37" s="8" t="s">
        <v>15</v>
      </c>
      <c r="C37" s="12">
        <f t="shared" ref="C37" si="9">SUM(C33:C36)</f>
        <v>138452</v>
      </c>
      <c r="D37" s="12">
        <f>SUM(D33:D36)</f>
        <v>160701</v>
      </c>
      <c r="E37" s="12">
        <f>SUM(E33:E36)</f>
        <v>151449</v>
      </c>
      <c r="F37" s="12">
        <f>SUM(F33:F36)</f>
        <v>168430</v>
      </c>
      <c r="G37" s="9">
        <f>SUM(G33:G36)</f>
        <v>175864.25</v>
      </c>
      <c r="H37" s="12">
        <f>SUM(H33:H36)</f>
        <v>186403.25</v>
      </c>
      <c r="I37" s="12">
        <f t="shared" ref="I37" si="10">SUM(I33:I36)</f>
        <v>213517.25</v>
      </c>
      <c r="J37" s="12">
        <f>Data!H2</f>
        <v>216672</v>
      </c>
      <c r="K37" s="12">
        <f>Data!H14</f>
        <v>231674.75</v>
      </c>
      <c r="L37" s="12">
        <f>Data!$H26</f>
        <v>223839.5</v>
      </c>
      <c r="M37" s="12">
        <f>Data!$H38</f>
        <v>239329</v>
      </c>
      <c r="N37" s="12">
        <f>Data!$H50</f>
        <v>210669.25</v>
      </c>
      <c r="O37" s="12">
        <f>Data!$H62</f>
        <v>281346</v>
      </c>
      <c r="P37" s="12">
        <f>Data!$H74</f>
        <v>316249.5</v>
      </c>
    </row>
    <row r="38" spans="1:16" ht="19.95" customHeight="1" x14ac:dyDescent="0.25">
      <c r="A38" s="13"/>
      <c r="B38" s="14"/>
      <c r="C38" s="13"/>
      <c r="D38" s="13"/>
      <c r="E38" s="13"/>
      <c r="F38" s="13"/>
      <c r="G38" s="15"/>
      <c r="H38" s="6"/>
      <c r="I38" s="6"/>
      <c r="J38" s="16"/>
      <c r="K38" s="6"/>
      <c r="L38" s="6"/>
      <c r="M38" s="6"/>
      <c r="N38" s="6"/>
      <c r="O38" s="6"/>
      <c r="P38" s="6"/>
    </row>
    <row r="39" spans="1:16" ht="19.95" customHeight="1" x14ac:dyDescent="0.3">
      <c r="A39" s="44" t="s">
        <v>7</v>
      </c>
      <c r="B39" s="8" t="s">
        <v>18</v>
      </c>
      <c r="C39" s="18">
        <v>65423</v>
      </c>
      <c r="D39" s="18">
        <v>61111</v>
      </c>
      <c r="E39" s="18">
        <v>71247</v>
      </c>
      <c r="F39" s="18">
        <v>73709</v>
      </c>
      <c r="G39" s="10">
        <v>88398.75</v>
      </c>
      <c r="H39" s="9">
        <v>82534.25</v>
      </c>
      <c r="I39" s="9">
        <v>83437.75</v>
      </c>
      <c r="J39" s="9">
        <f>Data!B3</f>
        <v>77174</v>
      </c>
      <c r="K39" s="9">
        <f>Data!B15</f>
        <v>75702.75</v>
      </c>
      <c r="L39" s="9">
        <f>Data!$B27</f>
        <v>82853</v>
      </c>
      <c r="M39" s="9">
        <f>Data!$B39</f>
        <v>80954.75</v>
      </c>
      <c r="N39" s="9">
        <f>Data!$B51</f>
        <v>68593.75</v>
      </c>
      <c r="O39" s="9">
        <f>Data!$B63</f>
        <v>81067.5</v>
      </c>
      <c r="P39" s="9">
        <f>Data!$B75</f>
        <v>85169.5</v>
      </c>
    </row>
    <row r="40" spans="1:16" ht="19.95" customHeight="1" x14ac:dyDescent="0.3">
      <c r="A40" s="44"/>
      <c r="B40" s="8" t="s">
        <v>19</v>
      </c>
      <c r="C40" s="18">
        <v>58313</v>
      </c>
      <c r="D40" s="18">
        <v>65771</v>
      </c>
      <c r="E40" s="18">
        <v>68534</v>
      </c>
      <c r="F40" s="18">
        <v>78709</v>
      </c>
      <c r="G40" s="10">
        <v>89410.5</v>
      </c>
      <c r="H40" s="9">
        <v>95080.25</v>
      </c>
      <c r="I40" s="9">
        <v>96918.5</v>
      </c>
      <c r="J40" s="11">
        <f>Data!C3</f>
        <v>100105.5</v>
      </c>
      <c r="K40" s="9">
        <f>Data!C15</f>
        <v>109215.25</v>
      </c>
      <c r="L40" s="9">
        <f>Data!$C27</f>
        <v>120132</v>
      </c>
      <c r="M40" s="9">
        <f>Data!$C39</f>
        <v>125259.5</v>
      </c>
      <c r="N40" s="9">
        <f>Data!$C51</f>
        <v>105691.75</v>
      </c>
      <c r="O40" s="9">
        <f>Data!$C63</f>
        <v>142962.75</v>
      </c>
      <c r="P40" s="9">
        <f>Data!$C75</f>
        <v>149828.75</v>
      </c>
    </row>
    <row r="41" spans="1:16" ht="19.95" customHeight="1" x14ac:dyDescent="0.3">
      <c r="A41" s="44"/>
      <c r="B41" s="8" t="s">
        <v>25</v>
      </c>
      <c r="C41" s="18">
        <v>9360</v>
      </c>
      <c r="D41" s="18">
        <v>20056</v>
      </c>
      <c r="E41" s="18">
        <v>15686</v>
      </c>
      <c r="F41" s="18">
        <v>20690</v>
      </c>
      <c r="G41" s="10">
        <v>17964.5</v>
      </c>
      <c r="H41" s="9">
        <v>23502</v>
      </c>
      <c r="I41" s="9">
        <v>39246.5</v>
      </c>
      <c r="J41" s="11">
        <f>Data!E3</f>
        <v>37541</v>
      </c>
      <c r="K41" s="9">
        <f>Data!E15</f>
        <v>46854.75</v>
      </c>
      <c r="L41" s="9">
        <f>Data!$E27</f>
        <v>48182</v>
      </c>
      <c r="M41" s="9">
        <f>Data!$E39</f>
        <v>56696</v>
      </c>
      <c r="N41" s="9">
        <f>Data!$E51</f>
        <v>45383.5</v>
      </c>
      <c r="O41" s="9">
        <f>Data!$E63</f>
        <v>66842</v>
      </c>
      <c r="P41" s="9">
        <f>Data!$E75</f>
        <v>78364.5</v>
      </c>
    </row>
    <row r="42" spans="1:16" ht="19.95" customHeight="1" x14ac:dyDescent="0.3">
      <c r="A42" s="44"/>
      <c r="B42" s="8" t="s">
        <v>26</v>
      </c>
      <c r="C42" s="18">
        <v>9074</v>
      </c>
      <c r="D42" s="18">
        <v>7007</v>
      </c>
      <c r="E42" s="18">
        <v>11609</v>
      </c>
      <c r="F42" s="18">
        <v>7276</v>
      </c>
      <c r="G42" s="10">
        <v>9363.5</v>
      </c>
      <c r="H42" s="12">
        <v>6654.5</v>
      </c>
      <c r="I42" s="12">
        <v>6385.5</v>
      </c>
      <c r="J42" s="12">
        <f>Data!F3</f>
        <v>3089.25</v>
      </c>
      <c r="K42" s="12">
        <f>Data!F15</f>
        <v>2457.25</v>
      </c>
      <c r="L42" s="12">
        <f>Data!$F27</f>
        <v>1512</v>
      </c>
      <c r="M42" s="9">
        <f>Data!$F39</f>
        <v>2649</v>
      </c>
      <c r="N42" s="9">
        <f>Data!$F51</f>
        <v>1359</v>
      </c>
      <c r="O42" s="9">
        <f>Data!$F63</f>
        <v>2254</v>
      </c>
      <c r="P42" s="9">
        <f>Data!$F75</f>
        <v>4327.75</v>
      </c>
    </row>
    <row r="43" spans="1:16" ht="19.95" customHeight="1" x14ac:dyDescent="0.3">
      <c r="A43" s="44"/>
      <c r="B43" s="8" t="s">
        <v>15</v>
      </c>
      <c r="C43" s="12">
        <f t="shared" ref="C43" si="11">SUM(C39:C42)</f>
        <v>142170</v>
      </c>
      <c r="D43" s="12">
        <f>SUM(D39:D42)</f>
        <v>153945</v>
      </c>
      <c r="E43" s="12">
        <f>SUM(E39:E42)</f>
        <v>167076</v>
      </c>
      <c r="F43" s="12">
        <f>SUM(F39:F42)</f>
        <v>180384</v>
      </c>
      <c r="G43" s="9">
        <f>SUM(G39:G42)</f>
        <v>205137.25</v>
      </c>
      <c r="H43" s="12">
        <f>SUM(H39:H42)</f>
        <v>207771</v>
      </c>
      <c r="I43" s="12">
        <f t="shared" ref="I43" si="12">SUM(I39:I42)</f>
        <v>225988.25</v>
      </c>
      <c r="J43" s="12">
        <f>Data!H3</f>
        <v>217909.75</v>
      </c>
      <c r="K43" s="20">
        <f>Data!H15</f>
        <v>234230</v>
      </c>
      <c r="L43" s="12">
        <f>Data!$H27</f>
        <v>252679</v>
      </c>
      <c r="M43" s="12">
        <f>Data!$H39</f>
        <v>265559.25</v>
      </c>
      <c r="N43" s="12">
        <f>Data!$H51</f>
        <v>221028</v>
      </c>
      <c r="O43" s="12">
        <f>Data!$H63</f>
        <v>293126.25</v>
      </c>
      <c r="P43" s="12">
        <f>Data!$H75</f>
        <v>317690.5</v>
      </c>
    </row>
    <row r="44" spans="1:16" ht="19.95" customHeight="1" x14ac:dyDescent="0.25">
      <c r="A44" s="13"/>
      <c r="B44" s="14"/>
      <c r="C44" s="13"/>
      <c r="D44" s="13"/>
      <c r="E44" s="13"/>
      <c r="F44" s="13"/>
      <c r="G44" s="15"/>
      <c r="H44" s="6"/>
      <c r="I44" s="6"/>
      <c r="J44" s="16"/>
      <c r="K44" s="6"/>
      <c r="L44" s="6"/>
      <c r="M44" s="6"/>
      <c r="N44" s="6"/>
      <c r="O44" s="6"/>
      <c r="P44" s="6"/>
    </row>
    <row r="45" spans="1:16" ht="19.95" customHeight="1" x14ac:dyDescent="0.3">
      <c r="A45" s="44" t="s">
        <v>8</v>
      </c>
      <c r="B45" s="8" t="s">
        <v>18</v>
      </c>
      <c r="C45" s="18">
        <v>68823</v>
      </c>
      <c r="D45" s="18">
        <v>68069</v>
      </c>
      <c r="E45" s="18">
        <v>66532</v>
      </c>
      <c r="F45" s="18">
        <v>78028.75</v>
      </c>
      <c r="G45" s="10">
        <v>83210</v>
      </c>
      <c r="H45" s="9">
        <v>85852.25</v>
      </c>
      <c r="I45" s="9">
        <v>77388</v>
      </c>
      <c r="J45" s="9">
        <f>Data!B4</f>
        <v>84430.75</v>
      </c>
      <c r="K45" s="9">
        <f>Data!B16</f>
        <v>75430</v>
      </c>
      <c r="L45" s="9">
        <f>Data!$B28</f>
        <v>83512.25</v>
      </c>
      <c r="M45" s="9">
        <f>Data!$B40</f>
        <v>80654.75</v>
      </c>
      <c r="N45" s="9">
        <f>Data!$B52</f>
        <v>75325</v>
      </c>
      <c r="O45" s="9">
        <f>Data!$B64</f>
        <v>85256.25</v>
      </c>
      <c r="P45" s="9">
        <f>Data!$B76</f>
        <v>95745</v>
      </c>
    </row>
    <row r="46" spans="1:16" ht="19.95" customHeight="1" x14ac:dyDescent="0.3">
      <c r="A46" s="44"/>
      <c r="B46" s="8" t="s">
        <v>19</v>
      </c>
      <c r="C46" s="18">
        <v>60431</v>
      </c>
      <c r="D46" s="18">
        <v>72959</v>
      </c>
      <c r="E46" s="18">
        <v>62959.5</v>
      </c>
      <c r="F46" s="18">
        <v>81770.25</v>
      </c>
      <c r="G46" s="10">
        <v>90565.25</v>
      </c>
      <c r="H46" s="9">
        <v>89698.25</v>
      </c>
      <c r="I46" s="9">
        <v>93043.75</v>
      </c>
      <c r="J46" s="11">
        <f>Data!C4</f>
        <v>107268</v>
      </c>
      <c r="K46" s="9">
        <f>Data!C16</f>
        <v>113187.75</v>
      </c>
      <c r="L46" s="9">
        <f>Data!$C28</f>
        <v>117041.5</v>
      </c>
      <c r="M46" s="9">
        <f>Data!$C40</f>
        <v>121542.25</v>
      </c>
      <c r="N46" s="9">
        <f>Data!$C52</f>
        <v>120913.75</v>
      </c>
      <c r="O46" s="9">
        <f>Data!$C64</f>
        <v>144226</v>
      </c>
      <c r="P46" s="9">
        <f>Data!$C76</f>
        <v>160673.25</v>
      </c>
    </row>
    <row r="47" spans="1:16" ht="19.95" customHeight="1" x14ac:dyDescent="0.3">
      <c r="A47" s="44"/>
      <c r="B47" s="8" t="s">
        <v>25</v>
      </c>
      <c r="C47" s="18">
        <v>11700</v>
      </c>
      <c r="D47" s="18">
        <v>24547</v>
      </c>
      <c r="E47" s="18">
        <v>15387</v>
      </c>
      <c r="F47" s="18">
        <v>20761</v>
      </c>
      <c r="G47" s="10">
        <v>17371.75</v>
      </c>
      <c r="H47" s="9">
        <v>34269</v>
      </c>
      <c r="I47" s="9">
        <v>43513</v>
      </c>
      <c r="J47" s="11">
        <f>Data!E4</f>
        <v>40049</v>
      </c>
      <c r="K47" s="9">
        <f>Data!E16</f>
        <v>50063.75</v>
      </c>
      <c r="L47" s="9">
        <f>Data!$E28</f>
        <v>56726.75</v>
      </c>
      <c r="M47" s="9">
        <f>Data!$E40</f>
        <v>54405.25</v>
      </c>
      <c r="N47" s="9">
        <f>Data!$E52</f>
        <v>50159.75</v>
      </c>
      <c r="O47" s="9">
        <f>Data!$E64</f>
        <v>75925</v>
      </c>
      <c r="P47" s="9">
        <f>Data!$E76</f>
        <v>80410.25</v>
      </c>
    </row>
    <row r="48" spans="1:16" ht="19.95" customHeight="1" x14ac:dyDescent="0.3">
      <c r="A48" s="44"/>
      <c r="B48" s="8" t="s">
        <v>26</v>
      </c>
      <c r="C48" s="18">
        <v>10051</v>
      </c>
      <c r="D48" s="18">
        <v>9547</v>
      </c>
      <c r="E48" s="18">
        <v>7096</v>
      </c>
      <c r="F48" s="18">
        <v>8097.5</v>
      </c>
      <c r="G48" s="10">
        <v>7182</v>
      </c>
      <c r="H48" s="12">
        <v>4535.75</v>
      </c>
      <c r="I48" s="12">
        <v>6124.25</v>
      </c>
      <c r="J48" s="12">
        <f>Data!F4</f>
        <v>3763.25</v>
      </c>
      <c r="K48" s="12">
        <f>Data!F16</f>
        <v>1923</v>
      </c>
      <c r="L48" s="12">
        <f>Data!$F28</f>
        <v>1540</v>
      </c>
      <c r="M48" s="9">
        <f>Data!$F40</f>
        <v>1073</v>
      </c>
      <c r="N48" s="9">
        <f>Data!$F52</f>
        <v>950</v>
      </c>
      <c r="O48" s="9">
        <f>Data!$F64</f>
        <v>1616</v>
      </c>
      <c r="P48" s="9">
        <f>Data!$F76</f>
        <v>4097</v>
      </c>
    </row>
    <row r="49" spans="1:17" ht="19.95" customHeight="1" x14ac:dyDescent="0.3">
      <c r="A49" s="44"/>
      <c r="B49" s="8" t="s">
        <v>15</v>
      </c>
      <c r="C49" s="12">
        <f t="shared" ref="C49" si="13">SUM(C45:C48)</f>
        <v>151005</v>
      </c>
      <c r="D49" s="12">
        <f>SUM(D45:D48)</f>
        <v>175122</v>
      </c>
      <c r="E49" s="12">
        <f>SUM(E45:E48)</f>
        <v>151974.5</v>
      </c>
      <c r="F49" s="12">
        <f>SUM(F45:F48)</f>
        <v>188657.5</v>
      </c>
      <c r="G49" s="9">
        <f>SUM(G45:G48)</f>
        <v>198329</v>
      </c>
      <c r="H49" s="12">
        <f>SUM(H45:H48)</f>
        <v>214355.25</v>
      </c>
      <c r="I49" s="12">
        <f t="shared" ref="I49" si="14">SUM(I45:I48)</f>
        <v>220069</v>
      </c>
      <c r="J49" s="12">
        <f>Data!H4</f>
        <v>235511</v>
      </c>
      <c r="K49" s="12">
        <f>Data!H16</f>
        <v>240604.5</v>
      </c>
      <c r="L49" s="12">
        <f>Data!$H28</f>
        <v>258820.5</v>
      </c>
      <c r="M49" s="12">
        <f>Data!$H40</f>
        <v>257675.25</v>
      </c>
      <c r="N49" s="12">
        <f>Data!$H52</f>
        <v>247348.5</v>
      </c>
      <c r="O49" s="12">
        <f>Data!$H64</f>
        <v>307023.25</v>
      </c>
      <c r="P49" s="12">
        <f>Data!$H76</f>
        <v>340925.5</v>
      </c>
      <c r="Q49" s="126"/>
    </row>
    <row r="50" spans="1:17" ht="19.95" customHeight="1" x14ac:dyDescent="0.25">
      <c r="A50" s="13"/>
      <c r="B50" s="14"/>
      <c r="C50" s="13"/>
      <c r="D50" s="13"/>
      <c r="E50" s="13"/>
      <c r="F50" s="13"/>
      <c r="G50" s="15"/>
      <c r="H50" s="6"/>
      <c r="I50" s="6"/>
      <c r="J50" s="16"/>
      <c r="K50" s="6"/>
      <c r="L50" s="6"/>
      <c r="M50" s="6"/>
      <c r="N50" s="6"/>
      <c r="O50" s="6"/>
      <c r="P50" s="6"/>
    </row>
    <row r="51" spans="1:17" ht="19.95" customHeight="1" x14ac:dyDescent="0.3">
      <c r="A51" s="44" t="s">
        <v>9</v>
      </c>
      <c r="B51" s="8" t="s">
        <v>18</v>
      </c>
      <c r="C51" s="18">
        <v>70008</v>
      </c>
      <c r="D51" s="18">
        <v>60866</v>
      </c>
      <c r="E51" s="18">
        <v>68437</v>
      </c>
      <c r="F51" s="18">
        <v>78224</v>
      </c>
      <c r="G51" s="10">
        <v>80569.75</v>
      </c>
      <c r="H51" s="9">
        <v>77345.5</v>
      </c>
      <c r="I51" s="9">
        <v>76253.5</v>
      </c>
      <c r="J51" s="9">
        <f>Data!B5</f>
        <v>81902</v>
      </c>
      <c r="K51" s="9">
        <f>Data!B17</f>
        <v>76794.25</v>
      </c>
      <c r="L51" s="9">
        <f>Data!$B29</f>
        <v>65587.75</v>
      </c>
      <c r="M51" s="9">
        <f>Data!$B41</f>
        <v>71560.5</v>
      </c>
      <c r="N51" s="9">
        <f>Data!$B53</f>
        <v>75525.75</v>
      </c>
      <c r="O51" s="9">
        <f>Data!$B65</f>
        <v>80696.5</v>
      </c>
      <c r="P51" s="9"/>
    </row>
    <row r="52" spans="1:17" ht="19.95" customHeight="1" x14ac:dyDescent="0.3">
      <c r="A52" s="44"/>
      <c r="B52" s="8" t="s">
        <v>19</v>
      </c>
      <c r="C52" s="18">
        <v>63706</v>
      </c>
      <c r="D52" s="18">
        <v>65747</v>
      </c>
      <c r="E52" s="18">
        <v>67022</v>
      </c>
      <c r="F52" s="18">
        <v>76750</v>
      </c>
      <c r="G52" s="10">
        <v>80028.75</v>
      </c>
      <c r="H52" s="9">
        <v>87039.5</v>
      </c>
      <c r="I52" s="9">
        <v>92721.5</v>
      </c>
      <c r="J52" s="11">
        <f>Data!C5</f>
        <v>100229.25</v>
      </c>
      <c r="K52" s="9">
        <f>Data!C17</f>
        <v>109716</v>
      </c>
      <c r="L52" s="9">
        <f>Data!$C29</f>
        <v>108980.5</v>
      </c>
      <c r="M52" s="9">
        <f>Data!$C41</f>
        <v>114642.5</v>
      </c>
      <c r="N52" s="9">
        <f>Data!$C53</f>
        <v>121114.75</v>
      </c>
      <c r="O52" s="9">
        <f>Data!$C65</f>
        <v>152196.5</v>
      </c>
      <c r="P52" s="9"/>
    </row>
    <row r="53" spans="1:17" ht="19.95" customHeight="1" x14ac:dyDescent="0.3">
      <c r="A53" s="44"/>
      <c r="B53" s="8" t="s">
        <v>25</v>
      </c>
      <c r="C53" s="18">
        <v>13262</v>
      </c>
      <c r="D53" s="18">
        <v>21075</v>
      </c>
      <c r="E53" s="18">
        <v>18860</v>
      </c>
      <c r="F53" s="18">
        <v>20493.25</v>
      </c>
      <c r="G53" s="10">
        <v>17217</v>
      </c>
      <c r="H53" s="9">
        <v>32521.5</v>
      </c>
      <c r="I53" s="9">
        <v>42798.25</v>
      </c>
      <c r="J53" s="11">
        <f>Data!E5</f>
        <v>35027.5</v>
      </c>
      <c r="K53" s="9">
        <f>Data!E17</f>
        <v>49844.25</v>
      </c>
      <c r="L53" s="9">
        <f>Data!$E29</f>
        <v>44970.25</v>
      </c>
      <c r="M53" s="9">
        <f>Data!$E41</f>
        <v>52765.5</v>
      </c>
      <c r="N53" s="9">
        <f>Data!$E53</f>
        <v>57704</v>
      </c>
      <c r="O53" s="9">
        <f>Data!$E65</f>
        <v>70927.75</v>
      </c>
      <c r="P53" s="9"/>
    </row>
    <row r="54" spans="1:17" ht="19.95" customHeight="1" x14ac:dyDescent="0.3">
      <c r="A54" s="44"/>
      <c r="B54" s="8" t="s">
        <v>26</v>
      </c>
      <c r="C54" s="18">
        <v>10467</v>
      </c>
      <c r="D54" s="18">
        <v>5318</v>
      </c>
      <c r="E54" s="18">
        <v>9731</v>
      </c>
      <c r="F54" s="18">
        <v>6850.5</v>
      </c>
      <c r="G54" s="10">
        <v>7369</v>
      </c>
      <c r="H54" s="12">
        <v>4206.75</v>
      </c>
      <c r="I54" s="12">
        <v>3747</v>
      </c>
      <c r="J54" s="12">
        <f>Data!F5</f>
        <v>2698.5</v>
      </c>
      <c r="K54" s="12">
        <f>Data!F17</f>
        <v>1461</v>
      </c>
      <c r="L54" s="12">
        <f>Data!$F29</f>
        <v>1816.25</v>
      </c>
      <c r="M54" s="9">
        <f>Data!$F41</f>
        <v>2447</v>
      </c>
      <c r="N54" s="9">
        <f>Data!$F53</f>
        <v>2094</v>
      </c>
      <c r="O54" s="9">
        <f>Data!$F65</f>
        <v>2395</v>
      </c>
      <c r="P54" s="9"/>
    </row>
    <row r="55" spans="1:17" ht="19.95" customHeight="1" x14ac:dyDescent="0.3">
      <c r="A55" s="44"/>
      <c r="B55" s="8" t="s">
        <v>15</v>
      </c>
      <c r="C55" s="12">
        <f t="shared" ref="C55" si="15">SUM(C51:C54)</f>
        <v>157443</v>
      </c>
      <c r="D55" s="12">
        <f>SUM(D51:D54)</f>
        <v>153006</v>
      </c>
      <c r="E55" s="12">
        <f>SUM(E51:E54)</f>
        <v>164050</v>
      </c>
      <c r="F55" s="12">
        <f>SUM(F51:F54)</f>
        <v>182317.75</v>
      </c>
      <c r="G55" s="9">
        <f>SUM(G51:G54)</f>
        <v>185184.5</v>
      </c>
      <c r="H55" s="12">
        <f>SUM(H51:H54)</f>
        <v>201113.25</v>
      </c>
      <c r="I55" s="12">
        <f t="shared" ref="I55" si="16">SUM(I51:I54)</f>
        <v>215520.25</v>
      </c>
      <c r="J55" s="12">
        <f>Data!H5</f>
        <v>219857.25</v>
      </c>
      <c r="K55" s="12">
        <f>Data!H17</f>
        <v>237815.5</v>
      </c>
      <c r="L55" s="12">
        <f>Data!$H29</f>
        <v>221354.75</v>
      </c>
      <c r="M55" s="12">
        <f>Data!$H41</f>
        <v>241415.5</v>
      </c>
      <c r="N55" s="12">
        <f>Data!$H53</f>
        <v>256438.5</v>
      </c>
      <c r="O55" s="12">
        <f>Data!$H65</f>
        <v>306215.75</v>
      </c>
      <c r="P55" s="12"/>
    </row>
    <row r="56" spans="1:17" ht="19.95" customHeight="1" x14ac:dyDescent="0.25">
      <c r="A56" s="13"/>
      <c r="B56" s="14"/>
      <c r="C56" s="13"/>
      <c r="D56" s="13"/>
      <c r="E56" s="13"/>
      <c r="F56" s="13"/>
      <c r="G56" s="15"/>
      <c r="H56" s="6"/>
      <c r="I56" s="6"/>
      <c r="J56" s="16"/>
      <c r="K56" s="6"/>
      <c r="L56" s="6"/>
      <c r="M56" s="6"/>
      <c r="N56" s="6"/>
      <c r="O56" s="16"/>
      <c r="P56" s="6"/>
    </row>
    <row r="57" spans="1:17" ht="19.95" customHeight="1" x14ac:dyDescent="0.3">
      <c r="A57" s="44" t="s">
        <v>10</v>
      </c>
      <c r="B57" s="8" t="s">
        <v>18</v>
      </c>
      <c r="C57" s="18">
        <v>70232</v>
      </c>
      <c r="D57" s="18">
        <v>73317</v>
      </c>
      <c r="E57" s="18">
        <v>73366.5</v>
      </c>
      <c r="F57" s="18">
        <v>73756</v>
      </c>
      <c r="G57" s="10">
        <v>90190</v>
      </c>
      <c r="H57" s="9">
        <v>86908.5</v>
      </c>
      <c r="I57" s="9">
        <v>78780</v>
      </c>
      <c r="J57" s="9">
        <f>Data!B6</f>
        <v>88796.25</v>
      </c>
      <c r="K57" s="9">
        <f>Data!B18</f>
        <v>87749.75</v>
      </c>
      <c r="L57" s="9">
        <f>Data!$B30</f>
        <v>83576.75</v>
      </c>
      <c r="M57" s="9">
        <f>Data!$B42</f>
        <v>83556.5</v>
      </c>
      <c r="N57" s="9">
        <f>Data!$B54</f>
        <v>83705</v>
      </c>
      <c r="O57" s="9">
        <f>Data!$B66</f>
        <v>88710.25</v>
      </c>
      <c r="P57" s="9"/>
    </row>
    <row r="58" spans="1:17" ht="19.95" customHeight="1" x14ac:dyDescent="0.3">
      <c r="A58" s="44"/>
      <c r="B58" s="8" t="s">
        <v>19</v>
      </c>
      <c r="C58" s="18">
        <v>63222</v>
      </c>
      <c r="D58" s="18">
        <v>75750</v>
      </c>
      <c r="E58" s="18">
        <v>71694.5</v>
      </c>
      <c r="F58" s="18">
        <v>72946</v>
      </c>
      <c r="G58" s="10">
        <v>92093</v>
      </c>
      <c r="H58" s="9">
        <v>98066</v>
      </c>
      <c r="I58" s="9">
        <v>100230.25</v>
      </c>
      <c r="J58" s="11">
        <f>Data!C6</f>
        <v>114093</v>
      </c>
      <c r="K58" s="9">
        <f>Data!C18</f>
        <v>125075.25</v>
      </c>
      <c r="L58" s="9">
        <f>Data!$C30</f>
        <v>127676.5</v>
      </c>
      <c r="M58" s="9">
        <f>Data!$C42</f>
        <v>124142.25</v>
      </c>
      <c r="N58" s="9">
        <f>Data!$C54</f>
        <v>131769.75</v>
      </c>
      <c r="O58" s="9">
        <f>Data!$C66</f>
        <v>148211.5</v>
      </c>
      <c r="P58" s="9"/>
    </row>
    <row r="59" spans="1:17" ht="19.95" customHeight="1" x14ac:dyDescent="0.3">
      <c r="A59" s="44"/>
      <c r="B59" s="8" t="s">
        <v>25</v>
      </c>
      <c r="C59" s="18">
        <v>10762</v>
      </c>
      <c r="D59" s="18">
        <v>16932</v>
      </c>
      <c r="E59" s="18">
        <v>17720</v>
      </c>
      <c r="F59" s="18">
        <v>22334</v>
      </c>
      <c r="G59" s="10">
        <v>17439.5</v>
      </c>
      <c r="H59" s="9">
        <v>30847.75</v>
      </c>
      <c r="I59" s="9">
        <v>50516.25</v>
      </c>
      <c r="J59" s="11">
        <f>Data!E6</f>
        <v>32711.75</v>
      </c>
      <c r="K59" s="9">
        <f>Data!E18</f>
        <v>51182.5</v>
      </c>
      <c r="L59" s="9">
        <f>Data!$E30</f>
        <v>58615.75</v>
      </c>
      <c r="M59" s="9">
        <f>Data!$E42</f>
        <v>57427.25</v>
      </c>
      <c r="N59" s="9">
        <f>Data!$E54</f>
        <v>57644.25</v>
      </c>
      <c r="O59" s="9">
        <f>Data!$E66</f>
        <v>79084.75</v>
      </c>
      <c r="P59" s="9"/>
    </row>
    <row r="60" spans="1:17" ht="19.95" customHeight="1" x14ac:dyDescent="0.3">
      <c r="A60" s="44"/>
      <c r="B60" s="8" t="s">
        <v>26</v>
      </c>
      <c r="C60" s="18">
        <v>15566</v>
      </c>
      <c r="D60" s="18">
        <v>9519</v>
      </c>
      <c r="E60" s="18">
        <v>9995.25</v>
      </c>
      <c r="F60" s="18">
        <v>6294</v>
      </c>
      <c r="G60" s="10">
        <v>6874.75</v>
      </c>
      <c r="H60" s="12">
        <v>5282.5</v>
      </c>
      <c r="I60" s="12">
        <v>3939.5</v>
      </c>
      <c r="J60" s="12">
        <f>Data!F6</f>
        <v>2966.25</v>
      </c>
      <c r="K60" s="12">
        <f>Data!F18</f>
        <v>1482.25</v>
      </c>
      <c r="L60" s="12">
        <f>Data!$F30</f>
        <v>669</v>
      </c>
      <c r="M60" s="9">
        <f>Data!$F42</f>
        <v>1850</v>
      </c>
      <c r="N60" s="9">
        <f>Data!$F54</f>
        <v>1096</v>
      </c>
      <c r="O60" s="9">
        <f>Data!$F66</f>
        <v>2475</v>
      </c>
      <c r="P60" s="9"/>
    </row>
    <row r="61" spans="1:17" ht="19.95" customHeight="1" x14ac:dyDescent="0.3">
      <c r="A61" s="44"/>
      <c r="B61" s="8" t="s">
        <v>15</v>
      </c>
      <c r="C61" s="12">
        <f t="shared" ref="C61" si="17">SUM(C57:C60)</f>
        <v>159782</v>
      </c>
      <c r="D61" s="12">
        <f>SUM(D57:D60)</f>
        <v>175518</v>
      </c>
      <c r="E61" s="12">
        <f>SUM(E57:E60)</f>
        <v>172776.25</v>
      </c>
      <c r="F61" s="12">
        <f>SUM(F57:F60)</f>
        <v>175330</v>
      </c>
      <c r="G61" s="9">
        <f>SUM(G57:G60)</f>
        <v>206597.25</v>
      </c>
      <c r="H61" s="12">
        <f>SUM(H57:H60)</f>
        <v>221104.75</v>
      </c>
      <c r="I61" s="12">
        <f t="shared" ref="I61" si="18">SUM(I57:I60)</f>
        <v>233466</v>
      </c>
      <c r="J61" s="12">
        <f>Data!H6</f>
        <v>238567.25</v>
      </c>
      <c r="K61" s="12">
        <f>Data!H18</f>
        <v>265489.75</v>
      </c>
      <c r="L61" s="12">
        <f>Data!$H30</f>
        <v>270538</v>
      </c>
      <c r="M61" s="12">
        <f>Data!$H42</f>
        <v>266976</v>
      </c>
      <c r="N61" s="12">
        <f>Data!$H54</f>
        <v>274215</v>
      </c>
      <c r="O61" s="12">
        <f>Data!$H66</f>
        <v>318481.5</v>
      </c>
      <c r="P61" s="12"/>
    </row>
    <row r="62" spans="1:17" ht="19.95" customHeight="1" x14ac:dyDescent="0.25">
      <c r="A62" s="13"/>
      <c r="B62" s="14"/>
      <c r="C62" s="13"/>
      <c r="D62" s="13"/>
      <c r="E62" s="13"/>
      <c r="F62" s="13"/>
      <c r="G62" s="15"/>
      <c r="H62" s="6"/>
      <c r="I62" s="6"/>
      <c r="J62" s="16"/>
      <c r="K62" s="6"/>
      <c r="L62" s="6"/>
      <c r="M62" s="6"/>
      <c r="N62" s="6"/>
      <c r="O62" s="16"/>
      <c r="P62" s="6"/>
    </row>
    <row r="63" spans="1:17" ht="19.95" customHeight="1" x14ac:dyDescent="0.3">
      <c r="A63" s="44" t="s">
        <v>11</v>
      </c>
      <c r="B63" s="8" t="s">
        <v>18</v>
      </c>
      <c r="C63" s="21">
        <v>73163</v>
      </c>
      <c r="D63" s="21">
        <v>72511</v>
      </c>
      <c r="E63" s="21">
        <v>71594</v>
      </c>
      <c r="F63" s="21">
        <v>86419.25</v>
      </c>
      <c r="G63" s="10">
        <v>89169</v>
      </c>
      <c r="H63" s="9">
        <v>93442</v>
      </c>
      <c r="I63" s="9">
        <v>81038.5</v>
      </c>
      <c r="J63" s="9">
        <f>Data!B7</f>
        <v>94158.5</v>
      </c>
      <c r="K63" s="9">
        <f>Data!B19</f>
        <v>87695</v>
      </c>
      <c r="L63" s="9">
        <f>Data!$B31</f>
        <v>77788.75</v>
      </c>
      <c r="M63" s="9">
        <f>Data!$B43</f>
        <v>77241</v>
      </c>
      <c r="N63" s="9">
        <f>Data!$B55</f>
        <v>89031.75</v>
      </c>
      <c r="O63" s="9">
        <f>Data!$B67</f>
        <v>84001.75</v>
      </c>
      <c r="P63" s="9"/>
    </row>
    <row r="64" spans="1:17" ht="19.95" customHeight="1" x14ac:dyDescent="0.3">
      <c r="A64" s="44"/>
      <c r="B64" s="8" t="s">
        <v>19</v>
      </c>
      <c r="C64" s="18">
        <v>59463</v>
      </c>
      <c r="D64" s="18">
        <v>67159</v>
      </c>
      <c r="E64" s="18">
        <v>66387</v>
      </c>
      <c r="F64" s="18">
        <v>85116.25</v>
      </c>
      <c r="G64" s="10">
        <v>79328.5</v>
      </c>
      <c r="H64" s="9">
        <v>84585.5</v>
      </c>
      <c r="I64" s="9">
        <v>85371.25</v>
      </c>
      <c r="J64" s="11">
        <f>Data!C7</f>
        <v>101860.75</v>
      </c>
      <c r="K64" s="9">
        <f>Data!C19</f>
        <v>110672.75</v>
      </c>
      <c r="L64" s="9">
        <f>Data!$C31</f>
        <v>112218.25</v>
      </c>
      <c r="M64" s="9">
        <f>Data!$C43</f>
        <v>103410</v>
      </c>
      <c r="N64" s="9">
        <f>Data!$C55</f>
        <v>125214.25</v>
      </c>
      <c r="O64" s="9">
        <f>Data!$C67</f>
        <v>141616.75</v>
      </c>
      <c r="P64" s="9"/>
    </row>
    <row r="65" spans="1:16" ht="19.95" customHeight="1" x14ac:dyDescent="0.3">
      <c r="A65" s="44"/>
      <c r="B65" s="8" t="s">
        <v>25</v>
      </c>
      <c r="C65" s="18">
        <v>10634</v>
      </c>
      <c r="D65" s="18">
        <v>14190</v>
      </c>
      <c r="E65" s="18">
        <v>17757</v>
      </c>
      <c r="F65" s="18">
        <v>18065</v>
      </c>
      <c r="G65" s="10">
        <v>17710.75</v>
      </c>
      <c r="H65" s="9">
        <v>23212.25</v>
      </c>
      <c r="I65" s="9">
        <v>32209.75</v>
      </c>
      <c r="J65" s="11">
        <f>Data!E7</f>
        <v>36412</v>
      </c>
      <c r="K65" s="9">
        <f>Data!E19</f>
        <v>40057.25</v>
      </c>
      <c r="L65" s="9">
        <f>Data!$E31</f>
        <v>47841</v>
      </c>
      <c r="M65" s="9">
        <f>Data!$E43</f>
        <v>44991.5</v>
      </c>
      <c r="N65" s="9">
        <f>Data!$E55</f>
        <v>64844.25</v>
      </c>
      <c r="O65" s="9">
        <f>Data!$E67</f>
        <v>60745.5</v>
      </c>
      <c r="P65" s="9"/>
    </row>
    <row r="66" spans="1:16" ht="19.95" customHeight="1" x14ac:dyDescent="0.3">
      <c r="A66" s="44"/>
      <c r="B66" s="8" t="s">
        <v>26</v>
      </c>
      <c r="C66" s="18">
        <v>11317</v>
      </c>
      <c r="D66" s="18">
        <v>9351</v>
      </c>
      <c r="E66" s="18">
        <v>8207</v>
      </c>
      <c r="F66" s="18">
        <v>9119</v>
      </c>
      <c r="G66" s="10">
        <v>6709.5</v>
      </c>
      <c r="H66" s="12">
        <v>7523.75</v>
      </c>
      <c r="I66" s="12">
        <v>4852.25</v>
      </c>
      <c r="J66" s="19">
        <f>Data!F7</f>
        <v>3724</v>
      </c>
      <c r="K66" s="12">
        <f>Data!F19</f>
        <v>2145</v>
      </c>
      <c r="L66" s="12">
        <f>Data!$F31</f>
        <v>2042</v>
      </c>
      <c r="M66" s="9">
        <f>Data!$F43</f>
        <v>1339</v>
      </c>
      <c r="N66" s="9">
        <f>Data!$F55</f>
        <v>778</v>
      </c>
      <c r="O66" s="9">
        <f>Data!$F67</f>
        <v>4395</v>
      </c>
      <c r="P66" s="9"/>
    </row>
    <row r="67" spans="1:16" ht="19.95" customHeight="1" x14ac:dyDescent="0.3">
      <c r="A67" s="44"/>
      <c r="B67" s="8" t="s">
        <v>15</v>
      </c>
      <c r="C67" s="12">
        <f t="shared" ref="C67" si="19">SUM(C63:C66)</f>
        <v>154577</v>
      </c>
      <c r="D67" s="12">
        <f>SUM(D63:D66)</f>
        <v>163211</v>
      </c>
      <c r="E67" s="12">
        <f>SUM(E63:E66)</f>
        <v>163945</v>
      </c>
      <c r="F67" s="12">
        <f>SUM(F63:F66)</f>
        <v>198719.5</v>
      </c>
      <c r="G67" s="9">
        <f>SUM(G63:G66)</f>
        <v>192917.75</v>
      </c>
      <c r="H67" s="12">
        <f>SUM(H63:H66)</f>
        <v>208763.5</v>
      </c>
      <c r="I67" s="12">
        <f t="shared" ref="I67" si="20">SUM(I63:I66)</f>
        <v>203471.75</v>
      </c>
      <c r="J67" s="12">
        <f>Data!H7</f>
        <v>236155.25</v>
      </c>
      <c r="K67" s="12">
        <f>Data!H19</f>
        <v>240570</v>
      </c>
      <c r="L67" s="12">
        <f>Data!$H31</f>
        <v>239890</v>
      </c>
      <c r="M67" s="12">
        <f>Data!$H43</f>
        <v>226981.5</v>
      </c>
      <c r="N67" s="12">
        <f>Data!$H55</f>
        <v>279868.25</v>
      </c>
      <c r="O67" s="12">
        <f>Data!$H67</f>
        <v>290759</v>
      </c>
      <c r="P67" s="12"/>
    </row>
    <row r="68" spans="1:16" ht="19.95" customHeight="1" x14ac:dyDescent="0.25">
      <c r="A68" s="13"/>
      <c r="B68" s="14"/>
      <c r="C68" s="13"/>
      <c r="D68" s="13"/>
      <c r="E68" s="13"/>
      <c r="F68" s="13"/>
      <c r="G68" s="15"/>
      <c r="H68" s="6"/>
      <c r="I68" s="6"/>
      <c r="J68" s="16"/>
      <c r="K68" s="6"/>
      <c r="L68" s="6"/>
      <c r="M68" s="6"/>
      <c r="N68" s="6"/>
      <c r="O68" s="6"/>
      <c r="P68" s="6"/>
    </row>
    <row r="69" spans="1:16" ht="19.95" customHeight="1" x14ac:dyDescent="0.3">
      <c r="A69" s="44" t="s">
        <v>12</v>
      </c>
      <c r="B69" s="8" t="s">
        <v>18</v>
      </c>
      <c r="C69" s="18">
        <v>71105</v>
      </c>
      <c r="D69" s="18">
        <v>62931</v>
      </c>
      <c r="E69" s="18">
        <v>74381</v>
      </c>
      <c r="F69" s="18">
        <v>87596</v>
      </c>
      <c r="G69" s="9">
        <v>83464.75</v>
      </c>
      <c r="H69" s="9">
        <v>90759</v>
      </c>
      <c r="I69" s="9">
        <v>79134.25</v>
      </c>
      <c r="J69" s="9">
        <f>Data!B8</f>
        <v>86917</v>
      </c>
      <c r="K69" s="9">
        <f>Data!B20</f>
        <v>90240.75</v>
      </c>
      <c r="L69" s="9">
        <f>Data!$B32</f>
        <v>75418</v>
      </c>
      <c r="M69" s="9">
        <f>Data!$B44</f>
        <v>78284.75</v>
      </c>
      <c r="N69" s="9">
        <f>Data!$B56</f>
        <v>82670.25</v>
      </c>
      <c r="O69" s="9">
        <f>Data!$B68</f>
        <v>88667</v>
      </c>
      <c r="P69" s="9"/>
    </row>
    <row r="70" spans="1:16" ht="19.95" customHeight="1" x14ac:dyDescent="0.3">
      <c r="A70" s="44"/>
      <c r="B70" s="8" t="s">
        <v>19</v>
      </c>
      <c r="C70" s="18">
        <v>57292</v>
      </c>
      <c r="D70" s="18">
        <v>54818</v>
      </c>
      <c r="E70" s="18">
        <v>58074</v>
      </c>
      <c r="F70" s="18">
        <v>69719</v>
      </c>
      <c r="G70" s="10">
        <v>75984.5</v>
      </c>
      <c r="H70" s="9">
        <v>86305</v>
      </c>
      <c r="I70" s="9">
        <v>83025.5</v>
      </c>
      <c r="J70" s="11">
        <f>Data!C8</f>
        <v>97712.25</v>
      </c>
      <c r="K70" s="9">
        <f>Data!C20</f>
        <v>105866.75</v>
      </c>
      <c r="L70" s="9">
        <f>Data!$C32</f>
        <v>111566</v>
      </c>
      <c r="M70" s="9">
        <f>Data!$C44</f>
        <v>103710.5</v>
      </c>
      <c r="N70" s="9">
        <f>Data!$C56</f>
        <v>123217.5</v>
      </c>
      <c r="O70" s="121">
        <f>Data!$C68</f>
        <v>157589.75</v>
      </c>
      <c r="P70" s="9"/>
    </row>
    <row r="71" spans="1:16" ht="19.95" customHeight="1" x14ac:dyDescent="0.3">
      <c r="A71" s="44"/>
      <c r="B71" s="8" t="s">
        <v>25</v>
      </c>
      <c r="C71" s="18">
        <v>8278</v>
      </c>
      <c r="D71" s="18">
        <v>12707</v>
      </c>
      <c r="E71" s="18">
        <v>13515</v>
      </c>
      <c r="F71" s="18">
        <v>14518.75</v>
      </c>
      <c r="G71" s="10">
        <v>16257.25</v>
      </c>
      <c r="H71" s="9">
        <v>18521.75</v>
      </c>
      <c r="I71" s="9">
        <v>31125.75</v>
      </c>
      <c r="J71" s="11">
        <f>Data!E8</f>
        <v>39193.75</v>
      </c>
      <c r="K71" s="9">
        <f>Data!E20</f>
        <v>39364</v>
      </c>
      <c r="L71" s="9">
        <f>Data!$E32</f>
        <v>52045.5</v>
      </c>
      <c r="M71" s="9">
        <f>Data!$E44</f>
        <v>41854.25</v>
      </c>
      <c r="N71" s="9">
        <f>Data!$E56</f>
        <v>53175.25</v>
      </c>
      <c r="O71" s="121">
        <f>Data!$E68</f>
        <v>74265.25</v>
      </c>
      <c r="P71" s="9"/>
    </row>
    <row r="72" spans="1:16" ht="19.95" customHeight="1" x14ac:dyDescent="0.3">
      <c r="A72" s="44"/>
      <c r="B72" s="8" t="s">
        <v>26</v>
      </c>
      <c r="C72" s="18">
        <v>11524</v>
      </c>
      <c r="D72" s="18">
        <v>7996</v>
      </c>
      <c r="E72" s="18">
        <v>8330</v>
      </c>
      <c r="F72" s="18">
        <v>13916.5</v>
      </c>
      <c r="G72" s="10">
        <v>5384</v>
      </c>
      <c r="H72" s="12">
        <v>7690</v>
      </c>
      <c r="I72" s="12">
        <v>3753.5</v>
      </c>
      <c r="J72" s="12">
        <f>Data!F8</f>
        <v>5801.25</v>
      </c>
      <c r="K72" s="12">
        <f>Data!F20</f>
        <v>2053</v>
      </c>
      <c r="L72" s="12">
        <f>Data!$F32</f>
        <v>2091</v>
      </c>
      <c r="M72" s="9">
        <f>Data!$F44</f>
        <v>1052.25</v>
      </c>
      <c r="N72" s="9">
        <f>Data!$F56</f>
        <v>1338</v>
      </c>
      <c r="O72" s="9">
        <f>Data!$F68</f>
        <v>5005</v>
      </c>
      <c r="P72" s="9"/>
    </row>
    <row r="73" spans="1:16" ht="19.95" customHeight="1" x14ac:dyDescent="0.3">
      <c r="A73" s="44"/>
      <c r="B73" s="8" t="s">
        <v>15</v>
      </c>
      <c r="C73" s="12">
        <f t="shared" ref="C73" si="21">SUM(C69:C72)</f>
        <v>148199</v>
      </c>
      <c r="D73" s="12">
        <f>SUM(D69:D72)</f>
        <v>138452</v>
      </c>
      <c r="E73" s="12">
        <f>SUM(E69:E72)</f>
        <v>154300</v>
      </c>
      <c r="F73" s="12">
        <f>SUM(F69:F72)</f>
        <v>185750.25</v>
      </c>
      <c r="G73" s="9">
        <f>SUM(G69:G72)</f>
        <v>181090.5</v>
      </c>
      <c r="H73" s="12">
        <f>SUM(H69:H72)</f>
        <v>203275.75</v>
      </c>
      <c r="I73" s="12">
        <f t="shared" ref="I73" si="22">SUM(I69:I72)</f>
        <v>197039</v>
      </c>
      <c r="J73" s="12">
        <f>Data!H8</f>
        <v>229624.25</v>
      </c>
      <c r="K73" s="12">
        <f>Data!H20</f>
        <v>237524.5</v>
      </c>
      <c r="L73" s="12">
        <f>Data!$H32</f>
        <v>241120.5</v>
      </c>
      <c r="M73" s="12">
        <f>Data!$H44</f>
        <v>224901.75</v>
      </c>
      <c r="N73" s="12">
        <f>Data!$H56</f>
        <v>260401</v>
      </c>
      <c r="O73" s="12">
        <f>Data!$H68</f>
        <v>325527</v>
      </c>
      <c r="P73" s="12"/>
    </row>
    <row r="74" spans="1:16" ht="19.95" customHeight="1" x14ac:dyDescent="0.25">
      <c r="A74" s="13"/>
      <c r="B74" s="14"/>
      <c r="C74" s="13"/>
      <c r="D74" s="13"/>
      <c r="E74" s="13"/>
      <c r="F74" s="13"/>
      <c r="G74" s="15"/>
      <c r="H74" s="6"/>
      <c r="I74" s="6"/>
      <c r="J74" s="6"/>
      <c r="K74" s="6"/>
      <c r="L74" s="6"/>
      <c r="M74" s="6"/>
      <c r="N74" s="6"/>
      <c r="O74" s="6"/>
      <c r="P74" s="6"/>
    </row>
    <row r="75" spans="1:16" ht="19.95" customHeight="1" x14ac:dyDescent="0.3">
      <c r="A75" s="44" t="s">
        <v>0</v>
      </c>
      <c r="B75" s="8" t="s">
        <v>18</v>
      </c>
      <c r="C75" s="22">
        <f t="shared" ref="C75:L75" si="23">C3+C9+C15+C21+C27+C33+C39+C45+C51+C57+C63+C69</f>
        <v>791831</v>
      </c>
      <c r="D75" s="22">
        <f t="shared" si="23"/>
        <v>824331</v>
      </c>
      <c r="E75" s="22">
        <f t="shared" si="23"/>
        <v>855334</v>
      </c>
      <c r="F75" s="22">
        <f t="shared" si="23"/>
        <v>936808</v>
      </c>
      <c r="G75" s="23">
        <f t="shared" si="23"/>
        <v>998843.25</v>
      </c>
      <c r="H75" s="22">
        <f t="shared" si="23"/>
        <v>1034526.25</v>
      </c>
      <c r="I75" s="22">
        <f t="shared" si="23"/>
        <v>997828</v>
      </c>
      <c r="J75" s="22">
        <f t="shared" si="23"/>
        <v>1006118.75</v>
      </c>
      <c r="K75" s="22">
        <f t="shared" si="23"/>
        <v>1014570.25</v>
      </c>
      <c r="L75" s="22">
        <f t="shared" si="23"/>
        <v>977786</v>
      </c>
      <c r="M75" s="22">
        <f>M3+M9+M15+M21+M27+M33+M39+M45+M51+M57+M63+M69</f>
        <v>966102</v>
      </c>
      <c r="N75" s="22">
        <f>N3+N9+N15+N21+N27+N33+N39+N45+N51+N57+N63+N69</f>
        <v>940683.75</v>
      </c>
      <c r="O75" s="22">
        <f>O3+O9+O15+O21+O27+O33+O39+O45+O51+O57+O63+O69</f>
        <v>1049587.75</v>
      </c>
      <c r="P75" s="22">
        <f>P3+P9+P15+P21+P27+P33+P39+P45+P51+P57+P63+P69</f>
        <v>718280</v>
      </c>
    </row>
    <row r="76" spans="1:16" ht="19.95" customHeight="1" x14ac:dyDescent="0.3">
      <c r="A76" s="44"/>
      <c r="B76" s="8" t="s">
        <v>19</v>
      </c>
      <c r="C76" s="22">
        <f t="shared" ref="C76:M76" si="24">C4+C10+C16+C22+C28+C34+C40+C46+C52+C58+C64+C70</f>
        <v>689931</v>
      </c>
      <c r="D76" s="22">
        <f t="shared" si="24"/>
        <v>766680</v>
      </c>
      <c r="E76" s="22">
        <f t="shared" si="24"/>
        <v>768873.25</v>
      </c>
      <c r="F76" s="22">
        <f t="shared" si="24"/>
        <v>870317.5</v>
      </c>
      <c r="G76" s="23">
        <f t="shared" si="24"/>
        <v>934118.5</v>
      </c>
      <c r="H76" s="22">
        <f t="shared" si="24"/>
        <v>1017878.5</v>
      </c>
      <c r="I76" s="22">
        <f t="shared" si="24"/>
        <v>1082520</v>
      </c>
      <c r="J76" s="22">
        <f t="shared" si="24"/>
        <v>1174893</v>
      </c>
      <c r="K76" s="22">
        <f t="shared" si="24"/>
        <v>1276334.5</v>
      </c>
      <c r="L76" s="22">
        <f t="shared" si="24"/>
        <v>1327408.75</v>
      </c>
      <c r="M76" s="22">
        <f t="shared" si="24"/>
        <v>1366381</v>
      </c>
      <c r="N76" s="22">
        <f t="shared" ref="N76:O76" si="25">N4+N10+N16+N22+N28+N34+N40+N46+N52+N58+N64+N70</f>
        <v>1316975.5</v>
      </c>
      <c r="O76" s="22">
        <f t="shared" si="25"/>
        <v>1679528</v>
      </c>
      <c r="P76" s="22">
        <f>P4+P10+P16+P22+P28+P34+P40+P46+P52+P58+P64+P70</f>
        <v>1192548.75</v>
      </c>
    </row>
    <row r="77" spans="1:16" ht="19.95" customHeight="1" x14ac:dyDescent="0.3">
      <c r="A77" s="44"/>
      <c r="B77" s="8" t="s">
        <v>25</v>
      </c>
      <c r="C77" s="23">
        <f>C5+C11+C17+C23+C29+C35+C41+C47+C53+C59+C65+C71</f>
        <v>136529</v>
      </c>
      <c r="D77" s="23">
        <f>D5+D11+D17+D23+D29+D35+D41+D47+D53+D59+D65+D71</f>
        <v>181039</v>
      </c>
      <c r="E77" s="23">
        <f t="shared" ref="E77:K78" si="26">E5+E11+E17+E23+E29+E35+E41+E47+E53+E59+E65+E71</f>
        <v>176802.5</v>
      </c>
      <c r="F77" s="23">
        <f t="shared" si="26"/>
        <v>195567.25</v>
      </c>
      <c r="G77" s="23">
        <f t="shared" si="26"/>
        <v>188388.75</v>
      </c>
      <c r="H77" s="22">
        <f t="shared" si="26"/>
        <v>263862.5</v>
      </c>
      <c r="I77" s="22">
        <f t="shared" si="26"/>
        <v>394383.75</v>
      </c>
      <c r="J77" s="22">
        <f t="shared" si="26"/>
        <v>422843</v>
      </c>
      <c r="K77" s="22">
        <f t="shared" si="26"/>
        <v>506736.75</v>
      </c>
      <c r="L77" s="22">
        <f t="shared" ref="L77:M77" si="27">L5+L11+L17+L23+L29+L35+L41+L47+L53+L59+L65+L71</f>
        <v>528049.25</v>
      </c>
      <c r="M77" s="22">
        <f t="shared" si="27"/>
        <v>582802</v>
      </c>
      <c r="N77" s="22">
        <f t="shared" ref="N77:O77" si="28">N5+N11+N17+N23+N29+N35+N41+N47+N53+N59+N65+N71</f>
        <v>534216.5</v>
      </c>
      <c r="O77" s="22">
        <f t="shared" si="28"/>
        <v>762353.5</v>
      </c>
      <c r="P77" s="22">
        <f>P5+P11+P17+P23+P29+P35+P41+P47+P53+P59+P65+P71</f>
        <v>569573.75</v>
      </c>
    </row>
    <row r="78" spans="1:16" ht="19.95" customHeight="1" x14ac:dyDescent="0.3">
      <c r="A78" s="44"/>
      <c r="B78" s="8" t="s">
        <v>26</v>
      </c>
      <c r="C78" s="22">
        <f>C6+C12+C18+C24+C30+C36+C42+C48+C54+C60+C66+C72</f>
        <v>126937</v>
      </c>
      <c r="D78" s="22">
        <f>D6+D12+D18+D24+D30+D36+D42+D48+D54+D60+D66+D72</f>
        <v>122968</v>
      </c>
      <c r="E78" s="22">
        <f>E6+E12+E18+E24+E30+E36+E42+E48+E54+E60+E66+E72</f>
        <v>117019.25</v>
      </c>
      <c r="F78" s="22">
        <f>F6+F12+F18+F24+F30+F36+F42+F48+F54+F60+F66+F72</f>
        <v>103191.25</v>
      </c>
      <c r="G78" s="23">
        <f t="shared" si="26"/>
        <v>102182</v>
      </c>
      <c r="H78" s="22">
        <f t="shared" si="26"/>
        <v>76770.5</v>
      </c>
      <c r="I78" s="22">
        <f t="shared" si="26"/>
        <v>74538.25</v>
      </c>
      <c r="J78" s="22">
        <f t="shared" si="26"/>
        <v>51850.5</v>
      </c>
      <c r="K78" s="22">
        <f t="shared" si="26"/>
        <v>43374.75</v>
      </c>
      <c r="L78" s="22">
        <f t="shared" ref="L78:M78" si="29">L6+L12+L18+L24+L30+L36+L42+L48+L54+L60+L66+L72</f>
        <v>22660.25</v>
      </c>
      <c r="M78" s="22">
        <f t="shared" si="29"/>
        <v>22677</v>
      </c>
      <c r="N78" s="22">
        <f t="shared" ref="N78:O78" si="30">N6+N12+N18+N24+N30+N36+N42+N48+N54+N60+N66+N72</f>
        <v>21538.75</v>
      </c>
      <c r="O78" s="22">
        <f t="shared" si="30"/>
        <v>31364.5</v>
      </c>
      <c r="P78" s="22">
        <f t="shared" ref="P78" si="31">P6+P12+P18+P24+P30+P36+P42+P48+P54+P60+P66+P72</f>
        <v>32236.75</v>
      </c>
    </row>
    <row r="79" spans="1:16" ht="19.95" customHeight="1" x14ac:dyDescent="0.3">
      <c r="A79" s="44"/>
      <c r="B79" s="8" t="s">
        <v>15</v>
      </c>
      <c r="C79" s="24">
        <f t="shared" ref="C79" si="32">SUM(C75:C78)</f>
        <v>1745228</v>
      </c>
      <c r="D79" s="24">
        <f t="shared" ref="D79:K79" si="33">SUM(D75:D78)</f>
        <v>1895018</v>
      </c>
      <c r="E79" s="24">
        <f t="shared" si="33"/>
        <v>1918029</v>
      </c>
      <c r="F79" s="24">
        <f t="shared" si="33"/>
        <v>2105884</v>
      </c>
      <c r="G79" s="25">
        <f t="shared" si="33"/>
        <v>2223532.5</v>
      </c>
      <c r="H79" s="24">
        <f t="shared" si="33"/>
        <v>2393037.75</v>
      </c>
      <c r="I79" s="24">
        <f t="shared" si="33"/>
        <v>2549270</v>
      </c>
      <c r="J79" s="24">
        <f>SUM(J75:J78)</f>
        <v>2655705.25</v>
      </c>
      <c r="K79" s="24">
        <f t="shared" si="33"/>
        <v>2841016.25</v>
      </c>
      <c r="L79" s="24">
        <f t="shared" ref="L79:M79" si="34">SUM(L75:L78)</f>
        <v>2855904.25</v>
      </c>
      <c r="M79" s="24">
        <f t="shared" si="34"/>
        <v>2937962</v>
      </c>
      <c r="N79" s="24">
        <f t="shared" ref="N79:O79" si="35">SUM(N75:N78)</f>
        <v>2813414.5</v>
      </c>
      <c r="O79" s="122">
        <f t="shared" si="35"/>
        <v>3522833.75</v>
      </c>
      <c r="P79" s="122">
        <f>SUM(P75:P78)</f>
        <v>2512639.25</v>
      </c>
    </row>
    <row r="80" spans="1:16" ht="19.95" customHeight="1" x14ac:dyDescent="0.25">
      <c r="A80" s="3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</row>
    <row r="81" spans="1:16" s="7" customFormat="1" ht="19.95" customHeight="1" x14ac:dyDescent="0.25">
      <c r="A81" s="71" t="s">
        <v>16</v>
      </c>
      <c r="B81" s="72"/>
      <c r="C81" s="63">
        <v>2009</v>
      </c>
      <c r="D81" s="63">
        <v>2010</v>
      </c>
      <c r="E81" s="63">
        <f t="shared" ref="E81:N81" si="36">E2</f>
        <v>2011</v>
      </c>
      <c r="F81" s="63">
        <f t="shared" si="36"/>
        <v>2012</v>
      </c>
      <c r="G81" s="63">
        <f t="shared" si="36"/>
        <v>2013</v>
      </c>
      <c r="H81" s="63">
        <f t="shared" si="36"/>
        <v>2014</v>
      </c>
      <c r="I81" s="63">
        <f t="shared" si="36"/>
        <v>2015</v>
      </c>
      <c r="J81" s="63">
        <f t="shared" si="36"/>
        <v>2016</v>
      </c>
      <c r="K81" s="63">
        <f t="shared" si="36"/>
        <v>2017</v>
      </c>
      <c r="L81" s="63">
        <f t="shared" si="36"/>
        <v>2018</v>
      </c>
      <c r="M81" s="63">
        <f t="shared" si="36"/>
        <v>2019</v>
      </c>
      <c r="N81" s="63">
        <f t="shared" si="36"/>
        <v>2020</v>
      </c>
      <c r="O81" s="63">
        <f>O2</f>
        <v>2021</v>
      </c>
      <c r="P81" s="63">
        <f>P2</f>
        <v>2022</v>
      </c>
    </row>
    <row r="82" spans="1:16" ht="19.95" customHeight="1" x14ac:dyDescent="0.3">
      <c r="A82" s="28"/>
      <c r="B82" s="29" t="s">
        <v>18</v>
      </c>
      <c r="C82" s="30">
        <v>-0.159</v>
      </c>
      <c r="D82" s="30">
        <f>(D75-C75)/C75</f>
        <v>4.1044111685448033E-2</v>
      </c>
      <c r="E82" s="30">
        <f t="shared" ref="E82:N82" si="37">(E75-D75)/D75</f>
        <v>3.7609892142840683E-2</v>
      </c>
      <c r="F82" s="30">
        <f t="shared" si="37"/>
        <v>9.5254017728746893E-2</v>
      </c>
      <c r="G82" s="30">
        <f t="shared" si="37"/>
        <v>6.6219812384181176E-2</v>
      </c>
      <c r="H82" s="30">
        <f t="shared" si="37"/>
        <v>3.5724324111916457E-2</v>
      </c>
      <c r="I82" s="30">
        <f t="shared" si="37"/>
        <v>-3.5473483635625483E-2</v>
      </c>
      <c r="J82" s="30">
        <f t="shared" si="37"/>
        <v>8.3087967064464016E-3</v>
      </c>
      <c r="K82" s="30">
        <f t="shared" si="37"/>
        <v>8.4001018766422953E-3</v>
      </c>
      <c r="L82" s="30">
        <f t="shared" si="37"/>
        <v>-3.6255991145019283E-2</v>
      </c>
      <c r="M82" s="30">
        <f t="shared" si="37"/>
        <v>-1.1949444970576383E-2</v>
      </c>
      <c r="N82" s="30">
        <f t="shared" si="37"/>
        <v>-2.6310110112596808E-2</v>
      </c>
      <c r="O82" s="31">
        <f>O75/(N3+N9+N15+N21+N27+N33+N39+N45+N51+N57+N63+N69)-1</f>
        <v>0.11577110798395318</v>
      </c>
      <c r="P82" s="31">
        <f>P75/(O3+O9+O15+O21+O27+O33+O39+O45)-1</f>
        <v>1.5219171116825247E-2</v>
      </c>
    </row>
    <row r="83" spans="1:16" ht="19.95" customHeight="1" x14ac:dyDescent="0.3">
      <c r="A83" s="28"/>
      <c r="B83" s="29" t="s">
        <v>19</v>
      </c>
      <c r="C83" s="30">
        <v>-0.19600000000000001</v>
      </c>
      <c r="D83" s="30">
        <f>(D76-C76)/C76</f>
        <v>0.11124155893850254</v>
      </c>
      <c r="E83" s="30">
        <f t="shared" ref="E83:N83" si="38">(E76-D76)/D76</f>
        <v>2.8607111180675117E-3</v>
      </c>
      <c r="F83" s="30">
        <f t="shared" si="38"/>
        <v>0.13193884687755753</v>
      </c>
      <c r="G83" s="30">
        <f t="shared" si="38"/>
        <v>7.3307729650386205E-2</v>
      </c>
      <c r="H83" s="30">
        <f t="shared" si="38"/>
        <v>8.9667424422062089E-2</v>
      </c>
      <c r="I83" s="30">
        <f t="shared" si="38"/>
        <v>6.3506106082405714E-2</v>
      </c>
      <c r="J83" s="30">
        <f t="shared" si="38"/>
        <v>8.5331448841591842E-2</v>
      </c>
      <c r="K83" s="30">
        <f t="shared" si="38"/>
        <v>8.6341054036410125E-2</v>
      </c>
      <c r="L83" s="30">
        <f t="shared" si="38"/>
        <v>4.0016351512867511E-2</v>
      </c>
      <c r="M83" s="30">
        <f t="shared" si="38"/>
        <v>2.9359645248684701E-2</v>
      </c>
      <c r="N83" s="30">
        <f t="shared" si="38"/>
        <v>-3.6157923741621113E-2</v>
      </c>
      <c r="O83" s="31">
        <f>O76/(N4+N10+N16+N22+N28+N34+N40+N46+N52+N58+N64+N70)-1</f>
        <v>0.27529175751561064</v>
      </c>
      <c r="P83" s="31">
        <f>P76/(O4+O10+O16+O22+O28+O34+O40+O46)-1</f>
        <v>0.104300251825725</v>
      </c>
    </row>
    <row r="84" spans="1:16" ht="19.95" customHeight="1" x14ac:dyDescent="0.3">
      <c r="A84" s="28"/>
      <c r="B84" s="29" t="s">
        <v>25</v>
      </c>
      <c r="C84" s="30">
        <v>-0.23499999999999999</v>
      </c>
      <c r="D84" s="30">
        <f>(D77-C77)/C77</f>
        <v>0.32601132360157914</v>
      </c>
      <c r="E84" s="30">
        <f t="shared" ref="E84:N84" si="39">(E77-D77)/D77</f>
        <v>-2.3401035136075651E-2</v>
      </c>
      <c r="F84" s="30">
        <f t="shared" si="39"/>
        <v>0.10613396303785297</v>
      </c>
      <c r="G84" s="30">
        <f t="shared" si="39"/>
        <v>-3.6706043573246541E-2</v>
      </c>
      <c r="H84" s="30">
        <f t="shared" si="39"/>
        <v>0.4006276914093862</v>
      </c>
      <c r="I84" s="30">
        <f t="shared" si="39"/>
        <v>0.49465630773603675</v>
      </c>
      <c r="J84" s="30">
        <f t="shared" si="39"/>
        <v>7.2161314962900985E-2</v>
      </c>
      <c r="K84" s="30">
        <f t="shared" si="39"/>
        <v>0.19840401756680376</v>
      </c>
      <c r="L84" s="30">
        <f t="shared" si="39"/>
        <v>4.2058327129421737E-2</v>
      </c>
      <c r="M84" s="30">
        <f t="shared" si="39"/>
        <v>0.10368871842919955</v>
      </c>
      <c r="N84" s="30">
        <f t="shared" si="39"/>
        <v>-8.3365362507335256E-2</v>
      </c>
      <c r="O84" s="31">
        <f>O77/(N5+N11+N17+N23+N29+N35+N41+N47+N53+N59+N65+N71)-1</f>
        <v>0.42704970737519332</v>
      </c>
      <c r="P84" s="31">
        <f>P77/(O5+O11+O17+O23+O29+O35+O41+O47)-1</f>
        <v>0.19324880415603252</v>
      </c>
    </row>
    <row r="85" spans="1:16" ht="19.95" customHeight="1" x14ac:dyDescent="0.3">
      <c r="A85" s="28"/>
      <c r="B85" s="29" t="s">
        <v>26</v>
      </c>
      <c r="C85" s="30">
        <v>0.215</v>
      </c>
      <c r="D85" s="30">
        <f>(D78-C78)/C78</f>
        <v>-3.1267479143197018E-2</v>
      </c>
      <c r="E85" s="30">
        <f t="shared" ref="E85:N85" si="40">(E78-D78)/D78</f>
        <v>-4.8376406870080019E-2</v>
      </c>
      <c r="F85" s="30">
        <f t="shared" si="40"/>
        <v>-0.11816859191970552</v>
      </c>
      <c r="G85" s="30">
        <f t="shared" si="40"/>
        <v>-9.7803835111988664E-3</v>
      </c>
      <c r="H85" s="30">
        <f t="shared" si="40"/>
        <v>-0.24868861443307042</v>
      </c>
      <c r="I85" s="30">
        <f t="shared" si="40"/>
        <v>-2.9076924078910518E-2</v>
      </c>
      <c r="J85" s="30">
        <f t="shared" si="40"/>
        <v>-0.30437728280446619</v>
      </c>
      <c r="K85" s="30">
        <f t="shared" si="40"/>
        <v>-0.16346515462724565</v>
      </c>
      <c r="L85" s="30">
        <f t="shared" si="40"/>
        <v>-0.47757047591052398</v>
      </c>
      <c r="M85" s="30">
        <f t="shared" si="40"/>
        <v>7.3917984135214753E-4</v>
      </c>
      <c r="N85" s="30">
        <f t="shared" si="40"/>
        <v>-5.0194029192573972E-2</v>
      </c>
      <c r="O85" s="31">
        <f>O78/(N6+N12+N18+N24+N30+N36+N42+N48+N54+N60+N66+N72)-1</f>
        <v>0.45618942603447277</v>
      </c>
      <c r="P85" s="31">
        <f>P78/(O6+O12+O18+O24+O30+O36+O42+O48)-1</f>
        <v>0.88579660124601478</v>
      </c>
    </row>
    <row r="86" spans="1:16" ht="19.95" customHeight="1" x14ac:dyDescent="0.3">
      <c r="A86" s="28"/>
      <c r="B86" s="29" t="s">
        <v>15</v>
      </c>
      <c r="C86" s="30">
        <v>-0.16200000000000001</v>
      </c>
      <c r="D86" s="30">
        <f>(D79-C79)/C79</f>
        <v>8.5828327301647689E-2</v>
      </c>
      <c r="E86" s="30">
        <f t="shared" ref="E86:N86" si="41">(E79-D79)/D79</f>
        <v>1.2142892574107476E-2</v>
      </c>
      <c r="F86" s="30">
        <f t="shared" si="41"/>
        <v>9.7941689098548557E-2</v>
      </c>
      <c r="G86" s="30">
        <f t="shared" si="41"/>
        <v>5.5866562450733279E-2</v>
      </c>
      <c r="H86" s="30">
        <f t="shared" si="41"/>
        <v>7.623241396291712E-2</v>
      </c>
      <c r="I86" s="30">
        <f t="shared" si="41"/>
        <v>6.5286161908645196E-2</v>
      </c>
      <c r="J86" s="30">
        <f t="shared" si="41"/>
        <v>4.1751266048711981E-2</v>
      </c>
      <c r="K86" s="30">
        <f t="shared" si="41"/>
        <v>6.9778451505489919E-2</v>
      </c>
      <c r="L86" s="30">
        <f t="shared" si="41"/>
        <v>5.2403783329292818E-3</v>
      </c>
      <c r="M86" s="30">
        <f t="shared" si="41"/>
        <v>2.8732668470940508E-2</v>
      </c>
      <c r="N86" s="30">
        <f t="shared" si="41"/>
        <v>-4.2392481590980413E-2</v>
      </c>
      <c r="O86" s="31">
        <f>O79/(N7+N13+N19+N25+N31+N37+N43+N49+N55+N61+N67+N73)-1</f>
        <v>0.25215596564246034</v>
      </c>
      <c r="P86" s="31">
        <f>P79/(O7+O13+O19+O25+O31+O37+O43+O49)-1</f>
        <v>0.10114104758396758</v>
      </c>
    </row>
    <row r="91" spans="1:16" x14ac:dyDescent="0.25">
      <c r="C91" s="10"/>
      <c r="D91" s="10"/>
      <c r="E91" s="10"/>
      <c r="F91" s="10"/>
      <c r="G91" s="10"/>
      <c r="H91" s="10"/>
      <c r="I91" s="10"/>
    </row>
    <row r="92" spans="1:16" x14ac:dyDescent="0.25">
      <c r="C92" s="10"/>
      <c r="D92" s="10"/>
      <c r="E92" s="10"/>
      <c r="F92" s="10"/>
      <c r="G92" s="10"/>
      <c r="H92" s="10"/>
      <c r="I92" s="10"/>
    </row>
    <row r="93" spans="1:16" x14ac:dyDescent="0.25">
      <c r="C93" s="10"/>
      <c r="D93" s="10"/>
      <c r="E93" s="10"/>
      <c r="F93" s="10"/>
      <c r="G93" s="10"/>
      <c r="H93" s="10"/>
      <c r="I93" s="10"/>
    </row>
    <row r="94" spans="1:16" x14ac:dyDescent="0.25">
      <c r="C94" s="10"/>
      <c r="D94" s="10"/>
      <c r="E94" s="10"/>
      <c r="F94" s="10"/>
      <c r="G94" s="10"/>
      <c r="H94" s="10"/>
      <c r="I94" s="10"/>
    </row>
    <row r="98" spans="4:9" x14ac:dyDescent="0.25">
      <c r="D98" s="32"/>
      <c r="E98" s="32"/>
      <c r="F98" s="32"/>
      <c r="G98" s="32"/>
      <c r="H98" s="32"/>
      <c r="I98" s="32"/>
    </row>
    <row r="99" spans="4:9" x14ac:dyDescent="0.25">
      <c r="D99" s="32"/>
      <c r="E99" s="32"/>
      <c r="F99" s="32"/>
      <c r="G99" s="32"/>
      <c r="H99" s="32"/>
      <c r="I99" s="32"/>
    </row>
    <row r="100" spans="4:9" x14ac:dyDescent="0.25">
      <c r="D100" s="32"/>
      <c r="E100" s="32"/>
      <c r="F100" s="32"/>
      <c r="G100" s="32"/>
      <c r="H100" s="32"/>
      <c r="I100" s="32"/>
    </row>
    <row r="101" spans="4:9" x14ac:dyDescent="0.25">
      <c r="D101" s="32"/>
      <c r="E101" s="32"/>
      <c r="F101" s="32"/>
      <c r="G101" s="32"/>
      <c r="H101" s="32"/>
      <c r="I101" s="32"/>
    </row>
    <row r="102" spans="4:9" x14ac:dyDescent="0.25">
      <c r="D102" s="32"/>
      <c r="E102" s="32"/>
      <c r="F102" s="32"/>
      <c r="G102" s="32"/>
      <c r="H102" s="32"/>
      <c r="I102" s="32"/>
    </row>
  </sheetData>
  <printOptions horizontalCentered="1" verticalCentered="1"/>
  <pageMargins left="0.25" right="0.25" top="0" bottom="0.25" header="0.3" footer="0.05"/>
  <pageSetup scale="34" orientation="landscape" horizontalDpi="300" verticalDpi="300" r:id="rId1"/>
  <headerFooter>
    <oddFooter>&amp;L&amp;"Arial,Italic"&amp;11VPA, Market Analysis and Strategy</oddFooter>
  </headerFooter>
  <ignoredErrors>
    <ignoredError sqref="E7:J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V19"/>
  <sheetViews>
    <sheetView showGridLines="0" defaultGridColor="0" colorId="9" zoomScale="80" zoomScaleNormal="80" zoomScalePageLayoutView="80" workbookViewId="0">
      <selection activeCell="A2" sqref="A2"/>
    </sheetView>
  </sheetViews>
  <sheetFormatPr defaultColWidth="11.453125" defaultRowHeight="15" x14ac:dyDescent="0.25"/>
  <cols>
    <col min="1" max="1" width="11.6328125" style="3" customWidth="1"/>
    <col min="2" max="4" width="12.26953125" style="3" hidden="1" customWidth="1"/>
    <col min="5" max="12" width="12.26953125" style="3" customWidth="1"/>
    <col min="13" max="15" width="11.90625" style="3" bestFit="1" customWidth="1"/>
    <col min="16" max="16384" width="11.453125" style="3"/>
  </cols>
  <sheetData>
    <row r="1" spans="1:22" ht="64.95" customHeight="1" x14ac:dyDescent="0.25">
      <c r="B1" s="2"/>
      <c r="E1" s="2"/>
      <c r="F1" s="2" t="s">
        <v>58</v>
      </c>
      <c r="G1" s="2"/>
      <c r="H1" s="2"/>
      <c r="I1" s="2"/>
      <c r="J1" s="2"/>
      <c r="K1" s="2"/>
      <c r="L1" s="2"/>
      <c r="M1" s="2"/>
      <c r="N1" s="2"/>
      <c r="O1" s="2"/>
    </row>
    <row r="2" spans="1:22" ht="19.95" customHeight="1" x14ac:dyDescent="0.25">
      <c r="A2" s="68"/>
      <c r="B2" s="69">
        <v>2009</v>
      </c>
      <c r="C2" s="69">
        <v>2010</v>
      </c>
      <c r="D2" s="69">
        <v>2011</v>
      </c>
      <c r="E2" s="69">
        <v>2012</v>
      </c>
      <c r="F2" s="69">
        <v>2013</v>
      </c>
      <c r="G2" s="69">
        <v>2014</v>
      </c>
      <c r="H2" s="69">
        <v>2015</v>
      </c>
      <c r="I2" s="69">
        <v>2016</v>
      </c>
      <c r="J2" s="69">
        <v>2017</v>
      </c>
      <c r="K2" s="69">
        <v>2018</v>
      </c>
      <c r="L2" s="69">
        <v>2019</v>
      </c>
      <c r="M2" s="69">
        <v>2020</v>
      </c>
      <c r="N2" s="69">
        <v>2021</v>
      </c>
      <c r="O2" s="69">
        <v>2022</v>
      </c>
    </row>
    <row r="3" spans="1:22" ht="19.95" customHeight="1" x14ac:dyDescent="0.3">
      <c r="A3" s="33" t="s">
        <v>1</v>
      </c>
      <c r="B3" s="10">
        <v>79674</v>
      </c>
      <c r="C3" s="34">
        <v>81812</v>
      </c>
      <c r="D3" s="34">
        <v>91527</v>
      </c>
      <c r="E3" s="10">
        <v>88749</v>
      </c>
      <c r="F3" s="10">
        <v>90900</v>
      </c>
      <c r="G3" s="10">
        <v>96225</v>
      </c>
      <c r="H3" s="34">
        <v>111322</v>
      </c>
      <c r="I3" s="34">
        <v>109767</v>
      </c>
      <c r="J3" s="34">
        <f>Data!I9</f>
        <v>128420</v>
      </c>
      <c r="K3" s="35">
        <f>Data!I21</f>
        <v>125369</v>
      </c>
      <c r="L3" s="35">
        <f>Data!I33</f>
        <v>134638</v>
      </c>
      <c r="M3" s="35">
        <f>Data!I45</f>
        <v>126634</v>
      </c>
      <c r="N3" s="35">
        <f>Data!I57</f>
        <v>148450</v>
      </c>
      <c r="O3" s="35">
        <f>Data!I69</f>
        <v>144572</v>
      </c>
      <c r="P3" s="32"/>
      <c r="Q3" s="32"/>
      <c r="R3" s="32"/>
      <c r="U3" s="37"/>
    </row>
    <row r="4" spans="1:22" ht="19.95" customHeight="1" x14ac:dyDescent="0.3">
      <c r="A4" s="33" t="s">
        <v>2</v>
      </c>
      <c r="B4" s="38">
        <v>75595</v>
      </c>
      <c r="C4" s="10">
        <v>87394</v>
      </c>
      <c r="D4" s="10">
        <v>87615</v>
      </c>
      <c r="E4" s="38">
        <v>89577</v>
      </c>
      <c r="F4" s="38">
        <v>96404</v>
      </c>
      <c r="G4" s="10">
        <v>102289</v>
      </c>
      <c r="H4" s="34">
        <v>101184</v>
      </c>
      <c r="I4" s="34">
        <v>124458</v>
      </c>
      <c r="J4" s="34">
        <f>Data!I10</f>
        <v>124607</v>
      </c>
      <c r="K4" s="35">
        <f>Data!I22</f>
        <v>122919</v>
      </c>
      <c r="L4" s="35">
        <f>Data!I34</f>
        <v>127596</v>
      </c>
      <c r="M4" s="35">
        <f>Data!I46</f>
        <v>114959</v>
      </c>
      <c r="N4" s="35">
        <f>Data!I58</f>
        <v>136803</v>
      </c>
      <c r="O4" s="35">
        <f>Data!I70</f>
        <v>162674</v>
      </c>
      <c r="P4" s="32"/>
      <c r="Q4" s="32"/>
      <c r="R4" s="32"/>
      <c r="U4" s="35"/>
    </row>
    <row r="5" spans="1:22" ht="19.95" customHeight="1" x14ac:dyDescent="0.3">
      <c r="A5" s="33" t="s">
        <v>3</v>
      </c>
      <c r="B5" s="38">
        <v>77422</v>
      </c>
      <c r="C5" s="10">
        <v>94509</v>
      </c>
      <c r="D5" s="10">
        <v>91506</v>
      </c>
      <c r="E5" s="38">
        <v>96351</v>
      </c>
      <c r="F5" s="38">
        <v>102564</v>
      </c>
      <c r="G5" s="10">
        <v>112006</v>
      </c>
      <c r="H5" s="34">
        <v>129873</v>
      </c>
      <c r="I5" s="34">
        <v>120519</v>
      </c>
      <c r="J5" s="34">
        <f>Data!I11</f>
        <v>131800</v>
      </c>
      <c r="K5" s="35">
        <f>Data!I23</f>
        <v>142869</v>
      </c>
      <c r="L5" s="35">
        <f>Data!I35</f>
        <v>135146</v>
      </c>
      <c r="M5" s="35">
        <f>Data!I47</f>
        <v>122655</v>
      </c>
      <c r="N5" s="35">
        <f>Data!I59</f>
        <v>155311</v>
      </c>
      <c r="O5" s="35">
        <f>Data!I71</f>
        <v>173746</v>
      </c>
      <c r="P5" s="120"/>
      <c r="Q5" s="32"/>
      <c r="R5" s="32"/>
      <c r="U5" s="35"/>
    </row>
    <row r="6" spans="1:22" ht="19.95" customHeight="1" x14ac:dyDescent="0.3">
      <c r="A6" s="33" t="s">
        <v>4</v>
      </c>
      <c r="B6" s="38">
        <v>81724</v>
      </c>
      <c r="C6" s="10">
        <v>83985</v>
      </c>
      <c r="D6" s="10">
        <v>92967</v>
      </c>
      <c r="E6" s="38">
        <v>97200</v>
      </c>
      <c r="F6" s="38">
        <v>102986</v>
      </c>
      <c r="G6" s="36">
        <v>114875</v>
      </c>
      <c r="H6" s="34">
        <v>120552</v>
      </c>
      <c r="I6" s="34">
        <v>121746</v>
      </c>
      <c r="J6" s="34">
        <f>Data!I12</f>
        <v>128321</v>
      </c>
      <c r="K6" s="35">
        <f>Data!I24</f>
        <v>124936</v>
      </c>
      <c r="L6" s="35">
        <f>Data!I36</f>
        <v>138996</v>
      </c>
      <c r="M6" s="35">
        <f>Data!I48</f>
        <v>116459</v>
      </c>
      <c r="N6" s="35">
        <f>Data!I60</f>
        <v>159688</v>
      </c>
      <c r="O6" s="35">
        <f>Data!I72</f>
        <v>180611</v>
      </c>
      <c r="U6" s="35"/>
    </row>
    <row r="7" spans="1:22" ht="19.95" customHeight="1" x14ac:dyDescent="0.3">
      <c r="A7" s="33" t="s">
        <v>5</v>
      </c>
      <c r="B7" s="38">
        <v>80408</v>
      </c>
      <c r="C7" s="10">
        <v>92296</v>
      </c>
      <c r="D7" s="10">
        <v>91640</v>
      </c>
      <c r="E7" s="38">
        <v>102987</v>
      </c>
      <c r="F7" s="38">
        <v>110920</v>
      </c>
      <c r="G7" s="36">
        <v>117079</v>
      </c>
      <c r="H7" s="34">
        <v>133411</v>
      </c>
      <c r="I7" s="34">
        <v>124753</v>
      </c>
      <c r="J7" s="34">
        <f>Data!I13</f>
        <v>141218</v>
      </c>
      <c r="K7" s="35">
        <f>Data!I25</f>
        <v>134802</v>
      </c>
      <c r="L7" s="35">
        <f>Data!I37</f>
        <v>146018</v>
      </c>
      <c r="M7" s="35">
        <f>Data!I49</f>
        <v>112913</v>
      </c>
      <c r="N7" s="35">
        <f>Data!I61</f>
        <v>176081</v>
      </c>
      <c r="O7" s="35">
        <f>Data!I73</f>
        <v>189761</v>
      </c>
      <c r="P7" s="32"/>
      <c r="U7" s="35"/>
    </row>
    <row r="8" spans="1:22" ht="19.95" customHeight="1" x14ac:dyDescent="0.3">
      <c r="A8" s="33" t="s">
        <v>6</v>
      </c>
      <c r="B8" s="38">
        <v>79844</v>
      </c>
      <c r="C8" s="10">
        <v>92382</v>
      </c>
      <c r="D8" s="10">
        <v>88007</v>
      </c>
      <c r="E8" s="38">
        <v>97346</v>
      </c>
      <c r="F8" s="38">
        <v>101391</v>
      </c>
      <c r="G8" s="36">
        <v>107280</v>
      </c>
      <c r="H8" s="34">
        <v>122919</v>
      </c>
      <c r="I8" s="34">
        <f>Data!I2</f>
        <v>123974</v>
      </c>
      <c r="J8" s="34">
        <f>Data!I14</f>
        <v>132764</v>
      </c>
      <c r="K8" s="35">
        <f>Data!I26</f>
        <v>127265</v>
      </c>
      <c r="L8" s="35">
        <f>Data!I38</f>
        <v>134371</v>
      </c>
      <c r="M8" s="35">
        <f>Data!I50</f>
        <v>117525</v>
      </c>
      <c r="N8" s="35">
        <f>Data!I62</f>
        <v>156857</v>
      </c>
      <c r="O8" s="35">
        <f>Data!I74</f>
        <v>175600</v>
      </c>
      <c r="U8" s="35"/>
    </row>
    <row r="9" spans="1:22" ht="19.95" customHeight="1" x14ac:dyDescent="0.3">
      <c r="A9" s="33" t="s">
        <v>7</v>
      </c>
      <c r="B9" s="38">
        <v>81041</v>
      </c>
      <c r="C9" s="10">
        <v>88575</v>
      </c>
      <c r="D9" s="10">
        <v>96557</v>
      </c>
      <c r="E9" s="38">
        <v>104430</v>
      </c>
      <c r="F9" s="38">
        <v>117769</v>
      </c>
      <c r="G9" s="36">
        <v>119841</v>
      </c>
      <c r="H9" s="34">
        <v>130146</v>
      </c>
      <c r="I9" s="34">
        <f>Data!I3</f>
        <v>124067</v>
      </c>
      <c r="J9" s="34">
        <v>134104</v>
      </c>
      <c r="K9" s="35">
        <f>Data!I27</f>
        <v>143531</v>
      </c>
      <c r="L9" s="35">
        <f>Data!I39</f>
        <v>149163</v>
      </c>
      <c r="M9" s="35">
        <f>Data!I51</f>
        <v>122446</v>
      </c>
      <c r="N9" s="35">
        <f>Data!I63</f>
        <v>164227</v>
      </c>
      <c r="O9" s="35">
        <f>Data!I75</f>
        <v>176441</v>
      </c>
      <c r="U9" s="35"/>
    </row>
    <row r="10" spans="1:22" ht="19.95" customHeight="1" x14ac:dyDescent="0.3">
      <c r="A10" s="33" t="s">
        <v>8</v>
      </c>
      <c r="B10" s="38">
        <v>85649</v>
      </c>
      <c r="C10" s="10">
        <v>99536</v>
      </c>
      <c r="D10" s="10">
        <v>87048</v>
      </c>
      <c r="E10" s="38">
        <v>109136</v>
      </c>
      <c r="F10" s="38">
        <v>114230</v>
      </c>
      <c r="G10" s="36">
        <v>124656</v>
      </c>
      <c r="H10" s="34">
        <v>125276</v>
      </c>
      <c r="I10" s="34">
        <f>Data!I4</f>
        <v>133076</v>
      </c>
      <c r="J10" s="34">
        <f>Data!I16</f>
        <v>136826</v>
      </c>
      <c r="K10" s="35">
        <f>Data!I28</f>
        <v>146726</v>
      </c>
      <c r="L10" s="35">
        <f>Data!I40</f>
        <v>143327</v>
      </c>
      <c r="M10" s="35">
        <f>Data!I52</f>
        <v>136144</v>
      </c>
      <c r="N10" s="35">
        <f>Data!I64</f>
        <v>172094</v>
      </c>
      <c r="O10" s="35">
        <f>Data!I76</f>
        <v>189652</v>
      </c>
      <c r="Q10" s="35"/>
      <c r="U10" s="35"/>
    </row>
    <row r="11" spans="1:22" ht="19.95" customHeight="1" x14ac:dyDescent="0.3">
      <c r="A11" s="33" t="s">
        <v>9</v>
      </c>
      <c r="B11" s="38">
        <v>89359</v>
      </c>
      <c r="C11" s="10">
        <v>88141</v>
      </c>
      <c r="D11" s="10">
        <v>93794</v>
      </c>
      <c r="E11" s="38">
        <v>104275</v>
      </c>
      <c r="F11" s="38">
        <v>105464</v>
      </c>
      <c r="G11" s="36">
        <v>115827</v>
      </c>
      <c r="H11" s="34">
        <v>122308</v>
      </c>
      <c r="I11" s="34">
        <f>Data!I5</f>
        <v>123795</v>
      </c>
      <c r="J11" s="34">
        <f>Data!I17</f>
        <v>135042</v>
      </c>
      <c r="K11" s="35">
        <f>Data!I29</f>
        <v>124736</v>
      </c>
      <c r="L11" s="35">
        <f>Data!I41</f>
        <v>134948</v>
      </c>
      <c r="M11" s="35">
        <f>Data!I53</f>
        <v>140636</v>
      </c>
      <c r="N11" s="35">
        <f>Data!I65</f>
        <v>170998</v>
      </c>
      <c r="O11" s="35"/>
      <c r="U11" s="35"/>
    </row>
    <row r="12" spans="1:22" ht="19.95" customHeight="1" x14ac:dyDescent="0.3">
      <c r="A12" s="33" t="s">
        <v>10</v>
      </c>
      <c r="B12" s="38">
        <v>90175</v>
      </c>
      <c r="C12" s="10">
        <v>99933</v>
      </c>
      <c r="D12" s="10">
        <v>98656</v>
      </c>
      <c r="E12" s="38">
        <v>100478</v>
      </c>
      <c r="F12" s="38">
        <v>117704</v>
      </c>
      <c r="G12" s="36">
        <v>126100</v>
      </c>
      <c r="H12" s="34">
        <v>131076</v>
      </c>
      <c r="I12" s="39">
        <f>Data!I6</f>
        <v>134344</v>
      </c>
      <c r="J12" s="34">
        <f>Data!I18</f>
        <v>149595</v>
      </c>
      <c r="K12" s="35">
        <f>Data!I30</f>
        <v>150931</v>
      </c>
      <c r="L12" s="35">
        <f>Data!I42</f>
        <v>148242</v>
      </c>
      <c r="M12" s="35">
        <f>Data!I54</f>
        <v>149675</v>
      </c>
      <c r="N12" s="35">
        <f>Data!I66</f>
        <v>176964</v>
      </c>
      <c r="O12" s="35"/>
      <c r="U12" s="35"/>
    </row>
    <row r="13" spans="1:22" ht="19.95" customHeight="1" x14ac:dyDescent="0.3">
      <c r="A13" s="33" t="s">
        <v>11</v>
      </c>
      <c r="B13" s="38">
        <v>87430</v>
      </c>
      <c r="C13" s="10">
        <v>93033</v>
      </c>
      <c r="D13" s="10">
        <v>93552</v>
      </c>
      <c r="E13" s="36">
        <v>113288</v>
      </c>
      <c r="F13" s="36">
        <v>110369</v>
      </c>
      <c r="G13" s="36">
        <v>119267</v>
      </c>
      <c r="H13" s="34">
        <v>114412</v>
      </c>
      <c r="I13" s="34">
        <f>Data!I7</f>
        <v>133214</v>
      </c>
      <c r="J13" s="34">
        <f>Data!I19</f>
        <v>135469</v>
      </c>
      <c r="K13" s="35">
        <f>Data!I31</f>
        <v>133711</v>
      </c>
      <c r="L13" s="35">
        <f>Data!I43</f>
        <v>126063</v>
      </c>
      <c r="M13" s="35">
        <f>Data!I55</f>
        <v>152755</v>
      </c>
      <c r="N13" s="35">
        <f>Data!I67</f>
        <v>161993</v>
      </c>
      <c r="O13" s="35"/>
      <c r="U13" s="35"/>
    </row>
    <row r="14" spans="1:22" ht="19.95" customHeight="1" x14ac:dyDescent="0.3">
      <c r="A14" s="33" t="s">
        <v>12</v>
      </c>
      <c r="B14" s="38">
        <v>84222</v>
      </c>
      <c r="C14" s="10">
        <v>79140</v>
      </c>
      <c r="D14" s="10">
        <v>89182</v>
      </c>
      <c r="E14" s="38">
        <v>106005</v>
      </c>
      <c r="F14" s="38">
        <v>104210</v>
      </c>
      <c r="G14" s="36">
        <v>117693</v>
      </c>
      <c r="H14" s="34">
        <v>112269</v>
      </c>
      <c r="I14" s="34">
        <f>Data!I8</f>
        <v>130173</v>
      </c>
      <c r="J14" s="34">
        <f>Data!I20</f>
        <v>134594</v>
      </c>
      <c r="K14" s="35">
        <f>Data!I32</f>
        <v>135091</v>
      </c>
      <c r="L14" s="35">
        <f>Data!I44</f>
        <v>125281</v>
      </c>
      <c r="M14" s="35">
        <f>Data!I56</f>
        <v>143262</v>
      </c>
      <c r="N14" s="35">
        <f>Data!I68</f>
        <v>180284</v>
      </c>
      <c r="O14" s="35"/>
      <c r="U14" s="35"/>
      <c r="V14" s="36"/>
    </row>
    <row r="15" spans="1:22" ht="19.95" customHeight="1" x14ac:dyDescent="0.3">
      <c r="A15" s="60" t="s">
        <v>0</v>
      </c>
      <c r="B15" s="23">
        <f t="shared" ref="B15:G15" si="0">SUM(B3:B14)</f>
        <v>992543</v>
      </c>
      <c r="C15" s="23">
        <f t="shared" si="0"/>
        <v>1080736</v>
      </c>
      <c r="D15" s="23">
        <f t="shared" si="0"/>
        <v>1102051</v>
      </c>
      <c r="E15" s="23">
        <f t="shared" si="0"/>
        <v>1209822</v>
      </c>
      <c r="F15" s="23">
        <f t="shared" si="0"/>
        <v>1274911</v>
      </c>
      <c r="G15" s="23">
        <f t="shared" si="0"/>
        <v>1373138</v>
      </c>
      <c r="H15" s="23">
        <f t="shared" ref="H15:I15" si="1">SUM(H3:H14)</f>
        <v>1454748</v>
      </c>
      <c r="I15" s="23">
        <f t="shared" si="1"/>
        <v>1503886</v>
      </c>
      <c r="J15" s="23">
        <f t="shared" ref="J15:O15" si="2">SUM(J3:J14)</f>
        <v>1612760</v>
      </c>
      <c r="K15" s="23">
        <f t="shared" si="2"/>
        <v>1612886</v>
      </c>
      <c r="L15" s="23">
        <f t="shared" si="2"/>
        <v>1643789</v>
      </c>
      <c r="M15" s="23">
        <f t="shared" si="2"/>
        <v>1556063</v>
      </c>
      <c r="N15" s="23">
        <f t="shared" si="2"/>
        <v>1959750</v>
      </c>
      <c r="O15" s="23">
        <f t="shared" si="2"/>
        <v>1393057</v>
      </c>
      <c r="U15" s="35"/>
    </row>
    <row r="16" spans="1:22" ht="19.95" customHeight="1" x14ac:dyDescent="0.25">
      <c r="A16" s="70"/>
      <c r="H16" s="70"/>
      <c r="I16" s="70"/>
      <c r="J16" s="70"/>
    </row>
    <row r="17" spans="1:15" s="43" customFormat="1" ht="19.95" customHeight="1" x14ac:dyDescent="0.3">
      <c r="A17" s="60" t="s">
        <v>16</v>
      </c>
      <c r="B17" s="41">
        <v>-0.17347248927642628</v>
      </c>
      <c r="C17" s="41">
        <f t="shared" ref="C17:I17" si="3">(C15-B15)/B15</f>
        <v>8.8855596180719629E-2</v>
      </c>
      <c r="D17" s="41">
        <f t="shared" si="3"/>
        <v>1.9722670476416071E-2</v>
      </c>
      <c r="E17" s="41">
        <f t="shared" si="3"/>
        <v>9.7791300039653334E-2</v>
      </c>
      <c r="F17" s="41">
        <f t="shared" si="3"/>
        <v>5.3800476433723307E-2</v>
      </c>
      <c r="G17" s="41">
        <f t="shared" si="3"/>
        <v>7.704616243800548E-2</v>
      </c>
      <c r="H17" s="41">
        <f t="shared" si="3"/>
        <v>5.9433210645980228E-2</v>
      </c>
      <c r="I17" s="41">
        <f t="shared" si="3"/>
        <v>3.37776714592493E-2</v>
      </c>
      <c r="J17" s="41">
        <f>J15/SUM(I3:I14)-1</f>
        <v>7.2395115055263526E-2</v>
      </c>
      <c r="K17" s="42">
        <f>K15/SUM(J3:J14)-1</f>
        <v>7.8126937672173824E-5</v>
      </c>
      <c r="L17" s="41">
        <f>L15/SUM(K3:K14)-1</f>
        <v>1.916006462949027E-2</v>
      </c>
      <c r="M17" s="41">
        <f>M15/SUM(L3:L14)-1</f>
        <v>-5.3368163432167992E-2</v>
      </c>
      <c r="N17" s="41">
        <f>N15/SUM(M3:M14)-1</f>
        <v>0.25942844216461669</v>
      </c>
      <c r="O17" s="41">
        <f>O15/SUM(N3:N10)-1</f>
        <v>9.7317786139702545E-2</v>
      </c>
    </row>
    <row r="18" spans="1:15" ht="17.399999999999999" x14ac:dyDescent="0.3">
      <c r="A18" s="40"/>
      <c r="B18" s="32"/>
      <c r="C18" s="32"/>
      <c r="D18" s="32"/>
      <c r="L18" s="40"/>
    </row>
    <row r="19" spans="1:15" ht="15.6" x14ac:dyDescent="0.3">
      <c r="A19" s="44"/>
      <c r="L19" s="44"/>
    </row>
  </sheetData>
  <printOptions horizontalCentered="1" verticalCentered="1"/>
  <pageMargins left="0.25" right="0.25" top="0.5" bottom="0.5" header="0.5" footer="0.5"/>
  <pageSetup scale="51" orientation="portrait" horizontalDpi="300" verticalDpi="300" r:id="rId1"/>
  <headerFooter alignWithMargins="0">
    <oddFooter>&amp;LVPA, Market Analysis and Strategy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P68"/>
  <sheetViews>
    <sheetView showGridLines="0" defaultGridColor="0" colorId="9" zoomScale="70" zoomScaleNormal="70" workbookViewId="0">
      <pane xSplit="3" ySplit="2" topLeftCell="F3" activePane="bottomRight" state="frozen"/>
      <selection pane="topRight" activeCell="D1" sqref="D1"/>
      <selection pane="bottomLeft" activeCell="A3" sqref="A3"/>
      <selection pane="bottomRight" activeCell="A2" sqref="A2"/>
    </sheetView>
  </sheetViews>
  <sheetFormatPr defaultColWidth="14.54296875" defaultRowHeight="15" x14ac:dyDescent="0.25"/>
  <cols>
    <col min="1" max="1" width="6.453125" style="3" customWidth="1"/>
    <col min="2" max="2" width="18.6328125" style="3" customWidth="1"/>
    <col min="3" max="5" width="15.7265625" style="3" hidden="1" customWidth="1"/>
    <col min="6" max="13" width="15.7265625" style="3" customWidth="1"/>
    <col min="14" max="15" width="14.81640625" style="3" customWidth="1"/>
    <col min="16" max="16" width="13.26953125" style="3" customWidth="1"/>
    <col min="17" max="16384" width="14.54296875" style="3"/>
  </cols>
  <sheetData>
    <row r="1" spans="1:16" ht="64.95" customHeight="1" x14ac:dyDescent="0.25">
      <c r="B1" s="2"/>
      <c r="C1" s="2"/>
      <c r="E1" s="2"/>
      <c r="F1" s="2" t="s">
        <v>60</v>
      </c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s="45" customFormat="1" ht="19.95" customHeight="1" x14ac:dyDescent="0.25">
      <c r="A2" s="4"/>
      <c r="B2" s="4"/>
      <c r="C2" s="63">
        <v>2009</v>
      </c>
      <c r="D2" s="63">
        <v>2010</v>
      </c>
      <c r="E2" s="63">
        <v>2011</v>
      </c>
      <c r="F2" s="63">
        <v>2012</v>
      </c>
      <c r="G2" s="63">
        <v>2013</v>
      </c>
      <c r="H2" s="63">
        <v>2014</v>
      </c>
      <c r="I2" s="63">
        <v>2015</v>
      </c>
      <c r="J2" s="63">
        <v>2016</v>
      </c>
      <c r="K2" s="63">
        <v>2017</v>
      </c>
      <c r="L2" s="63">
        <v>2018</v>
      </c>
      <c r="M2" s="63">
        <v>2019</v>
      </c>
      <c r="N2" s="63">
        <v>2020</v>
      </c>
      <c r="O2" s="63">
        <v>2021</v>
      </c>
      <c r="P2" s="63">
        <v>2022</v>
      </c>
    </row>
    <row r="3" spans="1:16" ht="19.95" customHeight="1" x14ac:dyDescent="0.3">
      <c r="A3" s="44" t="s">
        <v>1</v>
      </c>
      <c r="B3" s="8" t="s">
        <v>13</v>
      </c>
      <c r="C3" s="10">
        <v>1130182</v>
      </c>
      <c r="D3" s="10">
        <v>1182992</v>
      </c>
      <c r="E3" s="10">
        <v>1293567</v>
      </c>
      <c r="F3" s="10">
        <v>1257011</v>
      </c>
      <c r="G3" s="10">
        <v>1317975</v>
      </c>
      <c r="H3" s="9">
        <v>1454091</v>
      </c>
      <c r="I3" s="9">
        <v>1594184</v>
      </c>
      <c r="J3" s="9">
        <v>1508228</v>
      </c>
      <c r="K3" s="9">
        <f>Data!J9</f>
        <v>1841619.4369999999</v>
      </c>
      <c r="L3" s="9">
        <f>Data!$J21</f>
        <v>1711427.933</v>
      </c>
      <c r="M3" s="9">
        <f>Data!$J33</f>
        <v>1775644.0179999999</v>
      </c>
      <c r="N3" s="9">
        <f>Data!$J45</f>
        <v>1772106.13</v>
      </c>
      <c r="O3" s="9">
        <f>Data!$J57</f>
        <v>1975806.9040000001</v>
      </c>
      <c r="P3" s="9">
        <f>Data!$J69</f>
        <v>1775478.7949999999</v>
      </c>
    </row>
    <row r="4" spans="1:16" ht="19.95" customHeight="1" x14ac:dyDescent="0.3">
      <c r="A4" s="44"/>
      <c r="B4" s="8" t="s">
        <v>14</v>
      </c>
      <c r="C4" s="9">
        <v>32932</v>
      </c>
      <c r="D4" s="9">
        <v>15563</v>
      </c>
      <c r="E4" s="9">
        <v>22520</v>
      </c>
      <c r="F4" s="9">
        <v>36934</v>
      </c>
      <c r="G4" s="9">
        <v>30135</v>
      </c>
      <c r="H4" s="9">
        <v>29576</v>
      </c>
      <c r="I4" s="9">
        <v>25002</v>
      </c>
      <c r="J4" s="9">
        <v>19652</v>
      </c>
      <c r="K4" s="9">
        <f>Data!K9</f>
        <v>16126.28</v>
      </c>
      <c r="L4" s="9">
        <f>Data!$K21</f>
        <v>17505.650000000001</v>
      </c>
      <c r="M4" s="9">
        <f>Data!$K33</f>
        <v>15085.79</v>
      </c>
      <c r="N4" s="9">
        <f>Data!$K45</f>
        <v>9003</v>
      </c>
      <c r="O4" s="9">
        <f>Data!$K57</f>
        <v>7084</v>
      </c>
      <c r="P4" s="9">
        <f>Data!$K69</f>
        <v>9165</v>
      </c>
    </row>
    <row r="5" spans="1:16" ht="19.95" customHeight="1" x14ac:dyDescent="0.3">
      <c r="A5" s="44"/>
      <c r="B5" s="8" t="s">
        <v>21</v>
      </c>
      <c r="C5" s="46">
        <f>C3+C4</f>
        <v>1163114</v>
      </c>
      <c r="D5" s="46">
        <f>D3+D4</f>
        <v>1198555</v>
      </c>
      <c r="E5" s="46">
        <f>E3+E4</f>
        <v>1316087</v>
      </c>
      <c r="F5" s="46">
        <f>F3+F4</f>
        <v>1293945</v>
      </c>
      <c r="G5" s="46">
        <f>G3+G4</f>
        <v>1348110</v>
      </c>
      <c r="H5" s="47">
        <f t="shared" ref="H5" si="0">H3+H4</f>
        <v>1483667</v>
      </c>
      <c r="I5" s="47">
        <f t="shared" ref="I5:J5" si="1">I3+I4</f>
        <v>1619186</v>
      </c>
      <c r="J5" s="47">
        <f t="shared" si="1"/>
        <v>1527880</v>
      </c>
      <c r="K5" s="47">
        <f>Data!L9</f>
        <v>1857745.7169999999</v>
      </c>
      <c r="L5" s="47">
        <f>Data!$L21</f>
        <v>1728933.5830000001</v>
      </c>
      <c r="M5" s="47">
        <f>Data!$L33</f>
        <v>1790729.808</v>
      </c>
      <c r="N5" s="47">
        <f>Data!$L45</f>
        <v>1781109.13</v>
      </c>
      <c r="O5" s="47">
        <f>Data!$L57</f>
        <v>1982890.9040000001</v>
      </c>
      <c r="P5" s="47">
        <f>Data!$L69</f>
        <v>1784643.7949999999</v>
      </c>
    </row>
    <row r="6" spans="1:16" ht="19.95" customHeight="1" x14ac:dyDescent="0.25">
      <c r="A6" s="5"/>
      <c r="B6" s="5"/>
      <c r="C6" s="6"/>
      <c r="D6" s="6"/>
      <c r="E6" s="6"/>
      <c r="F6" s="6"/>
      <c r="G6" s="6"/>
      <c r="H6" s="16"/>
      <c r="I6" s="16"/>
      <c r="J6" s="16"/>
      <c r="K6" s="16"/>
      <c r="L6" s="16"/>
      <c r="M6" s="16"/>
      <c r="N6" s="16"/>
      <c r="O6" s="16"/>
      <c r="P6" s="16"/>
    </row>
    <row r="7" spans="1:16" ht="19.95" customHeight="1" x14ac:dyDescent="0.3">
      <c r="A7" s="44" t="s">
        <v>2</v>
      </c>
      <c r="B7" s="8" t="s">
        <v>13</v>
      </c>
      <c r="C7" s="10">
        <v>1085477</v>
      </c>
      <c r="D7" s="10">
        <v>1320745</v>
      </c>
      <c r="E7" s="10">
        <v>1202539</v>
      </c>
      <c r="F7" s="10">
        <v>1322650</v>
      </c>
      <c r="G7" s="10">
        <v>1416350</v>
      </c>
      <c r="H7" s="9">
        <v>1535431</v>
      </c>
      <c r="I7" s="9">
        <v>1459696</v>
      </c>
      <c r="J7" s="9">
        <v>1699326</v>
      </c>
      <c r="K7" s="9">
        <f>Data!J10</f>
        <v>1755540.098</v>
      </c>
      <c r="L7" s="9">
        <f>Data!J22</f>
        <v>1726998.129</v>
      </c>
      <c r="M7" s="9">
        <f>Data!$J34</f>
        <v>1691758.4779999999</v>
      </c>
      <c r="N7" s="9">
        <f>Data!$J46</f>
        <v>1663595.0449999999</v>
      </c>
      <c r="O7" s="9">
        <f>Data!$J58</f>
        <v>1871301.598</v>
      </c>
      <c r="P7" s="9">
        <f>Data!$J70</f>
        <v>2116188.9010000001</v>
      </c>
    </row>
    <row r="8" spans="1:16" ht="19.95" customHeight="1" x14ac:dyDescent="0.3">
      <c r="A8" s="44"/>
      <c r="B8" s="8" t="s">
        <v>14</v>
      </c>
      <c r="C8" s="9">
        <v>21912</v>
      </c>
      <c r="D8" s="9">
        <v>18320</v>
      </c>
      <c r="E8" s="9">
        <v>22560</v>
      </c>
      <c r="F8" s="9">
        <v>25442</v>
      </c>
      <c r="G8" s="9">
        <v>24017</v>
      </c>
      <c r="H8" s="9">
        <v>24286.71</v>
      </c>
      <c r="I8" s="9">
        <v>22782</v>
      </c>
      <c r="J8" s="9">
        <v>11919.29</v>
      </c>
      <c r="K8" s="9">
        <f>Data!K10</f>
        <v>12143.55</v>
      </c>
      <c r="L8" s="9">
        <f>Data!$K22</f>
        <v>13526.62</v>
      </c>
      <c r="M8" s="9">
        <f>Data!$K34</f>
        <v>13561.06</v>
      </c>
      <c r="N8" s="9">
        <f>Data!$K46</f>
        <v>9484</v>
      </c>
      <c r="O8" s="9">
        <f>Data!$K58</f>
        <v>7459</v>
      </c>
      <c r="P8" s="9">
        <f>Data!$K70</f>
        <v>8665</v>
      </c>
    </row>
    <row r="9" spans="1:16" ht="19.95" customHeight="1" x14ac:dyDescent="0.3">
      <c r="A9" s="44"/>
      <c r="B9" s="8" t="s">
        <v>21</v>
      </c>
      <c r="C9" s="46">
        <f>C7+C8</f>
        <v>1107389</v>
      </c>
      <c r="D9" s="46">
        <f>D7+D8</f>
        <v>1339065</v>
      </c>
      <c r="E9" s="46">
        <f>E7+E8</f>
        <v>1225099</v>
      </c>
      <c r="F9" s="46">
        <f>F7+F8</f>
        <v>1348092</v>
      </c>
      <c r="G9" s="46">
        <f>G7+G8</f>
        <v>1440367</v>
      </c>
      <c r="H9" s="47">
        <f t="shared" ref="H9" si="2">H7+H8</f>
        <v>1559717.71</v>
      </c>
      <c r="I9" s="47">
        <f t="shared" ref="I9" si="3">I7+I8</f>
        <v>1482478</v>
      </c>
      <c r="J9" s="47">
        <v>1711246</v>
      </c>
      <c r="K9" s="47">
        <f>Data!L10</f>
        <v>1767683.648</v>
      </c>
      <c r="L9" s="47">
        <f>Data!$L22</f>
        <v>1740524.7490000001</v>
      </c>
      <c r="M9" s="47">
        <f>Data!$L34</f>
        <v>1705319.5379999999</v>
      </c>
      <c r="N9" s="47">
        <f>Data!$L46</f>
        <v>1673079.0449999999</v>
      </c>
      <c r="O9" s="47">
        <f>Data!$L58</f>
        <v>1878760.598</v>
      </c>
      <c r="P9" s="47">
        <f>Data!$L70</f>
        <v>2124853.9010000001</v>
      </c>
    </row>
    <row r="10" spans="1:16" ht="19.95" customHeight="1" x14ac:dyDescent="0.25">
      <c r="A10" s="5"/>
      <c r="B10" s="5"/>
      <c r="C10" s="6"/>
      <c r="D10" s="6"/>
      <c r="E10" s="6"/>
      <c r="F10" s="6"/>
      <c r="G10" s="6"/>
      <c r="H10" s="16"/>
      <c r="I10" s="16"/>
      <c r="J10" s="16"/>
      <c r="K10" s="16"/>
      <c r="L10" s="16"/>
      <c r="M10" s="16"/>
      <c r="N10" s="16"/>
      <c r="O10" s="16"/>
      <c r="P10" s="16"/>
    </row>
    <row r="11" spans="1:16" ht="19.95" customHeight="1" x14ac:dyDescent="0.3">
      <c r="A11" s="44" t="s">
        <v>3</v>
      </c>
      <c r="B11" s="8" t="s">
        <v>13</v>
      </c>
      <c r="C11" s="10">
        <v>1166863</v>
      </c>
      <c r="D11" s="10">
        <v>1406822</v>
      </c>
      <c r="E11" s="10">
        <v>1308098</v>
      </c>
      <c r="F11" s="10">
        <v>1454678</v>
      </c>
      <c r="G11" s="10">
        <v>1535832</v>
      </c>
      <c r="H11" s="9">
        <v>1680998</v>
      </c>
      <c r="I11" s="9">
        <v>1915940</v>
      </c>
      <c r="J11" s="9">
        <v>1725534</v>
      </c>
      <c r="K11" s="9">
        <f>Data!J11</f>
        <v>1864590.851</v>
      </c>
      <c r="L11" s="9">
        <f>Data!J23</f>
        <v>2071719.4509999999</v>
      </c>
      <c r="M11" s="9">
        <f>Data!$J35</f>
        <v>1909857.273</v>
      </c>
      <c r="N11" s="9">
        <f>Data!$J47</f>
        <v>1839346.075</v>
      </c>
      <c r="O11" s="9">
        <f>Data!$J59</f>
        <v>2117360.9479999999</v>
      </c>
      <c r="P11" s="9">
        <f>Data!$J71</f>
        <v>2262272.162</v>
      </c>
    </row>
    <row r="12" spans="1:16" ht="19.95" customHeight="1" x14ac:dyDescent="0.3">
      <c r="A12" s="44"/>
      <c r="B12" s="8" t="s">
        <v>14</v>
      </c>
      <c r="C12" s="9">
        <v>21087</v>
      </c>
      <c r="D12" s="9">
        <v>20324</v>
      </c>
      <c r="E12" s="9">
        <v>29485</v>
      </c>
      <c r="F12" s="9">
        <v>32011</v>
      </c>
      <c r="G12" s="9">
        <v>25064</v>
      </c>
      <c r="H12" s="9">
        <v>29201</v>
      </c>
      <c r="I12" s="9">
        <v>25383</v>
      </c>
      <c r="J12" s="9">
        <v>18346.79</v>
      </c>
      <c r="K12" s="9">
        <f>Data!K11</f>
        <v>15647.78</v>
      </c>
      <c r="L12" s="9">
        <f>Data!$K23</f>
        <v>19355</v>
      </c>
      <c r="M12" s="9">
        <f>Data!$K35</f>
        <v>12673</v>
      </c>
      <c r="N12" s="9">
        <f>Data!$K47</f>
        <v>8552</v>
      </c>
      <c r="O12" s="9">
        <f>Data!$K59</f>
        <v>9218.25</v>
      </c>
      <c r="P12" s="9">
        <f>Data!$K71</f>
        <v>22903</v>
      </c>
    </row>
    <row r="13" spans="1:16" ht="19.95" customHeight="1" x14ac:dyDescent="0.3">
      <c r="A13" s="44"/>
      <c r="B13" s="8" t="s">
        <v>21</v>
      </c>
      <c r="C13" s="46">
        <f>C11+C12</f>
        <v>1187950</v>
      </c>
      <c r="D13" s="46">
        <f>D11+D12</f>
        <v>1427146</v>
      </c>
      <c r="E13" s="46">
        <f>E11+E12</f>
        <v>1337583</v>
      </c>
      <c r="F13" s="46">
        <f>F11+F12</f>
        <v>1486689</v>
      </c>
      <c r="G13" s="46">
        <f>G11+G12</f>
        <v>1560896</v>
      </c>
      <c r="H13" s="47">
        <f t="shared" ref="H13" si="4">H11+H12</f>
        <v>1710199</v>
      </c>
      <c r="I13" s="47">
        <f t="shared" ref="I13" si="5">I11+I12</f>
        <v>1941323</v>
      </c>
      <c r="J13" s="47">
        <v>1743881</v>
      </c>
      <c r="K13" s="47">
        <f>Data!L11</f>
        <v>1880238.6310000001</v>
      </c>
      <c r="L13" s="47">
        <f>Data!$L23</f>
        <v>2091074.4509999999</v>
      </c>
      <c r="M13" s="47">
        <f>Data!$L35</f>
        <v>1922530.273</v>
      </c>
      <c r="N13" s="47">
        <f>Data!$L47</f>
        <v>1847898.075</v>
      </c>
      <c r="O13" s="47">
        <f>Data!$L59</f>
        <v>2126579.1979999999</v>
      </c>
      <c r="P13" s="47">
        <f>Data!$L71</f>
        <v>2285175.162</v>
      </c>
    </row>
    <row r="14" spans="1:16" ht="19.95" customHeight="1" x14ac:dyDescent="0.25">
      <c r="A14" s="5"/>
      <c r="B14" s="5"/>
      <c r="C14" s="6"/>
      <c r="D14" s="6"/>
      <c r="E14" s="6"/>
      <c r="F14" s="6"/>
      <c r="G14" s="6"/>
      <c r="H14" s="16"/>
      <c r="I14" s="16"/>
      <c r="J14" s="16"/>
      <c r="K14" s="16"/>
      <c r="L14" s="16"/>
      <c r="M14" s="16"/>
      <c r="N14" s="16"/>
      <c r="O14" s="16"/>
      <c r="P14" s="16"/>
    </row>
    <row r="15" spans="1:16" ht="19.95" customHeight="1" x14ac:dyDescent="0.3">
      <c r="A15" s="44" t="s">
        <v>4</v>
      </c>
      <c r="B15" s="8" t="s">
        <v>13</v>
      </c>
      <c r="C15" s="10">
        <v>1168527</v>
      </c>
      <c r="D15" s="10">
        <v>1243767</v>
      </c>
      <c r="E15" s="10">
        <v>1332420</v>
      </c>
      <c r="F15" s="10">
        <v>1374768</v>
      </c>
      <c r="G15" s="10">
        <v>1508442</v>
      </c>
      <c r="H15" s="9">
        <v>1692343</v>
      </c>
      <c r="I15" s="9">
        <v>1749967</v>
      </c>
      <c r="J15" s="9">
        <v>1680294</v>
      </c>
      <c r="K15" s="9">
        <f>Data!J12</f>
        <v>1826785.598</v>
      </c>
      <c r="L15" s="9">
        <f>Data!J24</f>
        <v>1817561.298</v>
      </c>
      <c r="M15" s="9">
        <f>Data!$J36</f>
        <v>1969618.3370000001</v>
      </c>
      <c r="N15" s="9">
        <f>Data!$J48</f>
        <v>1655170.5260000001</v>
      </c>
      <c r="O15" s="9">
        <f>Data!$J60</f>
        <v>2203808.4309999999</v>
      </c>
      <c r="P15" s="9">
        <f>Data!$J72</f>
        <v>2291605.7620000001</v>
      </c>
    </row>
    <row r="16" spans="1:16" ht="19.95" customHeight="1" x14ac:dyDescent="0.3">
      <c r="A16" s="44"/>
      <c r="B16" s="8" t="s">
        <v>14</v>
      </c>
      <c r="C16" s="9">
        <v>27407</v>
      </c>
      <c r="D16" s="9">
        <v>14996</v>
      </c>
      <c r="E16" s="9">
        <v>32981</v>
      </c>
      <c r="F16" s="9">
        <v>33867</v>
      </c>
      <c r="G16" s="9">
        <v>26664</v>
      </c>
      <c r="H16" s="9">
        <v>37781</v>
      </c>
      <c r="I16" s="9">
        <v>23463</v>
      </c>
      <c r="J16" s="9">
        <v>16133.64</v>
      </c>
      <c r="K16" s="9">
        <f>Data!K12</f>
        <v>17533.34</v>
      </c>
      <c r="L16" s="9">
        <f>Data!$K24</f>
        <v>12501.17</v>
      </c>
      <c r="M16" s="9">
        <f>Data!$K36</f>
        <v>13018</v>
      </c>
      <c r="N16" s="9">
        <f>Data!$K48</f>
        <v>11800</v>
      </c>
      <c r="O16" s="9">
        <f>Data!$K60</f>
        <v>13328</v>
      </c>
      <c r="P16" s="9">
        <f>Data!$K72</f>
        <v>6300</v>
      </c>
    </row>
    <row r="17" spans="1:16" ht="19.95" customHeight="1" x14ac:dyDescent="0.3">
      <c r="A17" s="44"/>
      <c r="B17" s="8" t="s">
        <v>21</v>
      </c>
      <c r="C17" s="46">
        <f>C15+C16</f>
        <v>1195934</v>
      </c>
      <c r="D17" s="46">
        <f>D15+D16</f>
        <v>1258763</v>
      </c>
      <c r="E17" s="46">
        <f>E15+E16</f>
        <v>1365401</v>
      </c>
      <c r="F17" s="46">
        <f>F15+F16</f>
        <v>1408635</v>
      </c>
      <c r="G17" s="46">
        <f>G15+G16</f>
        <v>1535106</v>
      </c>
      <c r="H17" s="47">
        <f t="shared" ref="H17" si="6">H15+H16</f>
        <v>1730124</v>
      </c>
      <c r="I17" s="47">
        <f t="shared" ref="I17:J17" si="7">I15+I16</f>
        <v>1773430</v>
      </c>
      <c r="J17" s="47">
        <f t="shared" si="7"/>
        <v>1696427.64</v>
      </c>
      <c r="K17" s="47">
        <f>Data!L12</f>
        <v>1844318.9380000001</v>
      </c>
      <c r="L17" s="47">
        <f>Data!$L24</f>
        <v>1830062.4680000001</v>
      </c>
      <c r="M17" s="47">
        <f>Data!$L36</f>
        <v>1982636.3370000001</v>
      </c>
      <c r="N17" s="47">
        <f>Data!$L48</f>
        <v>1666970.5260000001</v>
      </c>
      <c r="O17" s="47">
        <f>Data!$L60</f>
        <v>2217136.4309999999</v>
      </c>
      <c r="P17" s="47">
        <f>Data!$L72</f>
        <v>2297905.7620000001</v>
      </c>
    </row>
    <row r="18" spans="1:16" ht="19.95" customHeight="1" x14ac:dyDescent="0.25">
      <c r="A18" s="5"/>
      <c r="B18" s="5"/>
      <c r="C18" s="6"/>
      <c r="D18" s="6"/>
      <c r="E18" s="6"/>
      <c r="F18" s="6"/>
      <c r="G18" s="6"/>
      <c r="H18" s="16"/>
      <c r="I18" s="16"/>
      <c r="J18" s="16"/>
      <c r="K18" s="16"/>
      <c r="L18" s="16"/>
      <c r="M18" s="16"/>
      <c r="N18" s="16"/>
      <c r="O18" s="16"/>
      <c r="P18" s="16"/>
    </row>
    <row r="19" spans="1:16" ht="19.95" customHeight="1" x14ac:dyDescent="0.3">
      <c r="A19" s="44" t="s">
        <v>5</v>
      </c>
      <c r="B19" s="8" t="s">
        <v>13</v>
      </c>
      <c r="C19" s="10">
        <v>1265140</v>
      </c>
      <c r="D19" s="10">
        <v>1322713</v>
      </c>
      <c r="E19" s="10">
        <v>1269673</v>
      </c>
      <c r="F19" s="10">
        <v>1476528</v>
      </c>
      <c r="G19" s="10">
        <v>1563727</v>
      </c>
      <c r="H19" s="9">
        <v>1681095</v>
      </c>
      <c r="I19" s="9">
        <v>1803667</v>
      </c>
      <c r="J19" s="9">
        <v>1675852</v>
      </c>
      <c r="K19" s="9">
        <f>Data!J13</f>
        <v>1800710.669</v>
      </c>
      <c r="L19" s="9">
        <f>Data!J25</f>
        <v>1870938.1089999999</v>
      </c>
      <c r="M19" s="9">
        <f>Data!$J37</f>
        <v>1971263.2609999999</v>
      </c>
      <c r="N19" s="9">
        <f>Data!$J49</f>
        <v>1568478.7120000001</v>
      </c>
      <c r="O19" s="9">
        <f>Data!$J61</f>
        <v>2291665.1949999998</v>
      </c>
      <c r="P19" s="9">
        <f>Data!$J73</f>
        <v>2440884.3220000002</v>
      </c>
    </row>
    <row r="20" spans="1:16" ht="19.95" customHeight="1" x14ac:dyDescent="0.3">
      <c r="A20" s="44"/>
      <c r="B20" s="8" t="s">
        <v>14</v>
      </c>
      <c r="C20" s="9">
        <v>10314</v>
      </c>
      <c r="D20" s="9">
        <v>26337</v>
      </c>
      <c r="E20" s="9">
        <v>15823</v>
      </c>
      <c r="F20" s="9">
        <v>25161</v>
      </c>
      <c r="G20" s="9">
        <v>29112</v>
      </c>
      <c r="H20" s="9">
        <v>36559</v>
      </c>
      <c r="I20" s="9">
        <v>28775</v>
      </c>
      <c r="J20" s="9">
        <v>13556.94</v>
      </c>
      <c r="K20" s="9">
        <f>Data!K13</f>
        <v>14056</v>
      </c>
      <c r="L20" s="9">
        <f>Data!$K25</f>
        <v>20161.439999999999</v>
      </c>
      <c r="M20" s="9">
        <f>Data!$K37</f>
        <v>15645</v>
      </c>
      <c r="N20" s="9">
        <f>Data!$K49</f>
        <v>4587</v>
      </c>
      <c r="O20" s="9">
        <f>Data!$K61</f>
        <v>8563</v>
      </c>
      <c r="P20" s="9">
        <f>Data!$K73</f>
        <v>12558</v>
      </c>
    </row>
    <row r="21" spans="1:16" ht="19.95" customHeight="1" x14ac:dyDescent="0.3">
      <c r="A21" s="44"/>
      <c r="B21" s="8" t="s">
        <v>21</v>
      </c>
      <c r="C21" s="46">
        <f>C19+C20</f>
        <v>1275454</v>
      </c>
      <c r="D21" s="46">
        <f>D19+D20</f>
        <v>1349050</v>
      </c>
      <c r="E21" s="46">
        <f>E19+E20</f>
        <v>1285496</v>
      </c>
      <c r="F21" s="46">
        <f>F19+F20</f>
        <v>1501689</v>
      </c>
      <c r="G21" s="46">
        <f>G19+G20</f>
        <v>1592839</v>
      </c>
      <c r="H21" s="47">
        <f t="shared" ref="H21" si="8">H19+H20</f>
        <v>1717654</v>
      </c>
      <c r="I21" s="47">
        <f t="shared" ref="I21:J21" si="9">I19+I20</f>
        <v>1832442</v>
      </c>
      <c r="J21" s="47">
        <f t="shared" si="9"/>
        <v>1689408.94</v>
      </c>
      <c r="K21" s="47">
        <f>Data!L13</f>
        <v>1814766.669</v>
      </c>
      <c r="L21" s="47">
        <f>Data!$L25</f>
        <v>1891099.5490000001</v>
      </c>
      <c r="M21" s="47">
        <f>Data!$L37</f>
        <v>1986908.2609999999</v>
      </c>
      <c r="N21" s="47">
        <f>Data!$L49</f>
        <v>1573065.7120000001</v>
      </c>
      <c r="O21" s="47">
        <f>Data!$L61</f>
        <v>2300228.1949999998</v>
      </c>
      <c r="P21" s="47">
        <f>Data!$L73</f>
        <v>2453442.3220000002</v>
      </c>
    </row>
    <row r="22" spans="1:16" ht="19.95" customHeight="1" x14ac:dyDescent="0.25">
      <c r="A22" s="5"/>
      <c r="B22" s="5"/>
      <c r="C22" s="6"/>
      <c r="D22" s="6"/>
      <c r="E22" s="6"/>
      <c r="F22" s="6"/>
      <c r="G22" s="6"/>
      <c r="H22" s="16"/>
      <c r="I22" s="16"/>
      <c r="J22" s="16"/>
      <c r="K22" s="16"/>
      <c r="L22" s="16"/>
      <c r="M22" s="16"/>
      <c r="N22" s="16"/>
      <c r="O22" s="16"/>
      <c r="P22" s="16"/>
    </row>
    <row r="23" spans="1:16" ht="19.95" customHeight="1" x14ac:dyDescent="0.3">
      <c r="A23" s="44" t="s">
        <v>6</v>
      </c>
      <c r="B23" s="8" t="s">
        <v>13</v>
      </c>
      <c r="C23" s="10">
        <v>1194781</v>
      </c>
      <c r="D23" s="10">
        <v>1278371</v>
      </c>
      <c r="E23" s="10">
        <v>1253824</v>
      </c>
      <c r="F23" s="10">
        <v>1411722</v>
      </c>
      <c r="G23" s="10">
        <v>1432664</v>
      </c>
      <c r="H23" s="9">
        <v>1387288</v>
      </c>
      <c r="I23" s="9">
        <v>1608222</v>
      </c>
      <c r="J23" s="9">
        <f>Data!J2</f>
        <v>1684458.264</v>
      </c>
      <c r="K23" s="9">
        <f>Data!J14</f>
        <v>1753185.041</v>
      </c>
      <c r="L23" s="9">
        <f>Data!J26</f>
        <v>1770196.7479999999</v>
      </c>
      <c r="M23" s="9">
        <f>Data!$J38</f>
        <v>1773432.6839999999</v>
      </c>
      <c r="N23" s="9">
        <f>Data!$J50</f>
        <v>1575798.2120000001</v>
      </c>
      <c r="O23" s="9">
        <f>Data!$J62</f>
        <v>2001291.2849999999</v>
      </c>
      <c r="P23" s="9">
        <f>Data!$J74</f>
        <v>2221148.0260000001</v>
      </c>
    </row>
    <row r="24" spans="1:16" ht="19.95" customHeight="1" x14ac:dyDescent="0.3">
      <c r="A24" s="44"/>
      <c r="B24" s="8" t="s">
        <v>14</v>
      </c>
      <c r="C24" s="9">
        <v>11043</v>
      </c>
      <c r="D24" s="9">
        <v>22627</v>
      </c>
      <c r="E24" s="9">
        <v>45570</v>
      </c>
      <c r="F24" s="9">
        <v>34347</v>
      </c>
      <c r="G24" s="9">
        <v>28781</v>
      </c>
      <c r="H24" s="9">
        <v>30811.67</v>
      </c>
      <c r="I24" s="9">
        <v>28355</v>
      </c>
      <c r="J24" s="9">
        <f>Data!K2</f>
        <v>28458.9</v>
      </c>
      <c r="K24" s="9">
        <f>Data!K14</f>
        <v>14049.97</v>
      </c>
      <c r="L24" s="9">
        <f>Data!$K26</f>
        <v>15868.72</v>
      </c>
      <c r="M24" s="9">
        <f>Data!$K38</f>
        <v>12197</v>
      </c>
      <c r="N24" s="9">
        <f>Data!$K50</f>
        <v>5444</v>
      </c>
      <c r="O24" s="9">
        <f>Data!$K62</f>
        <v>7915</v>
      </c>
      <c r="P24" s="9">
        <f>Data!$K74</f>
        <v>19025</v>
      </c>
    </row>
    <row r="25" spans="1:16" ht="19.95" customHeight="1" x14ac:dyDescent="0.3">
      <c r="A25" s="44"/>
      <c r="B25" s="8" t="s">
        <v>21</v>
      </c>
      <c r="C25" s="46">
        <f>C23+C24</f>
        <v>1205824</v>
      </c>
      <c r="D25" s="46">
        <f>D23+D24</f>
        <v>1300998</v>
      </c>
      <c r="E25" s="46">
        <f>E23+E24</f>
        <v>1299394</v>
      </c>
      <c r="F25" s="46">
        <f>F23+F24</f>
        <v>1446069</v>
      </c>
      <c r="G25" s="46">
        <f>G23+G24</f>
        <v>1461445</v>
      </c>
      <c r="H25" s="47">
        <f t="shared" ref="H25" si="10">H23+H24</f>
        <v>1418099.67</v>
      </c>
      <c r="I25" s="47">
        <f t="shared" ref="I25" si="11">I23+I24</f>
        <v>1636577</v>
      </c>
      <c r="J25" s="47">
        <f>Data!L2</f>
        <v>1712917.1640000001</v>
      </c>
      <c r="K25" s="47">
        <f>Data!L14</f>
        <v>1767235.0109999999</v>
      </c>
      <c r="L25" s="47">
        <f>Data!$L26</f>
        <v>1786065.4680000001</v>
      </c>
      <c r="M25" s="47">
        <f>Data!$L38</f>
        <v>1785629.6839999999</v>
      </c>
      <c r="N25" s="47">
        <f>Data!$L50</f>
        <v>1581242.2120000001</v>
      </c>
      <c r="O25" s="47">
        <f>Data!$L62</f>
        <v>2009206.2849999999</v>
      </c>
      <c r="P25" s="47">
        <f>Data!$L74</f>
        <v>2240173.0260000001</v>
      </c>
    </row>
    <row r="26" spans="1:16" ht="19.95" customHeight="1" x14ac:dyDescent="0.25">
      <c r="A26" s="5"/>
      <c r="B26" s="5"/>
      <c r="C26" s="6"/>
      <c r="D26" s="6"/>
      <c r="E26" s="6"/>
      <c r="F26" s="6"/>
      <c r="G26" s="6"/>
      <c r="H26" s="16"/>
      <c r="I26" s="16"/>
      <c r="J26" s="16"/>
      <c r="K26" s="16"/>
      <c r="L26" s="16"/>
      <c r="M26" s="16"/>
      <c r="N26" s="16"/>
      <c r="O26" s="16"/>
      <c r="P26" s="16"/>
    </row>
    <row r="27" spans="1:16" ht="19.95" customHeight="1" x14ac:dyDescent="0.3">
      <c r="A27" s="44" t="s">
        <v>7</v>
      </c>
      <c r="B27" s="8" t="s">
        <v>13</v>
      </c>
      <c r="C27" s="10">
        <v>1201141</v>
      </c>
      <c r="D27" s="10">
        <v>1209612</v>
      </c>
      <c r="E27" s="10">
        <v>1300135</v>
      </c>
      <c r="F27" s="10">
        <v>1423635</v>
      </c>
      <c r="G27" s="10">
        <v>1673260</v>
      </c>
      <c r="H27" s="9">
        <v>1190731</v>
      </c>
      <c r="I27" s="9">
        <v>1681449</v>
      </c>
      <c r="J27" s="9">
        <f>Data!J3</f>
        <v>1658714.108</v>
      </c>
      <c r="K27" s="9">
        <f>Data!J15</f>
        <v>1728266.247</v>
      </c>
      <c r="L27" s="9">
        <f>Data!J27</f>
        <v>1906019.8489999999</v>
      </c>
      <c r="M27" s="9">
        <f>Data!$J39</f>
        <v>1886344.8119999999</v>
      </c>
      <c r="N27" s="9">
        <f>Data!$J51</f>
        <v>1586696.03</v>
      </c>
      <c r="O27" s="9">
        <f>Data!$J63</f>
        <v>2075378.706</v>
      </c>
      <c r="P27" s="9">
        <f>Data!$J75</f>
        <v>2193993.14</v>
      </c>
    </row>
    <row r="28" spans="1:16" ht="19.95" customHeight="1" x14ac:dyDescent="0.3">
      <c r="A28" s="44"/>
      <c r="B28" s="8" t="s">
        <v>14</v>
      </c>
      <c r="C28" s="9">
        <v>19540</v>
      </c>
      <c r="D28" s="9">
        <v>23425</v>
      </c>
      <c r="E28" s="9">
        <v>31960</v>
      </c>
      <c r="F28" s="9">
        <v>24377</v>
      </c>
      <c r="G28" s="9">
        <v>37584</v>
      </c>
      <c r="H28" s="9">
        <v>23674.67</v>
      </c>
      <c r="I28" s="9">
        <v>27227</v>
      </c>
      <c r="J28" s="9">
        <f>Data!K3</f>
        <v>15091.08</v>
      </c>
      <c r="K28" s="9">
        <f>Data!K15</f>
        <v>13293.96</v>
      </c>
      <c r="L28" s="9">
        <f>Data!$K27</f>
        <v>17835.39</v>
      </c>
      <c r="M28" s="9">
        <f>Data!$K39</f>
        <v>15294</v>
      </c>
      <c r="N28" s="9">
        <f>Data!$K51</f>
        <v>3790</v>
      </c>
      <c r="O28" s="9">
        <f>Data!$K63</f>
        <v>8977</v>
      </c>
      <c r="P28" s="9">
        <f>Data!$K75</f>
        <v>7402</v>
      </c>
    </row>
    <row r="29" spans="1:16" ht="19.95" customHeight="1" x14ac:dyDescent="0.3">
      <c r="A29" s="44"/>
      <c r="B29" s="8" t="s">
        <v>21</v>
      </c>
      <c r="C29" s="46">
        <f>C27+C28</f>
        <v>1220681</v>
      </c>
      <c r="D29" s="46">
        <f>D27+D28</f>
        <v>1233037</v>
      </c>
      <c r="E29" s="46">
        <f>E27+E28</f>
        <v>1332095</v>
      </c>
      <c r="F29" s="46">
        <f>F27+F28</f>
        <v>1448012</v>
      </c>
      <c r="G29" s="46">
        <f>G27+G28</f>
        <v>1710844</v>
      </c>
      <c r="H29" s="47">
        <f t="shared" ref="H29" si="12">H27+H28</f>
        <v>1214405.67</v>
      </c>
      <c r="I29" s="47">
        <f t="shared" ref="I29" si="13">I27+I28</f>
        <v>1708676</v>
      </c>
      <c r="J29" s="47">
        <f>Data!L3</f>
        <v>1673805.1880000001</v>
      </c>
      <c r="K29" s="47">
        <f>Data!L15</f>
        <v>1741560.2069999999</v>
      </c>
      <c r="L29" s="47">
        <f>Data!$L27</f>
        <v>1923855.2390000001</v>
      </c>
      <c r="M29" s="47">
        <f>Data!$L39</f>
        <v>1901638.8119999999</v>
      </c>
      <c r="N29" s="47">
        <f>Data!$L51</f>
        <v>1590486.03</v>
      </c>
      <c r="O29" s="47">
        <f>Data!$L63</f>
        <v>2084355.706</v>
      </c>
      <c r="P29" s="47">
        <f>Data!$L75</f>
        <v>2201395.14</v>
      </c>
    </row>
    <row r="30" spans="1:16" ht="19.95" customHeight="1" x14ac:dyDescent="0.25">
      <c r="A30" s="5"/>
      <c r="B30" s="5"/>
      <c r="C30" s="6"/>
      <c r="D30" s="6"/>
      <c r="E30" s="6"/>
      <c r="F30" s="6"/>
      <c r="G30" s="6"/>
      <c r="H30" s="16"/>
      <c r="I30" s="16"/>
      <c r="J30" s="16"/>
      <c r="K30" s="16"/>
      <c r="L30" s="16"/>
      <c r="M30" s="16"/>
      <c r="N30" s="16"/>
      <c r="O30" s="16"/>
      <c r="P30" s="16"/>
    </row>
    <row r="31" spans="1:16" ht="19.95" customHeight="1" x14ac:dyDescent="0.3">
      <c r="A31" s="44" t="s">
        <v>8</v>
      </c>
      <c r="B31" s="8" t="s">
        <v>13</v>
      </c>
      <c r="C31" s="10">
        <v>1249876</v>
      </c>
      <c r="D31" s="10">
        <v>1224728</v>
      </c>
      <c r="E31" s="10">
        <v>1163433</v>
      </c>
      <c r="F31" s="10">
        <v>1480208</v>
      </c>
      <c r="G31" s="10">
        <v>1611609</v>
      </c>
      <c r="H31" s="9">
        <v>1348155</v>
      </c>
      <c r="I31" s="9">
        <v>1544323</v>
      </c>
      <c r="J31" s="9">
        <f>Data!J4</f>
        <v>1770832.513</v>
      </c>
      <c r="K31" s="9">
        <f>Data!J16</f>
        <v>1728834.7009999999</v>
      </c>
      <c r="L31" s="9">
        <f>Data!J28</f>
        <v>1844204.2</v>
      </c>
      <c r="M31" s="9">
        <f>Data!$J40</f>
        <v>1828996.399</v>
      </c>
      <c r="N31" s="9">
        <f>Data!$J52</f>
        <v>1742989.335</v>
      </c>
      <c r="O31" s="9">
        <f>Data!$J64</f>
        <v>2106210.773</v>
      </c>
      <c r="P31" s="9">
        <f>Data!$J76</f>
        <v>2342123.3539999998</v>
      </c>
    </row>
    <row r="32" spans="1:16" ht="19.95" customHeight="1" x14ac:dyDescent="0.3">
      <c r="A32" s="44"/>
      <c r="B32" s="8" t="s">
        <v>14</v>
      </c>
      <c r="C32" s="9">
        <v>14569</v>
      </c>
      <c r="D32" s="9">
        <v>23353</v>
      </c>
      <c r="E32" s="9">
        <v>22062</v>
      </c>
      <c r="F32" s="9">
        <v>25431</v>
      </c>
      <c r="G32" s="9">
        <v>42053</v>
      </c>
      <c r="H32" s="9">
        <v>30987.47</v>
      </c>
      <c r="I32" s="9">
        <v>23610</v>
      </c>
      <c r="J32" s="9">
        <f>Data!K4</f>
        <v>14661.04</v>
      </c>
      <c r="K32" s="9">
        <f>Data!K16</f>
        <v>16816.88</v>
      </c>
      <c r="L32" s="9">
        <f>Data!$K28</f>
        <v>19001.21</v>
      </c>
      <c r="M32" s="9">
        <f>Data!$K40</f>
        <v>15363.2</v>
      </c>
      <c r="N32" s="9">
        <f>Data!$K52</f>
        <v>4482</v>
      </c>
      <c r="O32" s="9">
        <f>Data!$K64</f>
        <v>13216</v>
      </c>
      <c r="P32" s="9">
        <f>Data!$K76</f>
        <v>12763.41</v>
      </c>
    </row>
    <row r="33" spans="1:16" ht="19.95" customHeight="1" x14ac:dyDescent="0.3">
      <c r="A33" s="44"/>
      <c r="B33" s="8" t="s">
        <v>21</v>
      </c>
      <c r="C33" s="46">
        <f>C31+C32</f>
        <v>1264445</v>
      </c>
      <c r="D33" s="46">
        <f>D31+D32</f>
        <v>1248081</v>
      </c>
      <c r="E33" s="46">
        <f>E31+E32</f>
        <v>1185495</v>
      </c>
      <c r="F33" s="46">
        <f>F31+F32</f>
        <v>1505639</v>
      </c>
      <c r="G33" s="46">
        <f>G31+G32</f>
        <v>1653662</v>
      </c>
      <c r="H33" s="47">
        <f t="shared" ref="H33" si="14">H31+H32</f>
        <v>1379142.47</v>
      </c>
      <c r="I33" s="47">
        <f t="shared" ref="I33" si="15">I31+I32</f>
        <v>1567933</v>
      </c>
      <c r="J33" s="47">
        <f>Data!L4</f>
        <v>1785493.5530000001</v>
      </c>
      <c r="K33" s="47">
        <f>Data!L16</f>
        <v>1745651.581</v>
      </c>
      <c r="L33" s="47">
        <f>Data!$L28</f>
        <v>1863205.41</v>
      </c>
      <c r="M33" s="47">
        <f>Data!$L40</f>
        <v>1844359.5989999999</v>
      </c>
      <c r="N33" s="47">
        <f>Data!$L52</f>
        <v>1747471.335</v>
      </c>
      <c r="O33" s="47">
        <f>Data!$L64</f>
        <v>2119426.773</v>
      </c>
      <c r="P33" s="47">
        <f>Data!$L76</f>
        <v>2354886.764</v>
      </c>
    </row>
    <row r="34" spans="1:16" ht="19.95" customHeight="1" x14ac:dyDescent="0.25">
      <c r="A34" s="5"/>
      <c r="B34" s="5"/>
      <c r="C34" s="6"/>
      <c r="D34" s="6"/>
      <c r="E34" s="6"/>
      <c r="F34" s="6"/>
      <c r="G34" s="6"/>
      <c r="H34" s="16"/>
      <c r="I34" s="16"/>
      <c r="J34" s="16"/>
      <c r="K34" s="16"/>
      <c r="L34" s="16"/>
      <c r="M34" s="16"/>
      <c r="N34" s="16"/>
      <c r="O34" s="16"/>
      <c r="P34" s="16"/>
    </row>
    <row r="35" spans="1:16" ht="19.95" customHeight="1" x14ac:dyDescent="0.3">
      <c r="A35" s="44" t="s">
        <v>9</v>
      </c>
      <c r="B35" s="8" t="s">
        <v>13</v>
      </c>
      <c r="C35" s="10">
        <v>1283827</v>
      </c>
      <c r="D35" s="10">
        <v>1121796</v>
      </c>
      <c r="E35" s="10">
        <v>1234558</v>
      </c>
      <c r="F35" s="10">
        <v>1433153</v>
      </c>
      <c r="G35" s="10">
        <v>1492175</v>
      </c>
      <c r="H35" s="9">
        <v>1517837</v>
      </c>
      <c r="I35" s="9">
        <v>1536873</v>
      </c>
      <c r="J35" s="9">
        <f>Data!J5</f>
        <v>1688968.2139999999</v>
      </c>
      <c r="K35" s="9">
        <f>Data!J17</f>
        <v>1726496.3089999999</v>
      </c>
      <c r="L35" s="9">
        <f>Data!J29</f>
        <v>1573743.9909999999</v>
      </c>
      <c r="M35" s="9">
        <f>Data!$J41</f>
        <v>1678129.94</v>
      </c>
      <c r="N35" s="9">
        <f>Data!$J53</f>
        <v>1751280.024</v>
      </c>
      <c r="O35" s="9">
        <f>Data!$J65</f>
        <v>2069978.693</v>
      </c>
      <c r="P35" s="9"/>
    </row>
    <row r="36" spans="1:16" ht="19.95" customHeight="1" x14ac:dyDescent="0.3">
      <c r="A36" s="44"/>
      <c r="B36" s="8" t="s">
        <v>14</v>
      </c>
      <c r="C36" s="9">
        <v>13226</v>
      </c>
      <c r="D36" s="9">
        <v>11957</v>
      </c>
      <c r="E36" s="9">
        <v>37437</v>
      </c>
      <c r="F36" s="9">
        <v>30165</v>
      </c>
      <c r="G36" s="9">
        <v>17384</v>
      </c>
      <c r="H36" s="9">
        <v>20950.53</v>
      </c>
      <c r="I36" s="9">
        <v>18048</v>
      </c>
      <c r="J36" s="9">
        <f>Data!K5</f>
        <v>15229.35</v>
      </c>
      <c r="K36" s="9">
        <f>Data!K17</f>
        <v>12189</v>
      </c>
      <c r="L36" s="9">
        <f>Data!$K29</f>
        <v>12031.94</v>
      </c>
      <c r="M36" s="9">
        <f>Data!$K41</f>
        <v>11469.2</v>
      </c>
      <c r="N36" s="9">
        <f>Data!$K53</f>
        <v>4256</v>
      </c>
      <c r="O36" s="9">
        <f>Data!$K65</f>
        <v>4331.53</v>
      </c>
      <c r="P36" s="9"/>
    </row>
    <row r="37" spans="1:16" ht="19.95" customHeight="1" x14ac:dyDescent="0.3">
      <c r="A37" s="44"/>
      <c r="B37" s="8" t="s">
        <v>21</v>
      </c>
      <c r="C37" s="46">
        <f>C35+C36</f>
        <v>1297053</v>
      </c>
      <c r="D37" s="46">
        <f>D35+D36</f>
        <v>1133753</v>
      </c>
      <c r="E37" s="46">
        <f>E35+E36</f>
        <v>1271995</v>
      </c>
      <c r="F37" s="46">
        <f>F35+F36</f>
        <v>1463318</v>
      </c>
      <c r="G37" s="46">
        <f>G35+G36</f>
        <v>1509559</v>
      </c>
      <c r="H37" s="47">
        <f t="shared" ref="H37" si="16">H35+H36</f>
        <v>1538787.53</v>
      </c>
      <c r="I37" s="47">
        <f>I35+I36</f>
        <v>1554921</v>
      </c>
      <c r="J37" s="47">
        <f>Data!L5</f>
        <v>1704197.564</v>
      </c>
      <c r="K37" s="47">
        <f>Data!L17</f>
        <v>1738685.3089999999</v>
      </c>
      <c r="L37" s="47">
        <f>Data!$L29</f>
        <v>1585775.9310000001</v>
      </c>
      <c r="M37" s="47">
        <f>Data!$L41</f>
        <v>1689599.14</v>
      </c>
      <c r="N37" s="47">
        <f>Data!$L53</f>
        <v>1755536.024</v>
      </c>
      <c r="O37" s="47">
        <f>Data!$L65</f>
        <v>2074310.223</v>
      </c>
      <c r="P37" s="47"/>
    </row>
    <row r="38" spans="1:16" ht="19.95" customHeight="1" x14ac:dyDescent="0.25">
      <c r="A38" s="5"/>
      <c r="B38" s="5"/>
      <c r="C38" s="6"/>
      <c r="D38" s="6"/>
      <c r="E38" s="6"/>
      <c r="F38" s="6"/>
      <c r="G38" s="6"/>
      <c r="H38" s="16"/>
      <c r="I38" s="16"/>
      <c r="J38" s="16"/>
      <c r="K38" s="16"/>
      <c r="L38" s="16"/>
      <c r="M38" s="16"/>
      <c r="N38" s="16"/>
      <c r="O38" s="16"/>
      <c r="P38" s="16"/>
    </row>
    <row r="39" spans="1:16" ht="19.95" customHeight="1" x14ac:dyDescent="0.3">
      <c r="A39" s="44" t="s">
        <v>10</v>
      </c>
      <c r="B39" s="8" t="s">
        <v>13</v>
      </c>
      <c r="C39" s="10">
        <v>1311914</v>
      </c>
      <c r="D39" s="10">
        <v>1330334</v>
      </c>
      <c r="E39" s="10">
        <v>1310955</v>
      </c>
      <c r="F39" s="10">
        <v>1372413</v>
      </c>
      <c r="G39" s="10">
        <v>1722191</v>
      </c>
      <c r="H39" s="9">
        <v>1718447</v>
      </c>
      <c r="I39" s="9">
        <v>1636862</v>
      </c>
      <c r="J39" s="9">
        <f>Data!J6</f>
        <v>1865245.635</v>
      </c>
      <c r="K39" s="9">
        <f>Data!J18</f>
        <v>1957806.047</v>
      </c>
      <c r="L39" s="9">
        <f>Data!J30</f>
        <v>1931560.4380000001</v>
      </c>
      <c r="M39" s="9">
        <f>Data!$J42</f>
        <v>1870054.4569999999</v>
      </c>
      <c r="N39" s="9">
        <f>Data!$J54</f>
        <v>1922217.889</v>
      </c>
      <c r="O39" s="9">
        <f>Data!$J66</f>
        <v>2145149.2459999998</v>
      </c>
      <c r="P39" s="9"/>
    </row>
    <row r="40" spans="1:16" ht="19.95" customHeight="1" x14ac:dyDescent="0.3">
      <c r="A40" s="44"/>
      <c r="B40" s="8" t="s">
        <v>14</v>
      </c>
      <c r="C40" s="9">
        <v>24909</v>
      </c>
      <c r="D40" s="9">
        <v>33449</v>
      </c>
      <c r="E40" s="9">
        <v>29015</v>
      </c>
      <c r="F40" s="9">
        <v>25314</v>
      </c>
      <c r="G40" s="9">
        <v>23950</v>
      </c>
      <c r="H40" s="9">
        <v>22405.89</v>
      </c>
      <c r="I40" s="9">
        <v>28174</v>
      </c>
      <c r="J40" s="9">
        <f>Data!K6</f>
        <v>13776.6</v>
      </c>
      <c r="K40" s="9">
        <f>Data!K18</f>
        <v>15395.77</v>
      </c>
      <c r="L40" s="9">
        <f>Data!$K30</f>
        <v>11738.25</v>
      </c>
      <c r="M40" s="9">
        <f>Data!$K42</f>
        <v>12757</v>
      </c>
      <c r="N40" s="9">
        <f>Data!$K54</f>
        <v>6053</v>
      </c>
      <c r="O40" s="9">
        <f>Data!$K66</f>
        <v>11123.48</v>
      </c>
      <c r="P40" s="9"/>
    </row>
    <row r="41" spans="1:16" ht="19.95" customHeight="1" x14ac:dyDescent="0.3">
      <c r="A41" s="44"/>
      <c r="B41" s="8" t="s">
        <v>21</v>
      </c>
      <c r="C41" s="46">
        <f>C39+C40</f>
        <v>1336823</v>
      </c>
      <c r="D41" s="46">
        <f>D39+D40</f>
        <v>1363783</v>
      </c>
      <c r="E41" s="46">
        <f>E39+E40</f>
        <v>1339970</v>
      </c>
      <c r="F41" s="46">
        <f>F39+F40</f>
        <v>1397727</v>
      </c>
      <c r="G41" s="46">
        <f>G39+G40</f>
        <v>1746141</v>
      </c>
      <c r="H41" s="47">
        <f t="shared" ref="H41" si="17">H39+H40</f>
        <v>1740852.89</v>
      </c>
      <c r="I41" s="47">
        <f t="shared" ref="I41" si="18">I39+I40</f>
        <v>1665036</v>
      </c>
      <c r="J41" s="47">
        <f>Data!L6</f>
        <v>1879022.2350000001</v>
      </c>
      <c r="K41" s="47">
        <f>Data!L18</f>
        <v>1973201.817</v>
      </c>
      <c r="L41" s="47">
        <f>Data!$L30</f>
        <v>1943298.6880000001</v>
      </c>
      <c r="M41" s="47">
        <f>Data!$L42</f>
        <v>1882811.4569999999</v>
      </c>
      <c r="N41" s="47">
        <f>Data!$L54</f>
        <v>1928270.889</v>
      </c>
      <c r="O41" s="47">
        <f>Data!$L66</f>
        <v>2156272.7259999998</v>
      </c>
      <c r="P41" s="47"/>
    </row>
    <row r="42" spans="1:16" ht="19.95" customHeight="1" x14ac:dyDescent="0.25">
      <c r="A42" s="5"/>
      <c r="B42" s="5"/>
      <c r="C42" s="6"/>
      <c r="D42" s="6"/>
      <c r="E42" s="6"/>
      <c r="F42" s="6"/>
      <c r="G42" s="6"/>
      <c r="H42" s="16"/>
      <c r="I42" s="16"/>
      <c r="J42" s="16"/>
      <c r="K42" s="16"/>
      <c r="L42" s="16"/>
      <c r="M42" s="16"/>
      <c r="N42" s="16"/>
      <c r="O42" s="16"/>
      <c r="P42" s="16"/>
    </row>
    <row r="43" spans="1:16" ht="19.95" customHeight="1" x14ac:dyDescent="0.3">
      <c r="A43" s="44" t="s">
        <v>11</v>
      </c>
      <c r="B43" s="8" t="s">
        <v>13</v>
      </c>
      <c r="C43" s="10">
        <v>1309762</v>
      </c>
      <c r="D43" s="10">
        <v>1303797</v>
      </c>
      <c r="E43" s="10">
        <v>1299359</v>
      </c>
      <c r="F43" s="10">
        <v>1616439</v>
      </c>
      <c r="G43" s="10">
        <v>1664488</v>
      </c>
      <c r="H43" s="9">
        <v>1759681</v>
      </c>
      <c r="I43" s="9">
        <v>1588141</v>
      </c>
      <c r="J43" s="9">
        <f>Data!J7</f>
        <v>1904535.966</v>
      </c>
      <c r="K43" s="9">
        <f>Data!J19</f>
        <v>1903358.4080000001</v>
      </c>
      <c r="L43" s="9">
        <f>Data!J31</f>
        <v>1779030.956</v>
      </c>
      <c r="M43" s="9">
        <f>Data!$J43</f>
        <v>1709070.754</v>
      </c>
      <c r="N43" s="9">
        <f>Data!$J55</f>
        <v>2001674.2109999999</v>
      </c>
      <c r="O43" s="9">
        <f>Data!$J67</f>
        <v>2096362.875</v>
      </c>
      <c r="P43" s="9"/>
    </row>
    <row r="44" spans="1:16" ht="19.95" customHeight="1" x14ac:dyDescent="0.3">
      <c r="A44" s="44"/>
      <c r="B44" s="8" t="s">
        <v>14</v>
      </c>
      <c r="C44" s="9">
        <v>12646</v>
      </c>
      <c r="D44" s="9">
        <v>14393</v>
      </c>
      <c r="E44" s="9">
        <v>29494</v>
      </c>
      <c r="F44" s="9">
        <v>51166</v>
      </c>
      <c r="G44" s="9">
        <v>28068</v>
      </c>
      <c r="H44" s="9">
        <v>20281</v>
      </c>
      <c r="I44" s="9">
        <v>18755</v>
      </c>
      <c r="J44" s="9">
        <f>Data!K7</f>
        <v>18757</v>
      </c>
      <c r="K44" s="9">
        <f>Data!K19</f>
        <v>19974.95</v>
      </c>
      <c r="L44" s="9">
        <f>Data!$K31</f>
        <v>12620.18</v>
      </c>
      <c r="M44" s="9">
        <f>Data!$K43</f>
        <v>10508</v>
      </c>
      <c r="N44" s="9">
        <f>Data!$K55</f>
        <v>5074</v>
      </c>
      <c r="O44" s="9">
        <f>Data!$K67</f>
        <v>16682.71</v>
      </c>
      <c r="P44" s="9"/>
    </row>
    <row r="45" spans="1:16" ht="19.95" customHeight="1" x14ac:dyDescent="0.3">
      <c r="A45" s="44"/>
      <c r="B45" s="8" t="s">
        <v>21</v>
      </c>
      <c r="C45" s="46">
        <f>C43+C44</f>
        <v>1322408</v>
      </c>
      <c r="D45" s="46">
        <f>D43+D44</f>
        <v>1318190</v>
      </c>
      <c r="E45" s="46">
        <f>E43+E44</f>
        <v>1328853</v>
      </c>
      <c r="F45" s="46">
        <f>F43+F44</f>
        <v>1667605</v>
      </c>
      <c r="G45" s="46">
        <f>G43+G44</f>
        <v>1692556</v>
      </c>
      <c r="H45" s="47">
        <f t="shared" ref="H45" si="19">H43+H44</f>
        <v>1779962</v>
      </c>
      <c r="I45" s="47">
        <f t="shared" ref="I45" si="20">I43+I44</f>
        <v>1606896</v>
      </c>
      <c r="J45" s="47">
        <f>Data!L7</f>
        <v>1923292.966</v>
      </c>
      <c r="K45" s="47">
        <f>Data!L19</f>
        <v>1923333.358</v>
      </c>
      <c r="L45" s="47">
        <f>Data!$L31</f>
        <v>1791651.1359999999</v>
      </c>
      <c r="M45" s="47">
        <f>Data!$L43</f>
        <v>1719578.754</v>
      </c>
      <c r="N45" s="47">
        <f>Data!$L55</f>
        <v>2006748.2109999999</v>
      </c>
      <c r="O45" s="47">
        <f>Data!$L67</f>
        <v>2113045.585</v>
      </c>
      <c r="P45" s="47"/>
    </row>
    <row r="46" spans="1:16" ht="19.95" customHeight="1" x14ac:dyDescent="0.25">
      <c r="A46" s="5"/>
      <c r="B46" s="5"/>
      <c r="C46" s="6"/>
      <c r="D46" s="6"/>
      <c r="E46" s="6"/>
      <c r="F46" s="6"/>
      <c r="G46" s="6"/>
      <c r="H46" s="16"/>
      <c r="I46" s="16"/>
      <c r="J46" s="16"/>
      <c r="K46" s="16"/>
      <c r="L46" s="16"/>
      <c r="M46" s="16"/>
      <c r="N46" s="16"/>
      <c r="O46" s="16"/>
      <c r="P46" s="16"/>
    </row>
    <row r="47" spans="1:16" ht="19.95" customHeight="1" x14ac:dyDescent="0.3">
      <c r="A47" s="44" t="s">
        <v>12</v>
      </c>
      <c r="B47" s="8" t="s">
        <v>13</v>
      </c>
      <c r="C47" s="10">
        <v>1312095</v>
      </c>
      <c r="D47" s="10">
        <v>1123171</v>
      </c>
      <c r="E47" s="10">
        <v>1299819</v>
      </c>
      <c r="F47" s="10">
        <v>1532378</v>
      </c>
      <c r="G47" s="10">
        <v>1565530</v>
      </c>
      <c r="H47" s="9">
        <v>1767245</v>
      </c>
      <c r="I47" s="9">
        <v>1562664</v>
      </c>
      <c r="J47" s="9">
        <f>Data!J8</f>
        <v>1802897.59</v>
      </c>
      <c r="K47" s="9">
        <f>Data!J20</f>
        <v>1897400.429</v>
      </c>
      <c r="L47" s="9">
        <f>Data!J32</f>
        <v>1782032.4040000001</v>
      </c>
      <c r="M47" s="48">
        <f>Data!$J44</f>
        <v>1715087.625</v>
      </c>
      <c r="N47" s="9">
        <f>Data!$J56</f>
        <v>1922477.618</v>
      </c>
      <c r="O47" s="9">
        <f>Data!$J68</f>
        <v>2252147.2889999999</v>
      </c>
      <c r="P47" s="9"/>
    </row>
    <row r="48" spans="1:16" ht="19.95" customHeight="1" x14ac:dyDescent="0.3">
      <c r="A48" s="44"/>
      <c r="B48" s="8" t="s">
        <v>14</v>
      </c>
      <c r="C48" s="9">
        <v>19320</v>
      </c>
      <c r="D48" s="9">
        <v>29110</v>
      </c>
      <c r="E48" s="9">
        <v>28651</v>
      </c>
      <c r="F48" s="9">
        <v>27929</v>
      </c>
      <c r="G48" s="9">
        <v>23248</v>
      </c>
      <c r="H48" s="9">
        <v>21545.37</v>
      </c>
      <c r="I48" s="9">
        <v>26145.1</v>
      </c>
      <c r="J48" s="9">
        <f>Data!K8</f>
        <v>18842.400000000001</v>
      </c>
      <c r="K48" s="9">
        <f>Data!K20</f>
        <v>19896.95</v>
      </c>
      <c r="L48" s="9">
        <f>Data!$K32</f>
        <v>17283.86</v>
      </c>
      <c r="M48" s="48">
        <f>Data!$K44</f>
        <v>13918.22</v>
      </c>
      <c r="N48" s="9">
        <f>Data!$K56</f>
        <v>7572</v>
      </c>
      <c r="O48" s="9">
        <f>Data!$K68</f>
        <v>39787.75</v>
      </c>
      <c r="P48" s="9"/>
    </row>
    <row r="49" spans="1:16" ht="19.95" customHeight="1" x14ac:dyDescent="0.3">
      <c r="A49" s="44"/>
      <c r="B49" s="8" t="s">
        <v>21</v>
      </c>
      <c r="C49" s="46">
        <f>C47+C48</f>
        <v>1331415</v>
      </c>
      <c r="D49" s="46">
        <f>D47+D48</f>
        <v>1152281</v>
      </c>
      <c r="E49" s="46">
        <f>E47+E48</f>
        <v>1328470</v>
      </c>
      <c r="F49" s="46">
        <f>F47+F48</f>
        <v>1560307</v>
      </c>
      <c r="G49" s="46">
        <f>G47+G48</f>
        <v>1588778</v>
      </c>
      <c r="H49" s="47">
        <f t="shared" ref="H49" si="21">H47+H48</f>
        <v>1788790.37</v>
      </c>
      <c r="I49" s="47">
        <f t="shared" ref="I49" si="22">I47+I48</f>
        <v>1588809.1</v>
      </c>
      <c r="J49" s="47">
        <f>Data!L8</f>
        <v>1821739.99</v>
      </c>
      <c r="K49" s="47">
        <f>Data!L20</f>
        <v>1917297.379</v>
      </c>
      <c r="L49" s="47">
        <f>Data!$L32</f>
        <v>1799316.264</v>
      </c>
      <c r="M49" s="49">
        <f>Data!$L44</f>
        <v>1729005.845</v>
      </c>
      <c r="N49" s="47">
        <f>Data!$L56</f>
        <v>1930049.618</v>
      </c>
      <c r="O49" s="47">
        <f>Data!$L68</f>
        <v>2291935.0389999999</v>
      </c>
      <c r="P49" s="47"/>
    </row>
    <row r="50" spans="1:16" ht="19.95" customHeight="1" x14ac:dyDescent="0.25">
      <c r="A50" s="5"/>
      <c r="B50" s="5"/>
      <c r="C50" s="6"/>
      <c r="D50" s="6"/>
      <c r="E50" s="6"/>
      <c r="F50" s="6"/>
      <c r="G50" s="6"/>
      <c r="H50" s="16"/>
      <c r="I50" s="16"/>
      <c r="J50" s="16"/>
      <c r="K50" s="16"/>
      <c r="L50" s="16"/>
      <c r="M50" s="16"/>
      <c r="N50" s="16"/>
      <c r="O50" s="16"/>
      <c r="P50" s="16"/>
    </row>
    <row r="51" spans="1:16" ht="19.95" customHeight="1" x14ac:dyDescent="0.3">
      <c r="A51" s="44" t="s">
        <v>0</v>
      </c>
      <c r="B51" s="8" t="s">
        <v>13</v>
      </c>
      <c r="C51" s="22">
        <f t="shared" ref="C51:G52" si="23">C3+C7+C11+C15+C19+C23+C27+C31+C35+C39+C43+C47</f>
        <v>14679585</v>
      </c>
      <c r="D51" s="22">
        <f t="shared" si="23"/>
        <v>15068848</v>
      </c>
      <c r="E51" s="22">
        <f t="shared" si="23"/>
        <v>15268380</v>
      </c>
      <c r="F51" s="22">
        <f t="shared" si="23"/>
        <v>17155583</v>
      </c>
      <c r="G51" s="22">
        <f t="shared" si="23"/>
        <v>18504243</v>
      </c>
      <c r="H51" s="50">
        <f t="shared" ref="H51" si="24">H3+H7+H11+H15+H19+H23+H27+H31+H35+H39+H43+H47</f>
        <v>18733342</v>
      </c>
      <c r="I51" s="50">
        <f t="shared" ref="I51" si="25">I3+I7+I11+I15+I19+I23+I27+I31+I35+I39+I43+I47</f>
        <v>19681988</v>
      </c>
      <c r="J51" s="50">
        <f t="shared" ref="J51:K51" si="26">J3+J7+J11+J15+J19+J23+J27+J31+J35+J39+J43+J47</f>
        <v>20664886.290000003</v>
      </c>
      <c r="K51" s="50">
        <f t="shared" si="26"/>
        <v>21784593.835000001</v>
      </c>
      <c r="L51" s="50">
        <f t="shared" ref="L51:N52" si="27">L3+L7+L11+L15+L19+L23+L27+L31+L35+L39+L43+L47</f>
        <v>21785433.505999997</v>
      </c>
      <c r="M51" s="50">
        <f t="shared" si="27"/>
        <v>21779258.037999999</v>
      </c>
      <c r="N51" s="50">
        <f t="shared" si="27"/>
        <v>21001829.806999996</v>
      </c>
      <c r="O51" s="50">
        <f t="shared" ref="O51:P51" si="28">O3+O7+O11+O15+O19+O23+O27+O31+O35+O39+O43+O47</f>
        <v>25206461.943</v>
      </c>
      <c r="P51" s="50">
        <f t="shared" si="28"/>
        <v>17643694.462000001</v>
      </c>
    </row>
    <row r="52" spans="1:16" ht="19.95" customHeight="1" x14ac:dyDescent="0.3">
      <c r="A52" s="44"/>
      <c r="B52" s="8" t="s">
        <v>14</v>
      </c>
      <c r="C52" s="22">
        <f t="shared" si="23"/>
        <v>228905</v>
      </c>
      <c r="D52" s="22">
        <f t="shared" si="23"/>
        <v>253854</v>
      </c>
      <c r="E52" s="22">
        <f t="shared" si="23"/>
        <v>347558</v>
      </c>
      <c r="F52" s="22">
        <f t="shared" si="23"/>
        <v>372144</v>
      </c>
      <c r="G52" s="22">
        <f t="shared" si="23"/>
        <v>336060</v>
      </c>
      <c r="H52" s="50">
        <f>H4+H8+H12+H16+H20+H24+H28+H32+H36+H40+H44+H48</f>
        <v>328060.31</v>
      </c>
      <c r="I52" s="50">
        <f>I4+I8+I12+I16+I20+I24+I28+I32+I36+I40+I44+I48</f>
        <v>295719.09999999998</v>
      </c>
      <c r="J52" s="50">
        <f>J4+J8+J12+J16+J20+J24+J28+J32+J36+J40+J44+J48</f>
        <v>204425.03</v>
      </c>
      <c r="K52" s="50">
        <f>K4+K8+K12+K16+K20+K24+K28+K32+K36+K40+K44+K48</f>
        <v>187124.43000000002</v>
      </c>
      <c r="L52" s="50">
        <f t="shared" si="27"/>
        <v>189429.43</v>
      </c>
      <c r="M52" s="50">
        <f t="shared" si="27"/>
        <v>161489.47</v>
      </c>
      <c r="N52" s="50">
        <f t="shared" si="27"/>
        <v>80097</v>
      </c>
      <c r="O52" s="50">
        <f t="shared" ref="O52:P52" si="29">O4+O8+O12+O16+O20+O24+O28+O32+O36+O40+O44+O48</f>
        <v>147685.72</v>
      </c>
      <c r="P52" s="50">
        <f t="shared" si="29"/>
        <v>98781.41</v>
      </c>
    </row>
    <row r="53" spans="1:16" ht="19.95" customHeight="1" x14ac:dyDescent="0.3">
      <c r="A53" s="44"/>
      <c r="B53" s="8" t="s">
        <v>21</v>
      </c>
      <c r="C53" s="22">
        <f>C51+C52</f>
        <v>14908490</v>
      </c>
      <c r="D53" s="22">
        <f>D51+D52</f>
        <v>15322702</v>
      </c>
      <c r="E53" s="22">
        <f>E51+E52</f>
        <v>15615938</v>
      </c>
      <c r="F53" s="22">
        <f>F51+F52</f>
        <v>17527727</v>
      </c>
      <c r="G53" s="22">
        <f t="shared" ref="G53" si="30">G51+G52</f>
        <v>18840303</v>
      </c>
      <c r="H53" s="50">
        <f t="shared" ref="H53:M53" si="31">H51+H52</f>
        <v>19061402.309999999</v>
      </c>
      <c r="I53" s="50">
        <f t="shared" si="31"/>
        <v>19977707.100000001</v>
      </c>
      <c r="J53" s="50">
        <f t="shared" si="31"/>
        <v>20869311.320000004</v>
      </c>
      <c r="K53" s="50">
        <f t="shared" si="31"/>
        <v>21971718.265000001</v>
      </c>
      <c r="L53" s="50">
        <f t="shared" si="31"/>
        <v>21974862.935999997</v>
      </c>
      <c r="M53" s="50">
        <f t="shared" si="31"/>
        <v>21940747.507999998</v>
      </c>
      <c r="N53" s="50">
        <f t="shared" ref="N53:O53" si="32">N51+N52</f>
        <v>21081926.806999996</v>
      </c>
      <c r="O53" s="50">
        <f t="shared" si="32"/>
        <v>25354147.662999999</v>
      </c>
      <c r="P53" s="50">
        <f t="shared" ref="P53" si="33">P51+P52</f>
        <v>17742475.872000001</v>
      </c>
    </row>
    <row r="54" spans="1:16" ht="19.95" customHeight="1" x14ac:dyDescent="0.25"/>
    <row r="55" spans="1:16" ht="19.95" customHeight="1" x14ac:dyDescent="0.25">
      <c r="A55" s="127" t="s">
        <v>16</v>
      </c>
      <c r="B55" s="127"/>
      <c r="C55" s="67">
        <v>2009</v>
      </c>
      <c r="D55" s="67">
        <v>2010</v>
      </c>
      <c r="E55" s="67">
        <f t="shared" ref="E55:N55" si="34">E2</f>
        <v>2011</v>
      </c>
      <c r="F55" s="67">
        <f t="shared" si="34"/>
        <v>2012</v>
      </c>
      <c r="G55" s="67">
        <f t="shared" si="34"/>
        <v>2013</v>
      </c>
      <c r="H55" s="67">
        <f t="shared" si="34"/>
        <v>2014</v>
      </c>
      <c r="I55" s="67">
        <f t="shared" si="34"/>
        <v>2015</v>
      </c>
      <c r="J55" s="67">
        <f t="shared" si="34"/>
        <v>2016</v>
      </c>
      <c r="K55" s="67">
        <f t="shared" si="34"/>
        <v>2017</v>
      </c>
      <c r="L55" s="67">
        <f t="shared" si="34"/>
        <v>2018</v>
      </c>
      <c r="M55" s="67">
        <f t="shared" si="34"/>
        <v>2019</v>
      </c>
      <c r="N55" s="67">
        <f t="shared" si="34"/>
        <v>2020</v>
      </c>
      <c r="O55" s="67">
        <f>O2</f>
        <v>2021</v>
      </c>
      <c r="P55" s="67">
        <f>P2</f>
        <v>2022</v>
      </c>
    </row>
    <row r="56" spans="1:16" ht="19.95" customHeight="1" x14ac:dyDescent="0.3">
      <c r="A56" s="66"/>
      <c r="B56" s="51" t="s">
        <v>13</v>
      </c>
      <c r="C56" s="52">
        <v>-0.16069958467748599</v>
      </c>
      <c r="D56" s="52">
        <f t="shared" ref="D56:J58" si="35">(D51-C51)/C51</f>
        <v>2.6517302771161447E-2</v>
      </c>
      <c r="E56" s="52">
        <f t="shared" si="35"/>
        <v>1.3241357268983003E-2</v>
      </c>
      <c r="F56" s="52">
        <f t="shared" si="35"/>
        <v>0.12360204553462777</v>
      </c>
      <c r="G56" s="52">
        <f t="shared" si="35"/>
        <v>7.8613475275075173E-2</v>
      </c>
      <c r="H56" s="52">
        <f t="shared" si="35"/>
        <v>1.2380890155841555E-2</v>
      </c>
      <c r="I56" s="52">
        <f t="shared" si="35"/>
        <v>5.0639442764670604E-2</v>
      </c>
      <c r="J56" s="52">
        <f t="shared" si="35"/>
        <v>4.9938974152407917E-2</v>
      </c>
      <c r="K56" s="52">
        <f t="shared" ref="K56:L58" si="36">K51/(J3+J7+J11+J15+J19+J23+J27+J31+J35+J39+J43+J47)-1</f>
        <v>5.4184065147352856E-2</v>
      </c>
      <c r="L56" s="52">
        <f t="shared" si="36"/>
        <v>3.854425776106396E-5</v>
      </c>
      <c r="M56" s="53">
        <f t="shared" ref="M56:N58" si="37">M51/(L3+L7+L11+L15+L19+L23+L27+L31+L35+L39+L43+L47)-1</f>
        <v>-2.8346775832110982E-4</v>
      </c>
      <c r="N56" s="52">
        <f t="shared" si="37"/>
        <v>-3.569580881238299E-2</v>
      </c>
      <c r="O56" s="52">
        <f>O51/(N3+N7+N11+N15+N19+N23+N27+N31+N35+N39+N43+N47)-1</f>
        <v>0.20020313347166452</v>
      </c>
      <c r="P56" s="52">
        <f>P51/(O3+O7+O11+O15+O19+O23+O27+O31)-1</f>
        <v>6.0138269299857106E-2</v>
      </c>
    </row>
    <row r="57" spans="1:16" ht="19.95" customHeight="1" x14ac:dyDescent="0.3">
      <c r="A57" s="54"/>
      <c r="B57" s="51" t="s">
        <v>14</v>
      </c>
      <c r="C57" s="52">
        <v>-0.33241271100430464</v>
      </c>
      <c r="D57" s="52">
        <f t="shared" si="35"/>
        <v>0.10899281361263406</v>
      </c>
      <c r="E57" s="52">
        <f t="shared" si="35"/>
        <v>0.3691255603614676</v>
      </c>
      <c r="F57" s="52">
        <f t="shared" si="35"/>
        <v>7.0739272294120692E-2</v>
      </c>
      <c r="G57" s="52">
        <f t="shared" si="35"/>
        <v>-9.696246614213852E-2</v>
      </c>
      <c r="H57" s="52">
        <f t="shared" si="35"/>
        <v>-2.3804350413616622E-2</v>
      </c>
      <c r="I57" s="52">
        <f t="shared" si="35"/>
        <v>-9.8583123328756295E-2</v>
      </c>
      <c r="J57" s="52">
        <f t="shared" si="35"/>
        <v>-0.30871888220950217</v>
      </c>
      <c r="K57" s="52">
        <f t="shared" si="36"/>
        <v>-8.4630536681344681E-2</v>
      </c>
      <c r="L57" s="52">
        <f t="shared" si="36"/>
        <v>1.231800679366124E-2</v>
      </c>
      <c r="M57" s="52">
        <f t="shared" si="37"/>
        <v>-0.14749534958744259</v>
      </c>
      <c r="N57" s="52">
        <f t="shared" si="37"/>
        <v>-0.50401100455652004</v>
      </c>
      <c r="O57" s="52">
        <f>O52/(N4+N8+N12+N16+N20+N24+N28+N32+N36+N40+N44+N48)-1</f>
        <v>0.84383584903304754</v>
      </c>
      <c r="P57" s="52">
        <f>P52/(O4+O8+O12+O16+O20+O24+O28+O32)-1</f>
        <v>0.30386858543893402</v>
      </c>
    </row>
    <row r="58" spans="1:16" ht="19.95" customHeight="1" x14ac:dyDescent="0.3">
      <c r="A58" s="54"/>
      <c r="B58" s="51" t="s">
        <v>21</v>
      </c>
      <c r="C58" s="52">
        <v>-0.16400117152625951</v>
      </c>
      <c r="D58" s="52">
        <f t="shared" si="35"/>
        <v>2.7783632011021908E-2</v>
      </c>
      <c r="E58" s="52">
        <f t="shared" si="35"/>
        <v>1.9137355800563111E-2</v>
      </c>
      <c r="F58" s="52">
        <f t="shared" si="35"/>
        <v>0.12242549887172964</v>
      </c>
      <c r="G58" s="52">
        <f t="shared" si="35"/>
        <v>7.488569396362689E-2</v>
      </c>
      <c r="H58" s="52">
        <f t="shared" si="35"/>
        <v>1.1735443426785581E-2</v>
      </c>
      <c r="I58" s="52">
        <f t="shared" si="35"/>
        <v>4.8071216120300381E-2</v>
      </c>
      <c r="J58" s="52">
        <f t="shared" si="35"/>
        <v>4.4629957559043525E-2</v>
      </c>
      <c r="K58" s="52">
        <f t="shared" si="36"/>
        <v>5.2824262358154295E-2</v>
      </c>
      <c r="L58" s="53">
        <f t="shared" si="36"/>
        <v>1.4312358105406098E-4</v>
      </c>
      <c r="M58" s="52">
        <f t="shared" si="37"/>
        <v>-1.5524751212038224E-3</v>
      </c>
      <c r="N58" s="52">
        <f t="shared" si="37"/>
        <v>-3.9142727506747854E-2</v>
      </c>
      <c r="O58" s="52">
        <f>O53/(N5+N9+N13+N17+N21+N25+N29+N33+N37+N41+N45+N49)-1</f>
        <v>0.20264850054319816</v>
      </c>
      <c r="P58" s="52">
        <f>P53/(O5+O9+O13+O17+O21+O25+O29+O33)-1</f>
        <v>6.1242733026203311E-2</v>
      </c>
    </row>
    <row r="61" spans="1:16" x14ac:dyDescent="0.25"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6" x14ac:dyDescent="0.25"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6" x14ac:dyDescent="0.25"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6" spans="3:11" x14ac:dyDescent="0.25">
      <c r="C66" s="32"/>
      <c r="D66" s="32"/>
      <c r="E66" s="32"/>
      <c r="F66" s="32"/>
      <c r="G66" s="32"/>
      <c r="H66" s="32"/>
      <c r="I66" s="32"/>
      <c r="J66" s="32"/>
      <c r="K66" s="32"/>
    </row>
    <row r="67" spans="3:11" x14ac:dyDescent="0.25">
      <c r="C67" s="32"/>
      <c r="D67" s="32"/>
      <c r="E67" s="32"/>
      <c r="F67" s="32"/>
      <c r="G67" s="32"/>
      <c r="H67" s="32"/>
      <c r="I67" s="32"/>
      <c r="J67" s="32"/>
      <c r="K67" s="32"/>
    </row>
    <row r="68" spans="3:11" x14ac:dyDescent="0.25">
      <c r="C68" s="32"/>
      <c r="D68" s="32"/>
      <c r="E68" s="32"/>
      <c r="F68" s="32"/>
      <c r="G68" s="32"/>
      <c r="H68" s="32"/>
      <c r="I68" s="32"/>
      <c r="J68" s="32"/>
      <c r="K68" s="32"/>
    </row>
  </sheetData>
  <mergeCells count="1">
    <mergeCell ref="A55:B55"/>
  </mergeCells>
  <printOptions horizontalCentered="1" verticalCentered="1"/>
  <pageMargins left="0.25" right="0.25" top="0.25" bottom="0.25" header="0.3" footer="0.05"/>
  <pageSetup scale="36" orientation="portrait" horizontalDpi="300" verticalDpi="300" r:id="rId1"/>
  <headerFooter alignWithMargins="0">
    <oddFooter>&amp;LVPA, Market Analysis and Strategy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27"/>
  <sheetViews>
    <sheetView showGridLines="0" defaultGridColor="0" colorId="9" zoomScale="80" zoomScaleNormal="80" zoomScalePageLayoutView="80" workbookViewId="0">
      <selection activeCell="A2" sqref="A2"/>
    </sheetView>
  </sheetViews>
  <sheetFormatPr defaultColWidth="11.453125" defaultRowHeight="15" x14ac:dyDescent="0.25"/>
  <cols>
    <col min="1" max="1" width="11.453125" style="3" customWidth="1"/>
    <col min="2" max="2" width="11.81640625" style="3" hidden="1" customWidth="1"/>
    <col min="3" max="3" width="10.81640625" style="3" hidden="1" customWidth="1"/>
    <col min="4" max="8" width="10.81640625" style="3" customWidth="1"/>
    <col min="9" max="11" width="11.453125" style="3"/>
    <col min="12" max="12" width="9.6328125" style="3" customWidth="1"/>
    <col min="13" max="15" width="10.453125" style="3" customWidth="1"/>
    <col min="16" max="16384" width="11.453125" style="3"/>
  </cols>
  <sheetData>
    <row r="1" spans="1:15" ht="64.95" customHeight="1" x14ac:dyDescent="0.25">
      <c r="B1" s="2"/>
      <c r="E1" s="2" t="s">
        <v>17</v>
      </c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45" customFormat="1" ht="20.55" customHeight="1" x14ac:dyDescent="0.25">
      <c r="A2" s="58"/>
      <c r="B2" s="59">
        <v>2009</v>
      </c>
      <c r="C2" s="59">
        <v>2010</v>
      </c>
      <c r="D2" s="59">
        <v>2011</v>
      </c>
      <c r="E2" s="59">
        <v>2012</v>
      </c>
      <c r="F2" s="59">
        <v>2013</v>
      </c>
      <c r="G2" s="59">
        <v>2014</v>
      </c>
      <c r="H2" s="59">
        <v>2015</v>
      </c>
      <c r="I2" s="59">
        <v>2016</v>
      </c>
      <c r="J2" s="59">
        <v>2017</v>
      </c>
      <c r="K2" s="59">
        <v>2018</v>
      </c>
      <c r="L2" s="59">
        <v>2019</v>
      </c>
      <c r="M2" s="59">
        <v>2020</v>
      </c>
      <c r="N2" s="59">
        <v>2021</v>
      </c>
      <c r="O2" s="59">
        <v>2022</v>
      </c>
    </row>
    <row r="3" spans="1:15" ht="19.95" customHeight="1" x14ac:dyDescent="0.3">
      <c r="A3" s="60" t="s">
        <v>1</v>
      </c>
      <c r="B3" s="34">
        <v>146</v>
      </c>
      <c r="C3" s="34">
        <v>141</v>
      </c>
      <c r="D3" s="34">
        <v>159</v>
      </c>
      <c r="E3" s="34">
        <v>164</v>
      </c>
      <c r="F3" s="34">
        <v>158</v>
      </c>
      <c r="G3" s="55">
        <v>155</v>
      </c>
      <c r="H3" s="55">
        <v>164</v>
      </c>
      <c r="I3" s="55">
        <v>167</v>
      </c>
      <c r="J3" s="55">
        <f>Data!M9</f>
        <v>147</v>
      </c>
      <c r="K3" s="55">
        <f>Data!M21</f>
        <v>137</v>
      </c>
      <c r="L3" s="55">
        <f>Data!M33</f>
        <v>129</v>
      </c>
      <c r="M3" s="55">
        <f>Data!M45</f>
        <v>121</v>
      </c>
      <c r="N3" s="55">
        <f>Data!M57</f>
        <v>129</v>
      </c>
      <c r="O3" s="55">
        <f>Data!M69</f>
        <v>107</v>
      </c>
    </row>
    <row r="4" spans="1:15" ht="19.95" customHeight="1" x14ac:dyDescent="0.3">
      <c r="A4" s="60" t="s">
        <v>2</v>
      </c>
      <c r="B4" s="34">
        <v>129</v>
      </c>
      <c r="C4" s="34">
        <v>153</v>
      </c>
      <c r="D4" s="34">
        <v>133</v>
      </c>
      <c r="E4" s="34">
        <v>149</v>
      </c>
      <c r="F4" s="34">
        <v>140</v>
      </c>
      <c r="G4" s="34">
        <v>141</v>
      </c>
      <c r="H4" s="34">
        <v>143</v>
      </c>
      <c r="I4" s="34">
        <v>157</v>
      </c>
      <c r="J4" s="55">
        <f>Data!M10</f>
        <v>138</v>
      </c>
      <c r="K4" s="55">
        <f>Data!$M22</f>
        <v>131</v>
      </c>
      <c r="L4" s="55">
        <f>Data!M34</f>
        <v>113</v>
      </c>
      <c r="M4" s="55">
        <f>Data!M46</f>
        <v>111</v>
      </c>
      <c r="N4" s="55">
        <f>Data!M58</f>
        <v>117</v>
      </c>
      <c r="O4" s="55">
        <f>Data!M70</f>
        <v>113</v>
      </c>
    </row>
    <row r="5" spans="1:15" ht="19.95" customHeight="1" x14ac:dyDescent="0.3">
      <c r="A5" s="60" t="s">
        <v>3</v>
      </c>
      <c r="B5" s="34">
        <v>137</v>
      </c>
      <c r="C5" s="55">
        <v>163</v>
      </c>
      <c r="D5" s="55">
        <v>153</v>
      </c>
      <c r="E5" s="34">
        <v>173</v>
      </c>
      <c r="F5" s="34">
        <v>158</v>
      </c>
      <c r="G5" s="34">
        <v>162</v>
      </c>
      <c r="H5" s="34">
        <v>163</v>
      </c>
      <c r="I5" s="34">
        <v>172</v>
      </c>
      <c r="J5" s="55">
        <f>Data!M11</f>
        <v>146</v>
      </c>
      <c r="K5" s="55">
        <f>Data!$M23</f>
        <v>147</v>
      </c>
      <c r="L5" s="55">
        <f>Data!M35</f>
        <v>128</v>
      </c>
      <c r="M5" s="55">
        <f>Data!M47</f>
        <v>112</v>
      </c>
      <c r="N5" s="55">
        <f>Data!M59</f>
        <v>128</v>
      </c>
      <c r="O5" s="55">
        <f>Data!M71</f>
        <v>115</v>
      </c>
    </row>
    <row r="6" spans="1:15" ht="19.95" customHeight="1" x14ac:dyDescent="0.3">
      <c r="A6" s="60" t="s">
        <v>4</v>
      </c>
      <c r="B6" s="34">
        <v>133</v>
      </c>
      <c r="C6" s="34">
        <v>149</v>
      </c>
      <c r="D6" s="34">
        <v>157</v>
      </c>
      <c r="E6" s="34">
        <v>161</v>
      </c>
      <c r="F6" s="34">
        <v>156</v>
      </c>
      <c r="G6" s="34">
        <v>157</v>
      </c>
      <c r="H6" s="34">
        <v>159</v>
      </c>
      <c r="I6" s="34">
        <v>162</v>
      </c>
      <c r="J6" s="55">
        <f>Data!M12</f>
        <v>157</v>
      </c>
      <c r="K6" s="55">
        <f>Data!$M24</f>
        <v>143</v>
      </c>
      <c r="L6" s="55">
        <f>Data!M36</f>
        <v>126</v>
      </c>
      <c r="M6" s="55">
        <f>Data!M48</f>
        <v>114</v>
      </c>
      <c r="N6" s="55">
        <f>Data!M60</f>
        <v>134</v>
      </c>
      <c r="O6" s="55">
        <f>Data!M72</f>
        <v>112</v>
      </c>
    </row>
    <row r="7" spans="1:15" ht="19.95" customHeight="1" x14ac:dyDescent="0.3">
      <c r="A7" s="60" t="s">
        <v>5</v>
      </c>
      <c r="B7" s="34">
        <v>148</v>
      </c>
      <c r="C7" s="34">
        <v>167</v>
      </c>
      <c r="D7" s="34">
        <v>146</v>
      </c>
      <c r="E7" s="34">
        <v>158</v>
      </c>
      <c r="F7" s="34">
        <v>163</v>
      </c>
      <c r="G7" s="34">
        <v>172</v>
      </c>
      <c r="H7" s="34">
        <v>172</v>
      </c>
      <c r="I7" s="34">
        <v>174</v>
      </c>
      <c r="J7" s="55">
        <f>Data!M13</f>
        <v>143</v>
      </c>
      <c r="K7" s="55">
        <v>142</v>
      </c>
      <c r="L7" s="55">
        <f>Data!M37</f>
        <v>127</v>
      </c>
      <c r="M7" s="55">
        <f>Data!M49</f>
        <v>106</v>
      </c>
      <c r="N7" s="55">
        <f>Data!M61</f>
        <v>139</v>
      </c>
      <c r="O7" s="55">
        <f>Data!M73</f>
        <v>131</v>
      </c>
    </row>
    <row r="8" spans="1:15" ht="19.95" customHeight="1" x14ac:dyDescent="0.3">
      <c r="A8" s="60" t="s">
        <v>6</v>
      </c>
      <c r="B8" s="34">
        <v>159</v>
      </c>
      <c r="C8" s="34">
        <v>165</v>
      </c>
      <c r="D8" s="34">
        <v>147</v>
      </c>
      <c r="E8" s="34">
        <v>160</v>
      </c>
      <c r="F8" s="34">
        <v>152</v>
      </c>
      <c r="G8" s="34">
        <v>154</v>
      </c>
      <c r="H8" s="34">
        <v>172</v>
      </c>
      <c r="I8" s="34">
        <f>Data!M2</f>
        <v>169</v>
      </c>
      <c r="J8" s="55">
        <f>Data!M14</f>
        <v>142</v>
      </c>
      <c r="K8" s="55">
        <v>131</v>
      </c>
      <c r="L8" s="55">
        <f>Data!M38</f>
        <v>123</v>
      </c>
      <c r="M8" s="55">
        <f>Data!M50</f>
        <v>106</v>
      </c>
      <c r="N8" s="55">
        <f>Data!M62</f>
        <v>133</v>
      </c>
      <c r="O8" s="55">
        <f>Data!M74</f>
        <v>125</v>
      </c>
    </row>
    <row r="9" spans="1:15" ht="19.95" customHeight="1" x14ac:dyDescent="0.3">
      <c r="A9" s="60" t="s">
        <v>7</v>
      </c>
      <c r="B9" s="34">
        <v>149</v>
      </c>
      <c r="C9" s="34">
        <v>151</v>
      </c>
      <c r="D9" s="34">
        <v>156</v>
      </c>
      <c r="E9" s="34">
        <v>173</v>
      </c>
      <c r="F9" s="34">
        <v>168</v>
      </c>
      <c r="G9" s="10">
        <v>176</v>
      </c>
      <c r="H9" s="10">
        <v>174</v>
      </c>
      <c r="I9" s="34">
        <f>Data!M3</f>
        <v>166</v>
      </c>
      <c r="J9" s="55">
        <f>Data!M15</f>
        <v>148</v>
      </c>
      <c r="K9" s="55">
        <v>142</v>
      </c>
      <c r="L9" s="55">
        <f>Data!M39</f>
        <v>135</v>
      </c>
      <c r="M9" s="55">
        <f>Data!M51</f>
        <v>113</v>
      </c>
      <c r="N9" s="55">
        <f>Data!M63</f>
        <v>126</v>
      </c>
      <c r="O9" s="55">
        <f>Data!M75</f>
        <v>130</v>
      </c>
    </row>
    <row r="10" spans="1:15" ht="19.95" customHeight="1" x14ac:dyDescent="0.3">
      <c r="A10" s="60" t="s">
        <v>8</v>
      </c>
      <c r="B10" s="34">
        <v>155</v>
      </c>
      <c r="C10" s="34">
        <v>164</v>
      </c>
      <c r="D10" s="34">
        <v>151</v>
      </c>
      <c r="E10" s="34">
        <v>172</v>
      </c>
      <c r="F10" s="34">
        <v>163</v>
      </c>
      <c r="G10" s="10">
        <v>169</v>
      </c>
      <c r="H10" s="10">
        <v>169</v>
      </c>
      <c r="I10" s="34">
        <f>Data!M4</f>
        <v>154</v>
      </c>
      <c r="J10" s="55">
        <f>Data!M16</f>
        <v>149</v>
      </c>
      <c r="K10" s="55">
        <f>Data!$M28</f>
        <v>149</v>
      </c>
      <c r="L10" s="55">
        <f>Data!M40</f>
        <v>133</v>
      </c>
      <c r="M10" s="55">
        <f>Data!M52</f>
        <v>126</v>
      </c>
      <c r="N10" s="55">
        <f>Data!M64</f>
        <v>135</v>
      </c>
      <c r="O10" s="55">
        <f>Data!M76</f>
        <v>133</v>
      </c>
    </row>
    <row r="11" spans="1:15" ht="19.95" customHeight="1" x14ac:dyDescent="0.3">
      <c r="A11" s="60" t="s">
        <v>9</v>
      </c>
      <c r="B11" s="34">
        <v>157</v>
      </c>
      <c r="C11" s="34">
        <v>142</v>
      </c>
      <c r="D11" s="34">
        <v>153</v>
      </c>
      <c r="E11" s="34">
        <v>166</v>
      </c>
      <c r="F11" s="34">
        <v>152</v>
      </c>
      <c r="G11" s="10">
        <v>167</v>
      </c>
      <c r="H11" s="10">
        <v>164</v>
      </c>
      <c r="I11" s="34">
        <f>Data!M5</f>
        <v>144</v>
      </c>
      <c r="J11" s="55">
        <f>Data!M17</f>
        <v>139</v>
      </c>
      <c r="K11" s="55">
        <f>Data!$M29</f>
        <v>128</v>
      </c>
      <c r="L11" s="55">
        <f>Data!M41</f>
        <v>125</v>
      </c>
      <c r="M11" s="55">
        <f>Data!M53</f>
        <v>119</v>
      </c>
      <c r="N11" s="55">
        <f>Data!M65</f>
        <v>131</v>
      </c>
      <c r="O11" s="55"/>
    </row>
    <row r="12" spans="1:15" ht="19.95" customHeight="1" x14ac:dyDescent="0.3">
      <c r="A12" s="60" t="s">
        <v>10</v>
      </c>
      <c r="B12" s="34">
        <v>152</v>
      </c>
      <c r="C12" s="34">
        <v>165</v>
      </c>
      <c r="D12" s="34">
        <v>165</v>
      </c>
      <c r="E12" s="34">
        <v>158</v>
      </c>
      <c r="F12" s="34">
        <v>154</v>
      </c>
      <c r="G12" s="10">
        <v>175</v>
      </c>
      <c r="H12" s="10">
        <v>179</v>
      </c>
      <c r="I12" s="34">
        <f>Data!M6</f>
        <v>155</v>
      </c>
      <c r="J12" s="55">
        <f>Data!M18</f>
        <v>153</v>
      </c>
      <c r="K12" s="55">
        <f>Data!$M30</f>
        <v>142</v>
      </c>
      <c r="L12" s="55">
        <f>Data!M42</f>
        <v>128</v>
      </c>
      <c r="M12" s="55">
        <f>Data!M54</f>
        <v>132</v>
      </c>
      <c r="N12" s="55">
        <f>Data!M66</f>
        <v>133</v>
      </c>
      <c r="O12" s="55"/>
    </row>
    <row r="13" spans="1:15" ht="19.95" customHeight="1" x14ac:dyDescent="0.3">
      <c r="A13" s="60" t="s">
        <v>11</v>
      </c>
      <c r="B13" s="34">
        <v>142</v>
      </c>
      <c r="C13" s="34">
        <v>139</v>
      </c>
      <c r="D13" s="34">
        <v>152</v>
      </c>
      <c r="E13" s="34">
        <v>172</v>
      </c>
      <c r="F13" s="34">
        <v>148</v>
      </c>
      <c r="G13" s="10">
        <v>163</v>
      </c>
      <c r="H13" s="10">
        <v>167</v>
      </c>
      <c r="I13" s="34">
        <f>Data!M7</f>
        <v>151</v>
      </c>
      <c r="J13" s="55">
        <f>Data!M19</f>
        <v>137</v>
      </c>
      <c r="K13" s="55">
        <f>Data!$M31</f>
        <v>130</v>
      </c>
      <c r="L13" s="55">
        <f>Data!M43</f>
        <v>122</v>
      </c>
      <c r="M13" s="55">
        <f>Data!M55</f>
        <v>134</v>
      </c>
      <c r="N13" s="55">
        <f>Data!M67</f>
        <v>123</v>
      </c>
      <c r="O13" s="55"/>
    </row>
    <row r="14" spans="1:15" ht="19.95" customHeight="1" x14ac:dyDescent="0.3">
      <c r="A14" s="60" t="s">
        <v>12</v>
      </c>
      <c r="B14" s="34">
        <v>151</v>
      </c>
      <c r="C14" s="34">
        <v>142</v>
      </c>
      <c r="D14" s="34">
        <v>156</v>
      </c>
      <c r="E14" s="34">
        <v>160</v>
      </c>
      <c r="F14" s="34">
        <v>153</v>
      </c>
      <c r="G14" s="10">
        <v>166</v>
      </c>
      <c r="H14" s="10">
        <v>171</v>
      </c>
      <c r="I14" s="34">
        <f>Data!M8</f>
        <v>153</v>
      </c>
      <c r="J14" s="55">
        <f>Data!M20</f>
        <v>147</v>
      </c>
      <c r="K14" s="55">
        <f>Data!$M32</f>
        <v>133</v>
      </c>
      <c r="L14" s="56">
        <f>Data!M44</f>
        <v>125</v>
      </c>
      <c r="M14" s="55">
        <f>Data!M56</f>
        <v>134</v>
      </c>
      <c r="N14" s="55">
        <f>Data!M68</f>
        <v>120</v>
      </c>
      <c r="O14" s="55"/>
    </row>
    <row r="15" spans="1:15" ht="19.95" customHeight="1" x14ac:dyDescent="0.3">
      <c r="A15" s="60" t="s">
        <v>0</v>
      </c>
      <c r="B15" s="57">
        <f>SUM(B3:B14)</f>
        <v>1758</v>
      </c>
      <c r="C15" s="57">
        <f>SUM(C3:C14)</f>
        <v>1841</v>
      </c>
      <c r="D15" s="57">
        <f>SUM(D3:D14)</f>
        <v>1828</v>
      </c>
      <c r="E15" s="57">
        <f>SUM(E3:E14)</f>
        <v>1966</v>
      </c>
      <c r="F15" s="57">
        <f>SUM(F3:F14)</f>
        <v>1865</v>
      </c>
      <c r="G15" s="57">
        <f t="shared" ref="G15" si="0">SUM(G3:G14)</f>
        <v>1957</v>
      </c>
      <c r="H15" s="57">
        <f t="shared" ref="H15" si="1">SUM(H3:H14)</f>
        <v>1997</v>
      </c>
      <c r="I15" s="57">
        <f>SUM(I3:I14)</f>
        <v>1924</v>
      </c>
      <c r="J15" s="57">
        <f t="shared" ref="J15:K15" si="2">SUM(J3:J14)</f>
        <v>1746</v>
      </c>
      <c r="K15" s="57">
        <f t="shared" si="2"/>
        <v>1655</v>
      </c>
      <c r="L15" s="57">
        <f t="shared" ref="L15" si="3">SUM(L3:L14)</f>
        <v>1514</v>
      </c>
      <c r="M15" s="57">
        <f>SUM(M3:M14)</f>
        <v>1428</v>
      </c>
      <c r="N15" s="57">
        <f>SUM(N3:N14)</f>
        <v>1548</v>
      </c>
      <c r="O15" s="57">
        <f>SUM(O3:O14)</f>
        <v>966</v>
      </c>
    </row>
    <row r="16" spans="1:15" ht="19.95" customHeight="1" x14ac:dyDescent="0.3">
      <c r="A16" s="40"/>
    </row>
    <row r="17" spans="1:15" ht="19.95" customHeight="1" x14ac:dyDescent="0.3">
      <c r="A17" s="60" t="s">
        <v>16</v>
      </c>
      <c r="B17" s="41">
        <v>-9.0532850491464048E-2</v>
      </c>
      <c r="C17" s="41">
        <f t="shared" ref="C17:I17" si="4">(C15-B15)/B15</f>
        <v>4.7212741751990896E-2</v>
      </c>
      <c r="D17" s="41">
        <f t="shared" si="4"/>
        <v>-7.0613796849538293E-3</v>
      </c>
      <c r="E17" s="41">
        <f t="shared" si="4"/>
        <v>7.5492341356673959E-2</v>
      </c>
      <c r="F17" s="41">
        <f t="shared" si="4"/>
        <v>-5.1373346897253307E-2</v>
      </c>
      <c r="G17" s="41">
        <f t="shared" si="4"/>
        <v>4.9329758713136732E-2</v>
      </c>
      <c r="H17" s="41">
        <f t="shared" si="4"/>
        <v>2.0439448134900357E-2</v>
      </c>
      <c r="I17" s="41">
        <f t="shared" si="4"/>
        <v>-3.6554832248372561E-2</v>
      </c>
      <c r="J17" s="41">
        <f>J15/SUM(I3:I14)-1</f>
        <v>-9.2515592515592493E-2</v>
      </c>
      <c r="K17" s="41">
        <f>K15/SUM(J3:J14)-1</f>
        <v>-5.2119129438717104E-2</v>
      </c>
      <c r="L17" s="41">
        <f>L15/SUM(K3:K14)-1</f>
        <v>-8.5196374622356519E-2</v>
      </c>
      <c r="M17" s="41">
        <f>M15/SUM(L3:L14)-1</f>
        <v>-5.6803170409511217E-2</v>
      </c>
      <c r="N17" s="41">
        <f>N15/SUM(M3:M14)-1</f>
        <v>8.4033613445378075E-2</v>
      </c>
      <c r="O17" s="41">
        <f>O15/SUM(N3:N10)-1</f>
        <v>-7.2046109510086498E-2</v>
      </c>
    </row>
    <row r="18" spans="1:15" ht="17.399999999999999" x14ac:dyDescent="0.3">
      <c r="A18" s="40"/>
      <c r="B18" s="32"/>
      <c r="C18" s="32"/>
      <c r="D18" s="32"/>
      <c r="L18" s="40"/>
    </row>
    <row r="19" spans="1:15" ht="15.6" x14ac:dyDescent="0.3">
      <c r="A19" s="61" t="s">
        <v>27</v>
      </c>
      <c r="L19" s="44"/>
    </row>
    <row r="20" spans="1:15" ht="15.6" x14ac:dyDescent="0.3">
      <c r="A20" s="44"/>
      <c r="L20" s="44"/>
    </row>
    <row r="26" spans="1:15" x14ac:dyDescent="0.25">
      <c r="B26" s="32"/>
      <c r="C26" s="32"/>
      <c r="D26" s="32"/>
      <c r="E26" s="32"/>
      <c r="F26" s="32"/>
      <c r="G26" s="32"/>
      <c r="H26" s="32"/>
      <c r="I26" s="32"/>
      <c r="J26" s="32"/>
      <c r="K26" s="32"/>
    </row>
    <row r="27" spans="1:15" x14ac:dyDescent="0.25">
      <c r="B27" s="32"/>
      <c r="C27" s="32"/>
      <c r="D27" s="32"/>
      <c r="E27" s="32"/>
      <c r="F27" s="32"/>
      <c r="G27" s="32"/>
      <c r="H27" s="32"/>
      <c r="I27" s="32"/>
      <c r="J27" s="32"/>
      <c r="K27" s="32"/>
    </row>
  </sheetData>
  <printOptions horizontalCentered="1" verticalCentered="1"/>
  <pageMargins left="0.25" right="0.25" top="0.5" bottom="0.5" header="0.5" footer="0.5"/>
  <pageSetup scale="51" orientation="portrait" horizontalDpi="300" verticalDpi="300" r:id="rId1"/>
  <headerFooter alignWithMargins="0">
    <oddFooter>&amp;LVPA, Market Analysis and Strategy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showGridLines="0" zoomScale="80" zoomScaleNormal="80" workbookViewId="0">
      <selection activeCell="A3" sqref="A3"/>
    </sheetView>
  </sheetViews>
  <sheetFormatPr defaultColWidth="8.7265625" defaultRowHeight="15" x14ac:dyDescent="0.25"/>
  <cols>
    <col min="1" max="1" width="14.54296875" style="3" bestFit="1" customWidth="1"/>
    <col min="2" max="2" width="8.7265625" style="3"/>
    <col min="3" max="13" width="11.453125" style="3" bestFit="1" customWidth="1"/>
    <col min="14" max="14" width="11.26953125" style="3" bestFit="1" customWidth="1"/>
    <col min="15" max="15" width="12.90625" style="3" bestFit="1" customWidth="1"/>
    <col min="16" max="16384" width="8.7265625" style="3"/>
  </cols>
  <sheetData>
    <row r="1" spans="1:15" ht="53.4" customHeight="1" x14ac:dyDescent="0.6">
      <c r="A1" s="109"/>
      <c r="B1" s="109"/>
      <c r="C1" s="110" t="s">
        <v>61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</row>
    <row r="2" spans="1:15" ht="10.8" customHeight="1" x14ac:dyDescent="0.6">
      <c r="A2" s="109"/>
      <c r="B2" s="109"/>
      <c r="C2" s="110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</row>
    <row r="3" spans="1:15" ht="17.399999999999999" x14ac:dyDescent="0.25">
      <c r="A3" s="111"/>
      <c r="B3" s="112"/>
      <c r="C3" s="113" t="s">
        <v>1</v>
      </c>
      <c r="D3" s="113" t="s">
        <v>2</v>
      </c>
      <c r="E3" s="113" t="s">
        <v>3</v>
      </c>
      <c r="F3" s="113" t="s">
        <v>4</v>
      </c>
      <c r="G3" s="113" t="s">
        <v>5</v>
      </c>
      <c r="H3" s="113" t="s">
        <v>6</v>
      </c>
      <c r="I3" s="113" t="s">
        <v>7</v>
      </c>
      <c r="J3" s="113" t="s">
        <v>8</v>
      </c>
      <c r="K3" s="113" t="s">
        <v>9</v>
      </c>
      <c r="L3" s="113" t="s">
        <v>10</v>
      </c>
      <c r="M3" s="113" t="s">
        <v>11</v>
      </c>
      <c r="N3" s="113" t="s">
        <v>12</v>
      </c>
      <c r="O3" s="113" t="s">
        <v>0</v>
      </c>
    </row>
    <row r="4" spans="1:15" ht="15.6" x14ac:dyDescent="0.3">
      <c r="A4" s="44" t="s">
        <v>18</v>
      </c>
      <c r="B4" s="8" t="s">
        <v>51</v>
      </c>
      <c r="C4" s="123">
        <v>5719</v>
      </c>
      <c r="D4" s="123">
        <v>7216</v>
      </c>
      <c r="E4" s="123">
        <v>8387</v>
      </c>
      <c r="F4" s="123">
        <v>8528</v>
      </c>
      <c r="G4" s="123">
        <v>8516</v>
      </c>
      <c r="H4" s="123">
        <v>7991</v>
      </c>
      <c r="I4" s="123">
        <v>8143</v>
      </c>
      <c r="J4" s="123">
        <v>9172</v>
      </c>
      <c r="K4" s="124"/>
      <c r="L4" s="124"/>
      <c r="M4" s="124"/>
      <c r="N4" s="124"/>
      <c r="O4" s="114">
        <f>SUM(C4:N4)</f>
        <v>63672</v>
      </c>
    </row>
    <row r="5" spans="1:15" x14ac:dyDescent="0.25">
      <c r="A5" s="70"/>
      <c r="B5" s="115" t="s">
        <v>52</v>
      </c>
      <c r="C5" s="123">
        <v>63742</v>
      </c>
      <c r="D5" s="123">
        <v>81150</v>
      </c>
      <c r="E5" s="123">
        <v>87236</v>
      </c>
      <c r="F5" s="123">
        <v>90838</v>
      </c>
      <c r="G5" s="123">
        <v>88966</v>
      </c>
      <c r="H5" s="123">
        <v>77938</v>
      </c>
      <c r="I5" s="123">
        <v>76752</v>
      </c>
      <c r="J5" s="123">
        <v>86240</v>
      </c>
      <c r="K5" s="124"/>
      <c r="L5" s="124"/>
      <c r="M5" s="124"/>
      <c r="N5" s="124"/>
      <c r="O5" s="114">
        <f>SUM(C5:N5)</f>
        <v>652862</v>
      </c>
    </row>
    <row r="6" spans="1:15" x14ac:dyDescent="0.25">
      <c r="A6" s="70"/>
      <c r="B6" s="119" t="s">
        <v>53</v>
      </c>
      <c r="C6" s="125">
        <v>128.25</v>
      </c>
      <c r="D6" s="125">
        <v>216</v>
      </c>
      <c r="E6" s="125">
        <v>180</v>
      </c>
      <c r="F6" s="125">
        <v>222.75</v>
      </c>
      <c r="G6" s="125">
        <v>222.75</v>
      </c>
      <c r="H6" s="125">
        <v>168.75</v>
      </c>
      <c r="I6" s="125">
        <v>274.5</v>
      </c>
      <c r="J6" s="125">
        <v>333</v>
      </c>
      <c r="K6" s="125"/>
      <c r="L6" s="125"/>
      <c r="M6" s="125"/>
      <c r="N6" s="125"/>
      <c r="O6" s="116">
        <f>SUM(C6:N6)</f>
        <v>1746</v>
      </c>
    </row>
    <row r="7" spans="1:15" x14ac:dyDescent="0.25">
      <c r="A7" s="70"/>
      <c r="B7" s="26" t="s">
        <v>0</v>
      </c>
      <c r="C7" s="114">
        <f t="shared" ref="C7:D7" si="0">SUM(C4:C6)</f>
        <v>69589.25</v>
      </c>
      <c r="D7" s="114">
        <f t="shared" si="0"/>
        <v>88582</v>
      </c>
      <c r="E7" s="114">
        <f>SUM(E4:E6)</f>
        <v>95803</v>
      </c>
      <c r="F7" s="114">
        <f>SUM(F4:F6)</f>
        <v>99588.75</v>
      </c>
      <c r="G7" s="114">
        <f t="shared" ref="G7:N7" si="1">SUM(G4:G6)</f>
        <v>97704.75</v>
      </c>
      <c r="H7" s="114">
        <f t="shared" si="1"/>
        <v>86097.75</v>
      </c>
      <c r="I7" s="114">
        <f>SUM(I4:I6)</f>
        <v>85169.5</v>
      </c>
      <c r="J7" s="114">
        <f>SUM(J4:J6)</f>
        <v>95745</v>
      </c>
      <c r="K7" s="114">
        <f>SUM(K4:K6)</f>
        <v>0</v>
      </c>
      <c r="L7" s="114">
        <f>SUM(L4:L6)</f>
        <v>0</v>
      </c>
      <c r="M7" s="114">
        <f>SUM(M4:M6)</f>
        <v>0</v>
      </c>
      <c r="N7" s="114">
        <f t="shared" si="1"/>
        <v>0</v>
      </c>
      <c r="O7" s="114">
        <f>SUM(O4:O6)</f>
        <v>718280</v>
      </c>
    </row>
    <row r="8" spans="1:15" x14ac:dyDescent="0.25">
      <c r="A8" s="70"/>
      <c r="B8" s="8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spans="1:15" ht="15.6" x14ac:dyDescent="0.3">
      <c r="A9" s="44" t="s">
        <v>19</v>
      </c>
      <c r="B9" s="8" t="s">
        <v>51</v>
      </c>
      <c r="C9" s="123">
        <v>13761</v>
      </c>
      <c r="D9" s="123">
        <v>15401</v>
      </c>
      <c r="E9" s="123">
        <v>16299</v>
      </c>
      <c r="F9" s="123">
        <v>17606</v>
      </c>
      <c r="G9" s="123">
        <v>18797</v>
      </c>
      <c r="H9" s="123">
        <v>17285</v>
      </c>
      <c r="I9" s="123">
        <v>18776</v>
      </c>
      <c r="J9" s="123">
        <v>19926</v>
      </c>
      <c r="K9" s="124"/>
      <c r="L9" s="124"/>
      <c r="M9" s="124"/>
      <c r="N9" s="124"/>
      <c r="O9" s="114">
        <f>SUM(C9:N9)</f>
        <v>137851</v>
      </c>
    </row>
    <row r="10" spans="1:15" x14ac:dyDescent="0.25">
      <c r="A10" s="70"/>
      <c r="B10" s="115" t="s">
        <v>52</v>
      </c>
      <c r="C10" s="123">
        <v>111912</v>
      </c>
      <c r="D10" s="123">
        <v>125658</v>
      </c>
      <c r="E10" s="123">
        <v>130464</v>
      </c>
      <c r="F10" s="123">
        <v>123114</v>
      </c>
      <c r="G10" s="123">
        <v>147334</v>
      </c>
      <c r="H10" s="123">
        <v>132376</v>
      </c>
      <c r="I10" s="123">
        <v>129318</v>
      </c>
      <c r="J10" s="123">
        <v>138162</v>
      </c>
      <c r="K10" s="124"/>
      <c r="L10" s="124"/>
      <c r="M10" s="124"/>
      <c r="N10" s="124"/>
      <c r="O10" s="114">
        <f>SUM(C10:N10)</f>
        <v>1038338</v>
      </c>
    </row>
    <row r="11" spans="1:15" x14ac:dyDescent="0.25">
      <c r="A11" s="70"/>
      <c r="B11" s="119" t="s">
        <v>53</v>
      </c>
      <c r="C11" s="125">
        <v>1923.75</v>
      </c>
      <c r="D11" s="125">
        <v>2416.5</v>
      </c>
      <c r="E11" s="125">
        <v>2169</v>
      </c>
      <c r="F11" s="125">
        <v>1919.25</v>
      </c>
      <c r="G11" s="125">
        <v>1892.25</v>
      </c>
      <c r="H11" s="125">
        <v>1719</v>
      </c>
      <c r="I11" s="125">
        <v>1734.75</v>
      </c>
      <c r="J11" s="125">
        <v>2585.25</v>
      </c>
      <c r="K11" s="125"/>
      <c r="L11" s="125"/>
      <c r="M11" s="125"/>
      <c r="N11" s="125"/>
      <c r="O11" s="116">
        <f>SUM(C11:N11)</f>
        <v>16359.75</v>
      </c>
    </row>
    <row r="12" spans="1:15" x14ac:dyDescent="0.25">
      <c r="A12" s="70"/>
      <c r="B12" s="26" t="s">
        <v>0</v>
      </c>
      <c r="C12" s="114">
        <f>SUM(C9:C11)</f>
        <v>127596.75</v>
      </c>
      <c r="D12" s="114">
        <f t="shared" ref="D12" si="2">SUM(D9:D11)</f>
        <v>143475.5</v>
      </c>
      <c r="E12" s="114">
        <f>SUM(E9:E11)</f>
        <v>148932</v>
      </c>
      <c r="F12" s="114">
        <f>SUM(F9:F11)</f>
        <v>142639.25</v>
      </c>
      <c r="G12" s="114">
        <f t="shared" ref="G12:N12" si="3">SUM(G9:G11)</f>
        <v>168023.25</v>
      </c>
      <c r="H12" s="114">
        <f t="shared" si="3"/>
        <v>151380</v>
      </c>
      <c r="I12" s="114">
        <f t="shared" si="3"/>
        <v>149828.75</v>
      </c>
      <c r="J12" s="114">
        <f t="shared" si="3"/>
        <v>160673.25</v>
      </c>
      <c r="K12" s="114">
        <f t="shared" si="3"/>
        <v>0</v>
      </c>
      <c r="L12" s="114">
        <f t="shared" si="3"/>
        <v>0</v>
      </c>
      <c r="M12" s="114">
        <f t="shared" si="3"/>
        <v>0</v>
      </c>
      <c r="N12" s="114">
        <f t="shared" si="3"/>
        <v>0</v>
      </c>
      <c r="O12" s="114">
        <f>SUM(O9:O11)</f>
        <v>1192548.75</v>
      </c>
    </row>
    <row r="13" spans="1:15" ht="15.6" x14ac:dyDescent="0.3">
      <c r="A13" s="44" t="s">
        <v>37</v>
      </c>
      <c r="B13" s="45"/>
      <c r="C13" s="117">
        <f t="shared" ref="C13:D13" si="4">C7+C12</f>
        <v>197186</v>
      </c>
      <c r="D13" s="117">
        <f t="shared" si="4"/>
        <v>232057.5</v>
      </c>
      <c r="E13" s="117">
        <f>E7+E12</f>
        <v>244735</v>
      </c>
      <c r="F13" s="117">
        <f>F7+F12</f>
        <v>242228</v>
      </c>
      <c r="G13" s="117">
        <f t="shared" ref="G13:N13" si="5">G7+G12</f>
        <v>265728</v>
      </c>
      <c r="H13" s="117">
        <f t="shared" si="5"/>
        <v>237477.75</v>
      </c>
      <c r="I13" s="117">
        <f t="shared" si="5"/>
        <v>234998.25</v>
      </c>
      <c r="J13" s="117">
        <f t="shared" si="5"/>
        <v>256418.25</v>
      </c>
      <c r="K13" s="117">
        <f t="shared" si="5"/>
        <v>0</v>
      </c>
      <c r="L13" s="117">
        <f t="shared" si="5"/>
        <v>0</v>
      </c>
      <c r="M13" s="117">
        <f t="shared" si="5"/>
        <v>0</v>
      </c>
      <c r="N13" s="117">
        <f t="shared" si="5"/>
        <v>0</v>
      </c>
      <c r="O13" s="117">
        <f>SUM(C13:N13)</f>
        <v>1910828.75</v>
      </c>
    </row>
    <row r="14" spans="1:15" ht="6" customHeight="1" x14ac:dyDescent="0.25">
      <c r="A14" s="112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</row>
    <row r="15" spans="1:15" ht="15.6" x14ac:dyDescent="0.3">
      <c r="A15" s="44" t="s">
        <v>25</v>
      </c>
      <c r="B15" s="8" t="s">
        <v>51</v>
      </c>
      <c r="C15" s="123">
        <v>8043</v>
      </c>
      <c r="D15" s="123">
        <v>6976</v>
      </c>
      <c r="E15" s="123">
        <v>8560</v>
      </c>
      <c r="F15" s="123">
        <v>12299</v>
      </c>
      <c r="G15" s="123">
        <v>10929</v>
      </c>
      <c r="H15" s="123">
        <v>9966</v>
      </c>
      <c r="I15" s="123">
        <v>8596</v>
      </c>
      <c r="J15" s="123">
        <v>9676</v>
      </c>
      <c r="K15" s="124"/>
      <c r="L15" s="124"/>
      <c r="M15" s="124"/>
      <c r="N15" s="124"/>
      <c r="O15" s="114">
        <f>SUM(C15:N15)</f>
        <v>75045</v>
      </c>
    </row>
    <row r="16" spans="1:15" x14ac:dyDescent="0.25">
      <c r="A16" s="70"/>
      <c r="B16" s="115" t="s">
        <v>52</v>
      </c>
      <c r="C16" s="123">
        <v>52036</v>
      </c>
      <c r="D16" s="123">
        <v>50334</v>
      </c>
      <c r="E16" s="123">
        <v>56312</v>
      </c>
      <c r="F16" s="123">
        <v>63752</v>
      </c>
      <c r="G16" s="123">
        <v>58426</v>
      </c>
      <c r="H16" s="123">
        <v>61970</v>
      </c>
      <c r="I16" s="123">
        <v>68594</v>
      </c>
      <c r="J16" s="123">
        <v>68896</v>
      </c>
      <c r="K16" s="124"/>
      <c r="L16" s="124"/>
      <c r="M16" s="124"/>
      <c r="N16" s="124"/>
      <c r="O16" s="114">
        <f>SUM(C16:N16)</f>
        <v>480320</v>
      </c>
    </row>
    <row r="17" spans="1:15" x14ac:dyDescent="0.25">
      <c r="A17" s="70"/>
      <c r="B17" s="119" t="s">
        <v>53</v>
      </c>
      <c r="C17" s="125">
        <v>1635.75</v>
      </c>
      <c r="D17" s="125">
        <v>1570.5</v>
      </c>
      <c r="E17" s="125">
        <v>1899</v>
      </c>
      <c r="F17" s="125">
        <v>2673</v>
      </c>
      <c r="G17" s="125">
        <v>1728</v>
      </c>
      <c r="H17" s="125">
        <v>1689.75</v>
      </c>
      <c r="I17" s="125">
        <v>1174.5</v>
      </c>
      <c r="J17" s="125">
        <v>1838.25</v>
      </c>
      <c r="K17" s="125"/>
      <c r="L17" s="125"/>
      <c r="M17" s="125"/>
      <c r="N17" s="125"/>
      <c r="O17" s="116">
        <f>SUM(C17:N17)</f>
        <v>14208.75</v>
      </c>
    </row>
    <row r="18" spans="1:15" x14ac:dyDescent="0.25">
      <c r="A18" s="70"/>
      <c r="B18" s="26" t="s">
        <v>0</v>
      </c>
      <c r="C18" s="114">
        <f t="shared" ref="C18:D18" si="6">SUM(C15:C17)</f>
        <v>61714.75</v>
      </c>
      <c r="D18" s="114">
        <f t="shared" si="6"/>
        <v>58880.5</v>
      </c>
      <c r="E18" s="114">
        <f>SUM(E15:E17)</f>
        <v>66771</v>
      </c>
      <c r="F18" s="114">
        <f>SUM(F15:F17)</f>
        <v>78724</v>
      </c>
      <c r="G18" s="114">
        <f t="shared" ref="G18:N18" si="7">SUM(G15:G17)</f>
        <v>71083</v>
      </c>
      <c r="H18" s="114">
        <f t="shared" si="7"/>
        <v>73625.75</v>
      </c>
      <c r="I18" s="114">
        <f t="shared" si="7"/>
        <v>78364.5</v>
      </c>
      <c r="J18" s="114">
        <f t="shared" si="7"/>
        <v>80410.25</v>
      </c>
      <c r="K18" s="114">
        <f t="shared" si="7"/>
        <v>0</v>
      </c>
      <c r="L18" s="114">
        <f t="shared" si="7"/>
        <v>0</v>
      </c>
      <c r="M18" s="114">
        <f t="shared" si="7"/>
        <v>0</v>
      </c>
      <c r="N18" s="114">
        <f t="shared" si="7"/>
        <v>0</v>
      </c>
      <c r="O18" s="114">
        <f>SUM(O15:O17)</f>
        <v>569573.75</v>
      </c>
    </row>
    <row r="19" spans="1:15" x14ac:dyDescent="0.25">
      <c r="A19" s="70"/>
      <c r="B19" s="8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</row>
    <row r="20" spans="1:15" ht="15.6" x14ac:dyDescent="0.3">
      <c r="A20" s="44" t="s">
        <v>26</v>
      </c>
      <c r="B20" s="8" t="s">
        <v>51</v>
      </c>
      <c r="C20" s="123">
        <v>11</v>
      </c>
      <c r="D20" s="123">
        <v>21</v>
      </c>
      <c r="E20" s="123">
        <v>20</v>
      </c>
      <c r="F20" s="123">
        <v>80</v>
      </c>
      <c r="G20" s="123">
        <v>96</v>
      </c>
      <c r="H20" s="123">
        <v>106</v>
      </c>
      <c r="I20" s="123">
        <v>32</v>
      </c>
      <c r="J20" s="123">
        <v>133</v>
      </c>
      <c r="K20" s="124"/>
      <c r="L20" s="124"/>
      <c r="M20" s="124"/>
      <c r="N20" s="124"/>
      <c r="O20" s="114">
        <f>SUM(C20:N20)</f>
        <v>499</v>
      </c>
    </row>
    <row r="21" spans="1:15" x14ac:dyDescent="0.25">
      <c r="A21" s="70"/>
      <c r="B21" s="115" t="s">
        <v>52</v>
      </c>
      <c r="C21" s="123">
        <v>3108</v>
      </c>
      <c r="D21" s="123">
        <v>5242</v>
      </c>
      <c r="E21" s="123">
        <v>3172</v>
      </c>
      <c r="F21" s="123">
        <v>2212</v>
      </c>
      <c r="G21" s="123">
        <v>4704</v>
      </c>
      <c r="H21" s="123">
        <v>5040</v>
      </c>
      <c r="I21" s="123">
        <v>4280</v>
      </c>
      <c r="J21" s="123">
        <v>3964</v>
      </c>
      <c r="K21" s="124"/>
      <c r="L21" s="124"/>
      <c r="M21" s="124"/>
      <c r="N21" s="124"/>
      <c r="O21" s="114">
        <f>SUM(C21:N21)</f>
        <v>31722</v>
      </c>
    </row>
    <row r="22" spans="1:15" x14ac:dyDescent="0.25">
      <c r="A22" s="70"/>
      <c r="B22" s="119" t="s">
        <v>53</v>
      </c>
      <c r="C22" s="125">
        <v>0</v>
      </c>
      <c r="D22" s="125">
        <v>0</v>
      </c>
      <c r="E22" s="125">
        <v>0</v>
      </c>
      <c r="F22" s="125">
        <v>0</v>
      </c>
      <c r="G22" s="125">
        <v>0</v>
      </c>
      <c r="H22" s="125">
        <v>0</v>
      </c>
      <c r="I22" s="125">
        <v>15.75</v>
      </c>
      <c r="J22" s="125">
        <v>0</v>
      </c>
      <c r="K22" s="125"/>
      <c r="L22" s="125"/>
      <c r="M22" s="125"/>
      <c r="N22" s="125"/>
      <c r="O22" s="116">
        <f>SUM(C22:N22)</f>
        <v>15.75</v>
      </c>
    </row>
    <row r="23" spans="1:15" x14ac:dyDescent="0.25">
      <c r="A23" s="70"/>
      <c r="B23" s="26" t="s">
        <v>0</v>
      </c>
      <c r="C23" s="114">
        <f t="shared" ref="C23:D23" si="8">SUM(C20:C22)</f>
        <v>3119</v>
      </c>
      <c r="D23" s="114">
        <f t="shared" si="8"/>
        <v>5263</v>
      </c>
      <c r="E23" s="114">
        <f>SUM(E20:E22)</f>
        <v>3192</v>
      </c>
      <c r="F23" s="114">
        <f>SUM(F20:F22)</f>
        <v>2292</v>
      </c>
      <c r="G23" s="114">
        <f t="shared" ref="G23:N23" si="9">SUM(G20:G22)</f>
        <v>4800</v>
      </c>
      <c r="H23" s="114">
        <f t="shared" si="9"/>
        <v>5146</v>
      </c>
      <c r="I23" s="114">
        <f t="shared" si="9"/>
        <v>4327.75</v>
      </c>
      <c r="J23" s="114">
        <f t="shared" si="9"/>
        <v>4097</v>
      </c>
      <c r="K23" s="114">
        <f t="shared" si="9"/>
        <v>0</v>
      </c>
      <c r="L23" s="114">
        <f t="shared" si="9"/>
        <v>0</v>
      </c>
      <c r="M23" s="114">
        <f t="shared" si="9"/>
        <v>0</v>
      </c>
      <c r="N23" s="114">
        <f t="shared" si="9"/>
        <v>0</v>
      </c>
      <c r="O23" s="114">
        <f>SUM(O20:O22)</f>
        <v>32236.75</v>
      </c>
    </row>
    <row r="24" spans="1:15" ht="15.6" x14ac:dyDescent="0.3">
      <c r="A24" s="44" t="s">
        <v>38</v>
      </c>
      <c r="B24" s="45"/>
      <c r="C24" s="117">
        <f t="shared" ref="C24:D24" si="10">C18+C23</f>
        <v>64833.75</v>
      </c>
      <c r="D24" s="117">
        <f t="shared" si="10"/>
        <v>64143.5</v>
      </c>
      <c r="E24" s="117">
        <f>E18+E23</f>
        <v>69963</v>
      </c>
      <c r="F24" s="117">
        <f>F18+F23</f>
        <v>81016</v>
      </c>
      <c r="G24" s="117">
        <f t="shared" ref="G24:N24" si="11">G18+G23</f>
        <v>75883</v>
      </c>
      <c r="H24" s="117">
        <f t="shared" si="11"/>
        <v>78771.75</v>
      </c>
      <c r="I24" s="117">
        <f t="shared" si="11"/>
        <v>82692.25</v>
      </c>
      <c r="J24" s="117">
        <f t="shared" si="11"/>
        <v>84507.25</v>
      </c>
      <c r="K24" s="117">
        <f t="shared" si="11"/>
        <v>0</v>
      </c>
      <c r="L24" s="117">
        <f t="shared" si="11"/>
        <v>0</v>
      </c>
      <c r="M24" s="117">
        <f t="shared" si="11"/>
        <v>0</v>
      </c>
      <c r="N24" s="117">
        <f t="shared" si="11"/>
        <v>0</v>
      </c>
      <c r="O24" s="117">
        <f t="shared" ref="O24" si="12">SUM(O18,O23)</f>
        <v>601810.5</v>
      </c>
    </row>
    <row r="25" spans="1:15" ht="6.6" customHeight="1" x14ac:dyDescent="0.25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</row>
    <row r="26" spans="1:15" ht="15.6" x14ac:dyDescent="0.3">
      <c r="A26" s="44" t="s">
        <v>54</v>
      </c>
      <c r="B26" s="107" t="s">
        <v>55</v>
      </c>
      <c r="C26" s="117">
        <f>C7+C18</f>
        <v>131304</v>
      </c>
      <c r="D26" s="117">
        <f t="shared" ref="D26:N26" si="13">D7+D18</f>
        <v>147462.5</v>
      </c>
      <c r="E26" s="117">
        <f t="shared" si="13"/>
        <v>162574</v>
      </c>
      <c r="F26" s="117">
        <f t="shared" si="13"/>
        <v>178312.75</v>
      </c>
      <c r="G26" s="117">
        <f t="shared" si="13"/>
        <v>168787.75</v>
      </c>
      <c r="H26" s="117">
        <f t="shared" si="13"/>
        <v>159723.5</v>
      </c>
      <c r="I26" s="117">
        <f t="shared" si="13"/>
        <v>163534</v>
      </c>
      <c r="J26" s="117">
        <f t="shared" si="13"/>
        <v>176155.25</v>
      </c>
      <c r="K26" s="117">
        <f t="shared" si="13"/>
        <v>0</v>
      </c>
      <c r="L26" s="117">
        <f t="shared" si="13"/>
        <v>0</v>
      </c>
      <c r="M26" s="117">
        <f t="shared" si="13"/>
        <v>0</v>
      </c>
      <c r="N26" s="117">
        <f t="shared" si="13"/>
        <v>0</v>
      </c>
      <c r="O26" s="117">
        <f>SUM(O7,O18)</f>
        <v>1287853.75</v>
      </c>
    </row>
    <row r="27" spans="1:15" ht="15.6" x14ac:dyDescent="0.3">
      <c r="A27" s="70"/>
      <c r="B27" s="107" t="s">
        <v>56</v>
      </c>
      <c r="C27" s="118">
        <f>C12+C23</f>
        <v>130715.75</v>
      </c>
      <c r="D27" s="118">
        <f t="shared" ref="D27:N27" si="14">D12+D23</f>
        <v>148738.5</v>
      </c>
      <c r="E27" s="118">
        <f t="shared" si="14"/>
        <v>152124</v>
      </c>
      <c r="F27" s="118">
        <f t="shared" si="14"/>
        <v>144931.25</v>
      </c>
      <c r="G27" s="118">
        <f t="shared" si="14"/>
        <v>172823.25</v>
      </c>
      <c r="H27" s="118">
        <f t="shared" si="14"/>
        <v>156526</v>
      </c>
      <c r="I27" s="118">
        <f t="shared" si="14"/>
        <v>154156.5</v>
      </c>
      <c r="J27" s="118">
        <f t="shared" si="14"/>
        <v>164770.25</v>
      </c>
      <c r="K27" s="118">
        <f t="shared" si="14"/>
        <v>0</v>
      </c>
      <c r="L27" s="118">
        <f t="shared" si="14"/>
        <v>0</v>
      </c>
      <c r="M27" s="118">
        <f t="shared" si="14"/>
        <v>0</v>
      </c>
      <c r="N27" s="118">
        <f t="shared" si="14"/>
        <v>0</v>
      </c>
      <c r="O27" s="118">
        <f>SUM(O12,O23)</f>
        <v>1224785.5</v>
      </c>
    </row>
    <row r="28" spans="1:15" ht="15.6" x14ac:dyDescent="0.3">
      <c r="A28" s="70"/>
      <c r="B28" s="107" t="s">
        <v>20</v>
      </c>
      <c r="C28" s="117">
        <f>SUM(C26:C27)</f>
        <v>262019.75</v>
      </c>
      <c r="D28" s="117">
        <f t="shared" ref="D28:O28" si="15">SUM(D26:D27)</f>
        <v>296201</v>
      </c>
      <c r="E28" s="117">
        <f t="shared" si="15"/>
        <v>314698</v>
      </c>
      <c r="F28" s="117">
        <f t="shared" si="15"/>
        <v>323244</v>
      </c>
      <c r="G28" s="117">
        <f t="shared" si="15"/>
        <v>341611</v>
      </c>
      <c r="H28" s="117">
        <f t="shared" si="15"/>
        <v>316249.5</v>
      </c>
      <c r="I28" s="117">
        <f t="shared" si="15"/>
        <v>317690.5</v>
      </c>
      <c r="J28" s="117">
        <f t="shared" si="15"/>
        <v>340925.5</v>
      </c>
      <c r="K28" s="117">
        <f t="shared" si="15"/>
        <v>0</v>
      </c>
      <c r="L28" s="117">
        <f t="shared" si="15"/>
        <v>0</v>
      </c>
      <c r="M28" s="117">
        <f t="shared" si="15"/>
        <v>0</v>
      </c>
      <c r="N28" s="117">
        <f t="shared" si="15"/>
        <v>0</v>
      </c>
      <c r="O28" s="117">
        <f t="shared" si="15"/>
        <v>2512639.25</v>
      </c>
    </row>
    <row r="29" spans="1:15" ht="6" customHeight="1" x14ac:dyDescent="0.25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19"/>
  <sheetViews>
    <sheetView showGridLines="0" zoomScale="70" zoomScaleNormal="70" workbookViewId="0">
      <selection activeCell="FC4" sqref="FC4:FH4"/>
    </sheetView>
  </sheetViews>
  <sheetFormatPr defaultColWidth="8.7265625" defaultRowHeight="15" x14ac:dyDescent="0.25"/>
  <cols>
    <col min="1" max="1" width="8.7265625" style="3"/>
    <col min="2" max="5" width="8.81640625" style="3" hidden="1" customWidth="1"/>
    <col min="6" max="6" width="0" style="3" hidden="1" customWidth="1"/>
    <col min="7" max="10" width="8.81640625" style="3" hidden="1" customWidth="1"/>
    <col min="11" max="11" width="0" style="3" hidden="1" customWidth="1"/>
    <col min="12" max="15" width="8.81640625" style="3" hidden="1" customWidth="1"/>
    <col min="16" max="16" width="0" style="3" hidden="1" customWidth="1"/>
    <col min="17" max="20" width="8.81640625" style="3" hidden="1" customWidth="1"/>
    <col min="21" max="21" width="0" style="3" hidden="1" customWidth="1"/>
    <col min="22" max="25" width="8.81640625" style="3" hidden="1" customWidth="1"/>
    <col min="26" max="26" width="0" style="3" hidden="1" customWidth="1"/>
    <col min="27" max="30" width="8.81640625" style="3" hidden="1" customWidth="1"/>
    <col min="31" max="31" width="0" style="3" hidden="1" customWidth="1"/>
    <col min="32" max="35" width="8.81640625" style="3" hidden="1" customWidth="1"/>
    <col min="36" max="36" width="0" style="3" hidden="1" customWidth="1"/>
    <col min="37" max="40" width="8.81640625" style="3" hidden="1" customWidth="1"/>
    <col min="41" max="41" width="0" style="3" hidden="1" customWidth="1"/>
    <col min="42" max="45" width="8.81640625" style="3" hidden="1" customWidth="1"/>
    <col min="46" max="46" width="0" style="3" hidden="1" customWidth="1"/>
    <col min="47" max="47" width="9.81640625" style="3" hidden="1" customWidth="1"/>
    <col min="48" max="50" width="8.81640625" style="3" hidden="1" customWidth="1"/>
    <col min="51" max="51" width="0" style="3" hidden="1" customWidth="1"/>
    <col min="52" max="52" width="9.81640625" style="3" hidden="1" customWidth="1"/>
    <col min="53" max="55" width="8.81640625" style="3" hidden="1" customWidth="1"/>
    <col min="56" max="56" width="0" style="3" hidden="1" customWidth="1"/>
    <col min="57" max="60" width="8.81640625" style="3" hidden="1" customWidth="1"/>
    <col min="61" max="61" width="0" style="3" hidden="1" customWidth="1"/>
    <col min="62" max="62" width="9.81640625" style="3" hidden="1" customWidth="1"/>
    <col min="63" max="65" width="8.81640625" style="3" hidden="1" customWidth="1"/>
    <col min="66" max="66" width="0" style="3" hidden="1" customWidth="1"/>
    <col min="67" max="70" width="8.81640625" style="3" hidden="1" customWidth="1"/>
    <col min="71" max="71" width="0" style="3" hidden="1" customWidth="1"/>
    <col min="72" max="75" width="8.81640625" style="3" hidden="1" customWidth="1"/>
    <col min="76" max="76" width="0" style="3" hidden="1" customWidth="1"/>
    <col min="77" max="80" width="8.81640625" style="3" hidden="1" customWidth="1"/>
    <col min="81" max="81" width="0" style="3" hidden="1" customWidth="1"/>
    <col min="82" max="82" width="9.81640625" style="3" hidden="1" customWidth="1"/>
    <col min="83" max="87" width="8.81640625" style="3" hidden="1" customWidth="1"/>
    <col min="88" max="88" width="0" style="3" hidden="1" customWidth="1"/>
    <col min="89" max="89" width="9.81640625" style="3" hidden="1" customWidth="1"/>
    <col min="90" max="94" width="8.81640625" style="3" hidden="1" customWidth="1"/>
    <col min="95" max="95" width="0" style="3" hidden="1" customWidth="1"/>
    <col min="96" max="96" width="9.81640625" style="3" hidden="1" customWidth="1"/>
    <col min="97" max="101" width="8.81640625" style="3" hidden="1" customWidth="1"/>
    <col min="102" max="102" width="0" style="3" hidden="1" customWidth="1"/>
    <col min="103" max="103" width="9.81640625" style="3" hidden="1" customWidth="1"/>
    <col min="104" max="108" width="8.81640625" style="3" hidden="1" customWidth="1"/>
    <col min="109" max="109" width="0" style="3" hidden="1" customWidth="1"/>
    <col min="110" max="110" width="9.81640625" style="3" hidden="1" customWidth="1"/>
    <col min="111" max="115" width="8.81640625" style="3" hidden="1" customWidth="1"/>
    <col min="116" max="116" width="0" style="3" hidden="1" customWidth="1"/>
    <col min="117" max="117" width="9.81640625" style="3" hidden="1" customWidth="1"/>
    <col min="118" max="122" width="8.81640625" style="3" hidden="1" customWidth="1"/>
    <col min="123" max="123" width="0" style="3" hidden="1" customWidth="1"/>
    <col min="124" max="124" width="9.81640625" style="3" hidden="1" customWidth="1"/>
    <col min="125" max="129" width="8.81640625" style="3" hidden="1" customWidth="1"/>
    <col min="130" max="130" width="0" style="3" hidden="1" customWidth="1"/>
    <col min="131" max="131" width="9.81640625" style="3" hidden="1" customWidth="1"/>
    <col min="132" max="136" width="8.81640625" style="3" hidden="1" customWidth="1"/>
    <col min="137" max="137" width="0" style="3" hidden="1" customWidth="1"/>
    <col min="138" max="138" width="9.81640625" style="3" hidden="1" customWidth="1"/>
    <col min="139" max="143" width="8.81640625" style="3" hidden="1" customWidth="1"/>
    <col min="144" max="144" width="0" style="3" hidden="1" customWidth="1"/>
    <col min="145" max="145" width="9.81640625" style="3" bestFit="1" customWidth="1"/>
    <col min="146" max="150" width="8.81640625" style="3" bestFit="1" customWidth="1"/>
    <col min="151" max="151" width="8.7265625" style="3"/>
    <col min="152" max="152" width="9.81640625" style="3" bestFit="1" customWidth="1"/>
    <col min="153" max="157" width="8.81640625" style="3" bestFit="1" customWidth="1"/>
    <col min="158" max="158" width="8.7265625" style="3"/>
    <col min="159" max="159" width="9.81640625" style="3" bestFit="1" customWidth="1"/>
    <col min="160" max="16384" width="8.7265625" style="3"/>
  </cols>
  <sheetData>
    <row r="1" spans="1:164" ht="56.4" customHeight="1" x14ac:dyDescent="0.6">
      <c r="EI1" s="108"/>
      <c r="EO1" s="108"/>
      <c r="EP1" s="108" t="s">
        <v>59</v>
      </c>
    </row>
    <row r="4" spans="1:164" ht="17.399999999999999" x14ac:dyDescent="0.3">
      <c r="A4" s="75"/>
      <c r="B4" s="128" t="s">
        <v>39</v>
      </c>
      <c r="C4" s="129"/>
      <c r="D4" s="129"/>
      <c r="E4" s="130"/>
      <c r="F4" s="76"/>
      <c r="G4" s="128" t="s">
        <v>40</v>
      </c>
      <c r="H4" s="129"/>
      <c r="I4" s="129"/>
      <c r="J4" s="130"/>
      <c r="K4" s="44"/>
      <c r="L4" s="128" t="s">
        <v>41</v>
      </c>
      <c r="M4" s="129"/>
      <c r="N4" s="129"/>
      <c r="O4" s="130"/>
      <c r="P4" s="70"/>
      <c r="Q4" s="128" t="s">
        <v>42</v>
      </c>
      <c r="R4" s="129"/>
      <c r="S4" s="129"/>
      <c r="T4" s="130"/>
      <c r="U4" s="70"/>
      <c r="V4" s="128" t="s">
        <v>43</v>
      </c>
      <c r="W4" s="129"/>
      <c r="X4" s="129"/>
      <c r="Y4" s="130"/>
      <c r="Z4" s="70"/>
      <c r="AA4" s="128" t="s">
        <v>44</v>
      </c>
      <c r="AB4" s="129"/>
      <c r="AC4" s="129"/>
      <c r="AD4" s="130"/>
      <c r="AF4" s="128">
        <v>2001</v>
      </c>
      <c r="AG4" s="129"/>
      <c r="AH4" s="129"/>
      <c r="AI4" s="130"/>
      <c r="AK4" s="128">
        <v>2002</v>
      </c>
      <c r="AL4" s="129"/>
      <c r="AM4" s="129"/>
      <c r="AN4" s="130"/>
      <c r="AP4" s="128">
        <v>2003</v>
      </c>
      <c r="AQ4" s="129"/>
      <c r="AR4" s="129"/>
      <c r="AS4" s="130"/>
      <c r="AU4" s="128">
        <v>2004</v>
      </c>
      <c r="AV4" s="129"/>
      <c r="AW4" s="129"/>
      <c r="AX4" s="130"/>
      <c r="AZ4" s="128">
        <v>2005</v>
      </c>
      <c r="BA4" s="129"/>
      <c r="BB4" s="129"/>
      <c r="BC4" s="130"/>
      <c r="BE4" s="128">
        <v>2006</v>
      </c>
      <c r="BF4" s="129"/>
      <c r="BG4" s="129"/>
      <c r="BH4" s="130"/>
      <c r="BJ4" s="128">
        <v>2007</v>
      </c>
      <c r="BK4" s="129"/>
      <c r="BL4" s="129"/>
      <c r="BM4" s="130"/>
      <c r="BO4" s="128">
        <v>2008</v>
      </c>
      <c r="BP4" s="129"/>
      <c r="BQ4" s="129"/>
      <c r="BR4" s="130"/>
      <c r="BT4" s="128">
        <v>2009</v>
      </c>
      <c r="BU4" s="129"/>
      <c r="BV4" s="129"/>
      <c r="BW4" s="130"/>
      <c r="BY4" s="128">
        <v>2010</v>
      </c>
      <c r="BZ4" s="129"/>
      <c r="CA4" s="129"/>
      <c r="CB4" s="130"/>
      <c r="CD4" s="128">
        <v>2011</v>
      </c>
      <c r="CE4" s="129"/>
      <c r="CF4" s="129"/>
      <c r="CG4" s="129"/>
      <c r="CH4" s="129"/>
      <c r="CI4" s="130"/>
      <c r="CK4" s="128">
        <v>2012</v>
      </c>
      <c r="CL4" s="129"/>
      <c r="CM4" s="129"/>
      <c r="CN4" s="129"/>
      <c r="CO4" s="129"/>
      <c r="CP4" s="130"/>
      <c r="CR4" s="128">
        <v>2013</v>
      </c>
      <c r="CS4" s="129"/>
      <c r="CT4" s="129"/>
      <c r="CU4" s="129"/>
      <c r="CV4" s="129"/>
      <c r="CW4" s="130"/>
      <c r="CY4" s="128">
        <v>2014</v>
      </c>
      <c r="CZ4" s="129"/>
      <c r="DA4" s="129"/>
      <c r="DB4" s="129"/>
      <c r="DC4" s="129"/>
      <c r="DD4" s="130"/>
      <c r="DF4" s="128">
        <v>2015</v>
      </c>
      <c r="DG4" s="129"/>
      <c r="DH4" s="129"/>
      <c r="DI4" s="129"/>
      <c r="DJ4" s="129"/>
      <c r="DK4" s="130"/>
      <c r="DM4" s="128">
        <v>2016</v>
      </c>
      <c r="DN4" s="129"/>
      <c r="DO4" s="129"/>
      <c r="DP4" s="129"/>
      <c r="DQ4" s="129"/>
      <c r="DR4" s="130"/>
      <c r="DT4" s="128">
        <v>2017</v>
      </c>
      <c r="DU4" s="129"/>
      <c r="DV4" s="129"/>
      <c r="DW4" s="129"/>
      <c r="DX4" s="129"/>
      <c r="DY4" s="130"/>
      <c r="EA4" s="128">
        <v>2018</v>
      </c>
      <c r="EB4" s="129"/>
      <c r="EC4" s="129"/>
      <c r="ED4" s="129"/>
      <c r="EE4" s="129"/>
      <c r="EF4" s="130"/>
      <c r="EH4" s="128">
        <v>2019</v>
      </c>
      <c r="EI4" s="129"/>
      <c r="EJ4" s="129"/>
      <c r="EK4" s="129"/>
      <c r="EL4" s="129"/>
      <c r="EM4" s="130"/>
      <c r="EO4" s="128">
        <v>2020</v>
      </c>
      <c r="EP4" s="129"/>
      <c r="EQ4" s="129"/>
      <c r="ER4" s="129"/>
      <c r="ES4" s="129"/>
      <c r="ET4" s="130"/>
      <c r="EV4" s="128">
        <v>2021</v>
      </c>
      <c r="EW4" s="129"/>
      <c r="EX4" s="129"/>
      <c r="EY4" s="129"/>
      <c r="EZ4" s="129"/>
      <c r="FA4" s="130"/>
      <c r="FC4" s="128">
        <v>2022</v>
      </c>
      <c r="FD4" s="129"/>
      <c r="FE4" s="129"/>
      <c r="FF4" s="129"/>
      <c r="FG4" s="129"/>
      <c r="FH4" s="130"/>
    </row>
    <row r="5" spans="1:164" ht="16.95" customHeight="1" x14ac:dyDescent="0.3">
      <c r="A5" s="70"/>
      <c r="B5" s="78" t="s">
        <v>0</v>
      </c>
      <c r="C5" s="79" t="s">
        <v>45</v>
      </c>
      <c r="D5" s="79" t="s">
        <v>46</v>
      </c>
      <c r="E5" s="80" t="s">
        <v>47</v>
      </c>
      <c r="F5" s="77"/>
      <c r="G5" s="78" t="s">
        <v>0</v>
      </c>
      <c r="H5" s="79" t="s">
        <v>45</v>
      </c>
      <c r="I5" s="79" t="s">
        <v>46</v>
      </c>
      <c r="J5" s="80" t="s">
        <v>47</v>
      </c>
      <c r="K5" s="70"/>
      <c r="L5" s="78" t="s">
        <v>0</v>
      </c>
      <c r="M5" s="79" t="s">
        <v>45</v>
      </c>
      <c r="N5" s="79" t="s">
        <v>46</v>
      </c>
      <c r="O5" s="80" t="s">
        <v>47</v>
      </c>
      <c r="P5" s="70"/>
      <c r="Q5" s="78" t="s">
        <v>0</v>
      </c>
      <c r="R5" s="79" t="s">
        <v>45</v>
      </c>
      <c r="S5" s="79" t="s">
        <v>46</v>
      </c>
      <c r="T5" s="80" t="s">
        <v>47</v>
      </c>
      <c r="U5" s="70"/>
      <c r="V5" s="78" t="s">
        <v>0</v>
      </c>
      <c r="W5" s="79" t="s">
        <v>45</v>
      </c>
      <c r="X5" s="79" t="s">
        <v>46</v>
      </c>
      <c r="Y5" s="80" t="s">
        <v>47</v>
      </c>
      <c r="Z5" s="70"/>
      <c r="AA5" s="78" t="s">
        <v>0</v>
      </c>
      <c r="AB5" s="79" t="s">
        <v>45</v>
      </c>
      <c r="AC5" s="79" t="s">
        <v>46</v>
      </c>
      <c r="AD5" s="80" t="s">
        <v>47</v>
      </c>
      <c r="AF5" s="78" t="s">
        <v>0</v>
      </c>
      <c r="AG5" s="79" t="s">
        <v>45</v>
      </c>
      <c r="AH5" s="79" t="s">
        <v>46</v>
      </c>
      <c r="AI5" s="80" t="s">
        <v>47</v>
      </c>
      <c r="AK5" s="78" t="s">
        <v>0</v>
      </c>
      <c r="AL5" s="79" t="s">
        <v>45</v>
      </c>
      <c r="AM5" s="79" t="s">
        <v>46</v>
      </c>
      <c r="AN5" s="80" t="s">
        <v>47</v>
      </c>
      <c r="AP5" s="78" t="s">
        <v>0</v>
      </c>
      <c r="AQ5" s="79" t="s">
        <v>45</v>
      </c>
      <c r="AR5" s="79" t="s">
        <v>46</v>
      </c>
      <c r="AS5" s="80" t="s">
        <v>47</v>
      </c>
      <c r="AU5" s="78" t="s">
        <v>0</v>
      </c>
      <c r="AV5" s="79" t="s">
        <v>45</v>
      </c>
      <c r="AW5" s="79" t="s">
        <v>46</v>
      </c>
      <c r="AX5" s="80" t="s">
        <v>47</v>
      </c>
      <c r="AZ5" s="78" t="s">
        <v>0</v>
      </c>
      <c r="BA5" s="79" t="s">
        <v>45</v>
      </c>
      <c r="BB5" s="79" t="s">
        <v>46</v>
      </c>
      <c r="BC5" s="80" t="s">
        <v>47</v>
      </c>
      <c r="BE5" s="78" t="s">
        <v>0</v>
      </c>
      <c r="BF5" s="79" t="s">
        <v>45</v>
      </c>
      <c r="BG5" s="79" t="s">
        <v>46</v>
      </c>
      <c r="BH5" s="80" t="s">
        <v>47</v>
      </c>
      <c r="BJ5" s="78" t="s">
        <v>0</v>
      </c>
      <c r="BK5" s="79" t="s">
        <v>45</v>
      </c>
      <c r="BL5" s="79" t="s">
        <v>46</v>
      </c>
      <c r="BM5" s="80" t="s">
        <v>47</v>
      </c>
      <c r="BO5" s="78" t="s">
        <v>0</v>
      </c>
      <c r="BP5" s="79" t="s">
        <v>45</v>
      </c>
      <c r="BQ5" s="79" t="s">
        <v>46</v>
      </c>
      <c r="BR5" s="80" t="s">
        <v>47</v>
      </c>
      <c r="BT5" s="78" t="s">
        <v>0</v>
      </c>
      <c r="BU5" s="79" t="s">
        <v>45</v>
      </c>
      <c r="BV5" s="79" t="s">
        <v>46</v>
      </c>
      <c r="BW5" s="80" t="s">
        <v>47</v>
      </c>
      <c r="BY5" s="78" t="s">
        <v>0</v>
      </c>
      <c r="BZ5" s="79" t="s">
        <v>45</v>
      </c>
      <c r="CA5" s="79" t="s">
        <v>46</v>
      </c>
      <c r="CB5" s="80" t="s">
        <v>47</v>
      </c>
      <c r="CD5" s="78" t="s">
        <v>0</v>
      </c>
      <c r="CE5" s="79" t="s">
        <v>45</v>
      </c>
      <c r="CF5" s="79" t="s">
        <v>48</v>
      </c>
      <c r="CG5" s="79" t="s">
        <v>49</v>
      </c>
      <c r="CH5" s="79" t="s">
        <v>47</v>
      </c>
      <c r="CI5" s="80" t="s">
        <v>50</v>
      </c>
      <c r="CK5" s="78" t="s">
        <v>0</v>
      </c>
      <c r="CL5" s="79" t="s">
        <v>45</v>
      </c>
      <c r="CM5" s="79" t="s">
        <v>48</v>
      </c>
      <c r="CN5" s="79" t="s">
        <v>49</v>
      </c>
      <c r="CO5" s="79" t="s">
        <v>47</v>
      </c>
      <c r="CP5" s="80" t="s">
        <v>50</v>
      </c>
      <c r="CR5" s="78" t="s">
        <v>0</v>
      </c>
      <c r="CS5" s="79" t="s">
        <v>45</v>
      </c>
      <c r="CT5" s="79" t="s">
        <v>48</v>
      </c>
      <c r="CU5" s="79" t="s">
        <v>49</v>
      </c>
      <c r="CV5" s="79" t="s">
        <v>47</v>
      </c>
      <c r="CW5" s="80" t="s">
        <v>50</v>
      </c>
      <c r="CY5" s="78" t="s">
        <v>0</v>
      </c>
      <c r="CZ5" s="79" t="s">
        <v>45</v>
      </c>
      <c r="DA5" s="79" t="s">
        <v>48</v>
      </c>
      <c r="DB5" s="79" t="s">
        <v>49</v>
      </c>
      <c r="DC5" s="79" t="s">
        <v>47</v>
      </c>
      <c r="DD5" s="80" t="s">
        <v>50</v>
      </c>
      <c r="DF5" s="78" t="s">
        <v>0</v>
      </c>
      <c r="DG5" s="79" t="s">
        <v>45</v>
      </c>
      <c r="DH5" s="79" t="s">
        <v>48</v>
      </c>
      <c r="DI5" s="79" t="s">
        <v>49</v>
      </c>
      <c r="DJ5" s="79" t="s">
        <v>47</v>
      </c>
      <c r="DK5" s="80" t="s">
        <v>50</v>
      </c>
      <c r="DM5" s="78" t="s">
        <v>0</v>
      </c>
      <c r="DN5" s="79" t="s">
        <v>45</v>
      </c>
      <c r="DO5" s="79" t="s">
        <v>48</v>
      </c>
      <c r="DP5" s="79" t="s">
        <v>49</v>
      </c>
      <c r="DQ5" s="79" t="s">
        <v>47</v>
      </c>
      <c r="DR5" s="80" t="s">
        <v>50</v>
      </c>
      <c r="DT5" s="78" t="s">
        <v>0</v>
      </c>
      <c r="DU5" s="79" t="s">
        <v>45</v>
      </c>
      <c r="DV5" s="79" t="s">
        <v>48</v>
      </c>
      <c r="DW5" s="79" t="s">
        <v>49</v>
      </c>
      <c r="DX5" s="79" t="s">
        <v>47</v>
      </c>
      <c r="DY5" s="80" t="s">
        <v>50</v>
      </c>
      <c r="EA5" s="78" t="s">
        <v>0</v>
      </c>
      <c r="EB5" s="79" t="s">
        <v>45</v>
      </c>
      <c r="EC5" s="79" t="s">
        <v>48</v>
      </c>
      <c r="ED5" s="79" t="s">
        <v>49</v>
      </c>
      <c r="EE5" s="79" t="s">
        <v>47</v>
      </c>
      <c r="EF5" s="80" t="s">
        <v>50</v>
      </c>
      <c r="EH5" s="81" t="s">
        <v>0</v>
      </c>
      <c r="EI5" s="82" t="s">
        <v>45</v>
      </c>
      <c r="EJ5" s="82" t="s">
        <v>48</v>
      </c>
      <c r="EK5" s="82" t="s">
        <v>49</v>
      </c>
      <c r="EL5" s="82" t="s">
        <v>47</v>
      </c>
      <c r="EM5" s="83" t="s">
        <v>50</v>
      </c>
      <c r="EO5" s="81" t="s">
        <v>0</v>
      </c>
      <c r="EP5" s="82" t="s">
        <v>45</v>
      </c>
      <c r="EQ5" s="82" t="s">
        <v>48</v>
      </c>
      <c r="ER5" s="82" t="s">
        <v>49</v>
      </c>
      <c r="ES5" s="82" t="s">
        <v>47</v>
      </c>
      <c r="ET5" s="83" t="s">
        <v>50</v>
      </c>
      <c r="EV5" s="81" t="s">
        <v>0</v>
      </c>
      <c r="EW5" s="82" t="s">
        <v>45</v>
      </c>
      <c r="EX5" s="82" t="s">
        <v>48</v>
      </c>
      <c r="EY5" s="82" t="s">
        <v>49</v>
      </c>
      <c r="EZ5" s="82" t="s">
        <v>47</v>
      </c>
      <c r="FA5" s="83" t="s">
        <v>50</v>
      </c>
      <c r="FC5" s="81" t="s">
        <v>0</v>
      </c>
      <c r="FD5" s="82" t="s">
        <v>45</v>
      </c>
      <c r="FE5" s="82" t="s">
        <v>48</v>
      </c>
      <c r="FF5" s="82" t="s">
        <v>49</v>
      </c>
      <c r="FG5" s="82" t="s">
        <v>47</v>
      </c>
      <c r="FH5" s="83" t="s">
        <v>50</v>
      </c>
    </row>
    <row r="6" spans="1:164" ht="24.9" customHeight="1" x14ac:dyDescent="0.3">
      <c r="A6" s="44" t="s">
        <v>1</v>
      </c>
      <c r="B6" s="86">
        <v>48287</v>
      </c>
      <c r="C6" s="85">
        <f>10872/B6</f>
        <v>0.22515376809493237</v>
      </c>
      <c r="D6" s="85">
        <f t="shared" ref="D6:D17" si="0">(1-C6-E6)</f>
        <v>0.67272764926377704</v>
      </c>
      <c r="E6" s="87">
        <f>(4931/B6)</f>
        <v>0.10211858264129062</v>
      </c>
      <c r="F6" s="46"/>
      <c r="G6" s="86">
        <v>46526</v>
      </c>
      <c r="H6" s="85">
        <f>(10478/G6)</f>
        <v>0.2252074109100288</v>
      </c>
      <c r="I6" s="85">
        <f t="shared" ref="I6:I17" si="1">(1-H6-J6)</f>
        <v>0.67048532003610883</v>
      </c>
      <c r="J6" s="87">
        <f>4853/G6</f>
        <v>0.10430726905386235</v>
      </c>
      <c r="K6" s="70"/>
      <c r="L6" s="86">
        <v>50775</v>
      </c>
      <c r="M6" s="85">
        <f>(10976/L6)</f>
        <v>0.21616937469226982</v>
      </c>
      <c r="N6" s="85">
        <f t="shared" ref="N6:N17" si="2">(1-M6-O6)</f>
        <v>0.6905169867060561</v>
      </c>
      <c r="O6" s="87">
        <f>(2461+45+2232)/L6</f>
        <v>9.3313638601674048E-2</v>
      </c>
      <c r="P6" s="70"/>
      <c r="Q6" s="86">
        <v>59206</v>
      </c>
      <c r="R6" s="85">
        <f>(12591/Q6)</f>
        <v>0.21266425700097963</v>
      </c>
      <c r="S6" s="85">
        <f t="shared" ref="S6:S17" si="3">(1-R6-T6)</f>
        <v>0.68467722865925751</v>
      </c>
      <c r="T6" s="87">
        <f>(3149+2669+260)/Q6</f>
        <v>0.10265851433976286</v>
      </c>
      <c r="U6" s="70"/>
      <c r="V6" s="86">
        <v>56697</v>
      </c>
      <c r="W6" s="85">
        <f>(9569+1452)/V6</f>
        <v>0.19438418258461648</v>
      </c>
      <c r="X6" s="85">
        <f t="shared" ref="X6:X17" si="4">(1-W6-Y6)</f>
        <v>0.69945499761892171</v>
      </c>
      <c r="Y6" s="87">
        <f>(2413+3506+100)/V6</f>
        <v>0.1061608197964619</v>
      </c>
      <c r="Z6" s="70"/>
      <c r="AA6" s="86">
        <v>62304</v>
      </c>
      <c r="AB6" s="85">
        <f>(10601+1580)/AA6</f>
        <v>0.19550911658962505</v>
      </c>
      <c r="AC6" s="85">
        <f t="shared" ref="AC6:AC17" si="5">(1-AB6-AD6)</f>
        <v>0.69300526450950184</v>
      </c>
      <c r="AD6" s="87">
        <f>(3207+3739)/AA6</f>
        <v>0.11148561890087313</v>
      </c>
      <c r="AF6" s="86">
        <v>62946</v>
      </c>
      <c r="AG6" s="85">
        <f>(12059+1525)/AF6</f>
        <v>0.21580402249547231</v>
      </c>
      <c r="AH6" s="85">
        <f t="shared" ref="AH6:AH17" si="6">(1-AG6-AI6)</f>
        <v>0.67880405426873835</v>
      </c>
      <c r="AI6" s="87">
        <f>(3977+2657)/AF6</f>
        <v>0.1053919232357894</v>
      </c>
      <c r="AK6" s="86">
        <v>55095</v>
      </c>
      <c r="AL6" s="85">
        <f>(12066+1399)/AK6</f>
        <v>0.24439604319811234</v>
      </c>
      <c r="AM6" s="85">
        <f t="shared" ref="AM6:AM17" si="7">(1-AL6-AN6)</f>
        <v>0.65835375260912965</v>
      </c>
      <c r="AN6" s="87">
        <f>(2755+2603)/AK6</f>
        <v>9.7250204192757969E-2</v>
      </c>
      <c r="AP6" s="86">
        <v>73731</v>
      </c>
      <c r="AQ6" s="85">
        <f>(12998+464+1092)/AP6</f>
        <v>0.19739322672959814</v>
      </c>
      <c r="AR6" s="85">
        <f t="shared" ref="AR6:AR17" si="8">(1-AQ6-AS6)</f>
        <v>0.73208012911801001</v>
      </c>
      <c r="AS6" s="87">
        <f>(2744+2456)/AP6</f>
        <v>7.0526644152391807E-2</v>
      </c>
      <c r="AU6" s="86">
        <v>74282</v>
      </c>
      <c r="AV6" s="85">
        <f>(14394+662+1817)/AU6</f>
        <v>0.22714789585633127</v>
      </c>
      <c r="AW6" s="85">
        <f t="shared" ref="AW6:AW17" si="9">(1-AV6-AX6)</f>
        <v>0.69144611076707674</v>
      </c>
      <c r="AX6" s="87">
        <f>(2505+3542)/AU6</f>
        <v>8.1405993376591906E-2</v>
      </c>
      <c r="AZ6" s="86">
        <v>88850</v>
      </c>
      <c r="BA6" s="85">
        <f>(16459+1910+2418)/AZ6</f>
        <v>0.23395610579628587</v>
      </c>
      <c r="BB6" s="85">
        <f t="shared" ref="BB6:BB17" si="10">(1-BA6-BC6)</f>
        <v>0.69047833427124361</v>
      </c>
      <c r="BC6" s="87">
        <f>(3536+3178)/AZ6</f>
        <v>7.5565559932470452E-2</v>
      </c>
      <c r="BE6" s="86">
        <f>96957-13197-2048</f>
        <v>81712</v>
      </c>
      <c r="BF6" s="85">
        <f>(19514+1438+2205)/BE6</f>
        <v>0.28339778735069515</v>
      </c>
      <c r="BG6" s="85">
        <f t="shared" ref="BG6:BG17" si="11">(1-BF6-BH6)</f>
        <v>0.66516545917368308</v>
      </c>
      <c r="BH6" s="87">
        <f>(1755+2448)/BE6</f>
        <v>5.1436753475621697E-2</v>
      </c>
      <c r="BJ6" s="86">
        <f>94942-13088-2691</f>
        <v>79163</v>
      </c>
      <c r="BK6" s="85">
        <f>(19918+1298+2053)/BJ6</f>
        <v>0.29393782448871314</v>
      </c>
      <c r="BL6" s="85">
        <f t="shared" ref="BL6:BL17" si="12">(1-BK6-BM6)</f>
        <v>0.65625355279612951</v>
      </c>
      <c r="BM6" s="87">
        <f>(2059+1884)/BJ6</f>
        <v>4.9808622715157333E-2</v>
      </c>
      <c r="BO6" s="86">
        <v>81744</v>
      </c>
      <c r="BP6" s="85">
        <f>(21874+724+2758)/BO6</f>
        <v>0.31018790369935406</v>
      </c>
      <c r="BQ6" s="85">
        <f t="shared" ref="BQ6:BQ17" si="13">(1-BP6-BR6)</f>
        <v>0.63202192209825803</v>
      </c>
      <c r="BR6" s="87">
        <f>(3658+1066)/BO6</f>
        <v>5.7790174202387939E-2</v>
      </c>
      <c r="BT6" s="86">
        <f>79674-7631-9434</f>
        <v>62609</v>
      </c>
      <c r="BU6" s="85">
        <f>(17413+42+1523)/BT6</f>
        <v>0.30311935983644522</v>
      </c>
      <c r="BV6" s="85">
        <f t="shared" ref="BV6:BV17" si="14">(1-BU6-BW6)</f>
        <v>0.64514686386941178</v>
      </c>
      <c r="BW6" s="87">
        <f>(2559+680)/BT6</f>
        <v>5.1733776294143018E-2</v>
      </c>
      <c r="BY6" s="86">
        <v>62186</v>
      </c>
      <c r="BZ6" s="85">
        <f>(15568+1176+1656)/BY6</f>
        <v>0.29588653394654746</v>
      </c>
      <c r="CA6" s="85">
        <f t="shared" ref="CA6:CA17" si="15">(1-BZ6-CB6)</f>
        <v>0.67589167979931164</v>
      </c>
      <c r="CB6" s="87">
        <f>(1307+448)/BY6</f>
        <v>2.8221786254140804E-2</v>
      </c>
      <c r="CD6" s="86">
        <v>91527</v>
      </c>
      <c r="CE6" s="84">
        <v>27500</v>
      </c>
      <c r="CF6" s="85">
        <f>27500/CD6</f>
        <v>0.30045778841216253</v>
      </c>
      <c r="CG6" s="85">
        <f t="shared" ref="CG6:CG17" si="16">(1-CF6-CI6)</f>
        <v>0.65589388923487058</v>
      </c>
      <c r="CH6" s="84">
        <v>3995</v>
      </c>
      <c r="CI6" s="87">
        <f>3995/CD6</f>
        <v>4.3648322352966881E-2</v>
      </c>
      <c r="CK6" s="86">
        <v>88749</v>
      </c>
      <c r="CL6" s="84">
        <v>27171</v>
      </c>
      <c r="CM6" s="85">
        <f>27171/CK6</f>
        <v>0.30615556231619512</v>
      </c>
      <c r="CN6" s="85">
        <f t="shared" ref="CN6:CN17" si="17">(1-CM6-CP6)</f>
        <v>0.65405807389379034</v>
      </c>
      <c r="CO6" s="84">
        <v>3531</v>
      </c>
      <c r="CP6" s="87">
        <f>3531/CK6</f>
        <v>3.9786363790014538E-2</v>
      </c>
      <c r="CR6" s="86">
        <v>90900</v>
      </c>
      <c r="CS6" s="84">
        <v>29895</v>
      </c>
      <c r="CT6" s="85">
        <f t="shared" ref="CT6:CT17" si="18">CS6/CR6</f>
        <v>0.32887788778877886</v>
      </c>
      <c r="CU6" s="85">
        <f t="shared" ref="CU6:CU17" si="19">(1-CT6-CW6)</f>
        <v>0.62614961496149624</v>
      </c>
      <c r="CV6" s="84">
        <v>4088</v>
      </c>
      <c r="CW6" s="87">
        <f>4088/CR6</f>
        <v>4.497249724972497E-2</v>
      </c>
      <c r="CY6" s="86">
        <v>96225</v>
      </c>
      <c r="CZ6" s="84">
        <v>32277</v>
      </c>
      <c r="DA6" s="85">
        <f t="shared" ref="DA6:DA17" si="20">CZ6/CY6</f>
        <v>0.33543257989088077</v>
      </c>
      <c r="DB6" s="85">
        <f t="shared" ref="DB6:DB16" si="21">(1-DA6-DD6)</f>
        <v>0.62544037412314879</v>
      </c>
      <c r="DC6" s="84">
        <v>3765</v>
      </c>
      <c r="DD6" s="87">
        <f t="shared" ref="DD6:DD16" si="22">DC6/CY6</f>
        <v>3.9127045985970381E-2</v>
      </c>
      <c r="DF6" s="86">
        <v>111322</v>
      </c>
      <c r="DG6" s="84">
        <v>39402</v>
      </c>
      <c r="DH6" s="88">
        <f t="shared" ref="DH6:DH12" si="23">DG6/DF6</f>
        <v>0.35394621009324301</v>
      </c>
      <c r="DI6" s="88">
        <f t="shared" ref="DI6:DI12" si="24">(1-DH6-DK6)</f>
        <v>0.6065916889743268</v>
      </c>
      <c r="DJ6" s="84">
        <v>4393</v>
      </c>
      <c r="DK6" s="89">
        <f t="shared" ref="DK6:DK12" si="25">DJ6/DF6</f>
        <v>3.9462100932430244E-2</v>
      </c>
      <c r="DM6" s="86">
        <v>109767</v>
      </c>
      <c r="DN6" s="84">
        <v>38403</v>
      </c>
      <c r="DO6" s="88">
        <f t="shared" ref="DO6:DO14" si="26">DN6/DM6</f>
        <v>0.34985924731476675</v>
      </c>
      <c r="DP6" s="88">
        <f t="shared" ref="DP6:DP12" si="27">(1-DO6-DR6)</f>
        <v>0.62244572594677805</v>
      </c>
      <c r="DQ6" s="84">
        <v>3040</v>
      </c>
      <c r="DR6" s="89">
        <f t="shared" ref="DR6:DR12" si="28">DQ6/DM6</f>
        <v>2.769502673845509E-2</v>
      </c>
      <c r="DT6" s="86">
        <v>128420</v>
      </c>
      <c r="DU6" s="84">
        <v>48867</v>
      </c>
      <c r="DV6" s="88">
        <f t="shared" ref="DV6:DV17" si="29">DU6/DT6</f>
        <v>0.38052484036754397</v>
      </c>
      <c r="DW6" s="88">
        <f t="shared" ref="DW6:DW17" si="30">(1-DV6-DY6)</f>
        <v>0.58583553963557078</v>
      </c>
      <c r="DX6" s="84">
        <v>4320</v>
      </c>
      <c r="DY6" s="89">
        <f t="shared" ref="DY6:DY17" si="31">DX6/DT6</f>
        <v>3.3639619996885223E-2</v>
      </c>
      <c r="EA6" s="86">
        <v>125369</v>
      </c>
      <c r="EB6" s="84">
        <v>44290</v>
      </c>
      <c r="EC6" s="88">
        <f t="shared" ref="EC6:EC12" si="32">EB6/EA6</f>
        <v>0.35327712592427157</v>
      </c>
      <c r="ED6" s="88">
        <f t="shared" ref="ED6:ED12" si="33">(1-EC6-EF6)</f>
        <v>0.61405929695538775</v>
      </c>
      <c r="EE6" s="84">
        <v>4095</v>
      </c>
      <c r="EF6" s="89">
        <f t="shared" ref="EF6:EF12" si="34">EE6/EA6</f>
        <v>3.2663577120340757E-2</v>
      </c>
      <c r="EH6" s="86">
        <v>134638</v>
      </c>
      <c r="EI6" s="84">
        <v>45604</v>
      </c>
      <c r="EJ6" s="88">
        <f t="shared" ref="EJ6:EJ17" si="35">EI6/EH6</f>
        <v>0.33871566719648244</v>
      </c>
      <c r="EK6" s="88">
        <f t="shared" ref="EK6:EK17" si="36">(1-EJ6-EM6)</f>
        <v>0.62434082502710975</v>
      </c>
      <c r="EL6" s="84">
        <v>4974</v>
      </c>
      <c r="EM6" s="89">
        <f t="shared" ref="EM6:EM17" si="37">EL6/EH6</f>
        <v>3.6943507776407848E-2</v>
      </c>
      <c r="EO6" s="86">
        <v>126634</v>
      </c>
      <c r="EP6" s="84">
        <v>39844</v>
      </c>
      <c r="EQ6" s="88">
        <f>IFERROR(EP6/EO6,"")</f>
        <v>0.31463903848887342</v>
      </c>
      <c r="ER6" s="88">
        <f t="shared" ref="ER6:ER17" si="38">IFERROR((1-EQ6-ET6),"")</f>
        <v>0.64672994614400559</v>
      </c>
      <c r="ES6" s="84">
        <v>4892</v>
      </c>
      <c r="ET6" s="89">
        <f>IFERROR(ES6/EO6,"")</f>
        <v>3.8631015367120991E-2</v>
      </c>
      <c r="EV6" s="86">
        <v>148450</v>
      </c>
      <c r="EW6" s="84">
        <v>46750</v>
      </c>
      <c r="EX6" s="88">
        <f>IFERROR(EW6/EV6,"")</f>
        <v>0.31492084877062987</v>
      </c>
      <c r="EY6" s="88">
        <f t="shared" ref="EY6:EY17" si="39">IFERROR((1-EX6-FA6),"")</f>
        <v>0.64028965981812058</v>
      </c>
      <c r="EZ6" s="84">
        <v>6649</v>
      </c>
      <c r="FA6" s="89">
        <f>IFERROR(EZ6/EV6,"")</f>
        <v>4.4789491411249577E-2</v>
      </c>
      <c r="FC6" s="86">
        <v>144572</v>
      </c>
      <c r="FD6" s="84">
        <v>43139</v>
      </c>
      <c r="FE6" s="88">
        <f>IFERROR(FD6/FC6,"")</f>
        <v>0.29839111307860444</v>
      </c>
      <c r="FF6" s="88">
        <f t="shared" ref="FF6:FF17" si="40">IFERROR((1-FE6-FH6),"")</f>
        <v>0.66335804996818193</v>
      </c>
      <c r="FG6" s="84">
        <v>5530</v>
      </c>
      <c r="FH6" s="89">
        <f>IFERROR(FG6/FC6,"")</f>
        <v>3.8250836953213622E-2</v>
      </c>
    </row>
    <row r="7" spans="1:164" ht="24.9" customHeight="1" x14ac:dyDescent="0.3">
      <c r="A7" s="44" t="s">
        <v>2</v>
      </c>
      <c r="B7" s="86">
        <v>44936</v>
      </c>
      <c r="C7" s="85">
        <f>10958/B7</f>
        <v>0.24385793128004274</v>
      </c>
      <c r="D7" s="85">
        <f t="shared" si="0"/>
        <v>0.65967153284671531</v>
      </c>
      <c r="E7" s="87">
        <f>4335/B7</f>
        <v>9.6470535873241947E-2</v>
      </c>
      <c r="F7" s="46"/>
      <c r="G7" s="86">
        <v>51477</v>
      </c>
      <c r="H7" s="85">
        <f>(11387/G7)</f>
        <v>0.22120558696116713</v>
      </c>
      <c r="I7" s="85">
        <f t="shared" si="1"/>
        <v>0.66344192552013526</v>
      </c>
      <c r="J7" s="87">
        <f>5938/G7</f>
        <v>0.11535248751869767</v>
      </c>
      <c r="K7" s="70"/>
      <c r="L7" s="86">
        <v>54444</v>
      </c>
      <c r="M7" s="85">
        <f>(11411/L7)</f>
        <v>0.20959150686944383</v>
      </c>
      <c r="N7" s="85">
        <f t="shared" si="2"/>
        <v>0.7004628609213136</v>
      </c>
      <c r="O7" s="87">
        <f>(2677+2220)/L7</f>
        <v>8.9945632209242524E-2</v>
      </c>
      <c r="P7" s="70"/>
      <c r="Q7" s="86">
        <v>55003</v>
      </c>
      <c r="R7" s="85">
        <f>(13720/Q7)</f>
        <v>0.24944093958511354</v>
      </c>
      <c r="S7" s="85">
        <f t="shared" si="3"/>
        <v>0.63883788157009613</v>
      </c>
      <c r="T7" s="87">
        <f>(3206+2805+134)/Q7</f>
        <v>0.11172117884479028</v>
      </c>
      <c r="U7" s="70"/>
      <c r="V7" s="86">
        <v>58225</v>
      </c>
      <c r="W7" s="85">
        <f>(9988+1579)/V7</f>
        <v>0.19866036925719194</v>
      </c>
      <c r="X7" s="85">
        <f t="shared" si="4"/>
        <v>0.70308286818376975</v>
      </c>
      <c r="Y7" s="87">
        <f>(2295+3426)/V7</f>
        <v>9.8256762559038216E-2</v>
      </c>
      <c r="Z7" s="70"/>
      <c r="AA7" s="86">
        <v>57193</v>
      </c>
      <c r="AB7" s="85">
        <f>(12628+1795)/AA7</f>
        <v>0.25218121098735857</v>
      </c>
      <c r="AC7" s="85">
        <f t="shared" si="5"/>
        <v>0.62946514433584533</v>
      </c>
      <c r="AD7" s="87">
        <f>(3189+3580)/AA7</f>
        <v>0.11835364467679611</v>
      </c>
      <c r="AF7" s="86">
        <v>62306</v>
      </c>
      <c r="AG7" s="85">
        <f>(10833+1806)/AF7</f>
        <v>0.20285365775366737</v>
      </c>
      <c r="AH7" s="85">
        <f t="shared" si="6"/>
        <v>0.70728340769749298</v>
      </c>
      <c r="AI7" s="87">
        <f>(3254+2345)/AF7</f>
        <v>8.9862934548839604E-2</v>
      </c>
      <c r="AK7" s="86">
        <v>58845</v>
      </c>
      <c r="AL7" s="85">
        <f>(12468+1279)/AK7</f>
        <v>0.2336137309881893</v>
      </c>
      <c r="AM7" s="85">
        <f t="shared" si="7"/>
        <v>0.68508794290084118</v>
      </c>
      <c r="AN7" s="87">
        <f>(2864+1920)/AK7</f>
        <v>8.1298326110969502E-2</v>
      </c>
      <c r="AP7" s="86">
        <v>63258</v>
      </c>
      <c r="AQ7" s="85">
        <f>(12153+413+1007)/AP7</f>
        <v>0.2145657466249328</v>
      </c>
      <c r="AR7" s="85">
        <f t="shared" si="8"/>
        <v>0.71556166808941168</v>
      </c>
      <c r="AS7" s="87">
        <f>(3101+1319)/AP7</f>
        <v>6.987258528565557E-2</v>
      </c>
      <c r="AU7" s="86">
        <v>76480</v>
      </c>
      <c r="AV7" s="85">
        <f>(14334+1272+2058)/AU7</f>
        <v>0.23096234309623431</v>
      </c>
      <c r="AW7" s="85">
        <f t="shared" si="9"/>
        <v>0.7118985355648535</v>
      </c>
      <c r="AX7" s="87">
        <f>(2353+2017)/AU7</f>
        <v>5.7139121338912136E-2</v>
      </c>
      <c r="AZ7" s="86">
        <v>83646</v>
      </c>
      <c r="BA7" s="85">
        <f>(16800+2346+2335)/AZ7</f>
        <v>0.25680845467804797</v>
      </c>
      <c r="BB7" s="85">
        <f t="shared" si="10"/>
        <v>0.68488630657772032</v>
      </c>
      <c r="BC7" s="87">
        <f>(2852+1931+94)/AZ7</f>
        <v>5.8305238744231644E-2</v>
      </c>
      <c r="BE7" s="86">
        <f>93109-12921-2485</f>
        <v>77703</v>
      </c>
      <c r="BF7" s="85">
        <f>(17331+1411+2377)/BE7</f>
        <v>0.27179130792890882</v>
      </c>
      <c r="BG7" s="85">
        <f t="shared" si="11"/>
        <v>0.68182695648816649</v>
      </c>
      <c r="BH7" s="87">
        <f>(2048+1556)/BE7</f>
        <v>4.638173558292473E-2</v>
      </c>
      <c r="BJ7" s="86">
        <f>91800-13520-2117</f>
        <v>76163</v>
      </c>
      <c r="BK7" s="85">
        <f>(18480+1100+2332)/BJ7</f>
        <v>0.28769875136221001</v>
      </c>
      <c r="BL7" s="85">
        <f t="shared" si="12"/>
        <v>0.67464516891403958</v>
      </c>
      <c r="BM7" s="87">
        <f>(1895+973)/BJ7</f>
        <v>3.7656079723750374E-2</v>
      </c>
      <c r="BO7" s="86">
        <v>82582</v>
      </c>
      <c r="BP7" s="85">
        <f>(20635+726+3502)/BO7</f>
        <v>0.3010704511879102</v>
      </c>
      <c r="BQ7" s="85">
        <f t="shared" si="13"/>
        <v>0.66900777409120626</v>
      </c>
      <c r="BR7" s="87">
        <f>(1298+1173)/BO7</f>
        <v>2.9921774720883487E-2</v>
      </c>
      <c r="BT7" s="86">
        <f>75595-10089-7735</f>
        <v>57771</v>
      </c>
      <c r="BU7" s="85">
        <f>(16052+202+1958)/BT7</f>
        <v>0.31524467293278635</v>
      </c>
      <c r="BV7" s="85">
        <f t="shared" si="14"/>
        <v>0.61601841754513509</v>
      </c>
      <c r="BW7" s="87">
        <f>(3037+934)/BT7</f>
        <v>6.8736909522078546E-2</v>
      </c>
      <c r="BY7" s="86">
        <v>69022</v>
      </c>
      <c r="BZ7" s="85">
        <f>(15353+1029+1700)/BY7</f>
        <v>0.26197444293123934</v>
      </c>
      <c r="CA7" s="85">
        <f t="shared" si="15"/>
        <v>0.71217872562371409</v>
      </c>
      <c r="CB7" s="87">
        <f>(1527+257)/BY7</f>
        <v>2.5846831445046507E-2</v>
      </c>
      <c r="CD7" s="86">
        <v>87615</v>
      </c>
      <c r="CE7" s="84">
        <v>23945</v>
      </c>
      <c r="CF7" s="85">
        <f>23945/CD7</f>
        <v>0.27329795126405299</v>
      </c>
      <c r="CG7" s="85">
        <f t="shared" si="16"/>
        <v>0.68953946242081832</v>
      </c>
      <c r="CH7" s="84">
        <v>3256</v>
      </c>
      <c r="CI7" s="87">
        <f>3256/CD7</f>
        <v>3.7162586315128691E-2</v>
      </c>
      <c r="CK7" s="86">
        <v>89577</v>
      </c>
      <c r="CL7" s="84">
        <v>27047</v>
      </c>
      <c r="CM7" s="85">
        <f>27047/CK7</f>
        <v>0.30194134655101196</v>
      </c>
      <c r="CN7" s="85">
        <f t="shared" si="17"/>
        <v>0.65712180582069069</v>
      </c>
      <c r="CO7" s="84">
        <v>3667</v>
      </c>
      <c r="CP7" s="87">
        <f>3667/CK7</f>
        <v>4.093684762829744E-2</v>
      </c>
      <c r="CR7" s="86">
        <v>96404</v>
      </c>
      <c r="CS7" s="84">
        <v>31778</v>
      </c>
      <c r="CT7" s="85">
        <f t="shared" si="18"/>
        <v>0.32963362516078171</v>
      </c>
      <c r="CU7" s="85">
        <f t="shared" si="19"/>
        <v>0.62800298742790761</v>
      </c>
      <c r="CV7" s="84">
        <v>4084</v>
      </c>
      <c r="CW7" s="87">
        <f>4084/CR7</f>
        <v>4.2363387411310731E-2</v>
      </c>
      <c r="CY7" s="86">
        <v>102289</v>
      </c>
      <c r="CZ7" s="84">
        <v>33523</v>
      </c>
      <c r="DA7" s="85">
        <f t="shared" si="20"/>
        <v>0.32772829923061131</v>
      </c>
      <c r="DB7" s="85">
        <f t="shared" si="21"/>
        <v>0.63210120345296172</v>
      </c>
      <c r="DC7" s="84">
        <v>4109</v>
      </c>
      <c r="DD7" s="87">
        <f t="shared" si="22"/>
        <v>4.0170497316426988E-2</v>
      </c>
      <c r="DF7" s="86">
        <v>101184</v>
      </c>
      <c r="DG7" s="84">
        <v>30421</v>
      </c>
      <c r="DH7" s="88">
        <f t="shared" si="23"/>
        <v>0.30065030044275776</v>
      </c>
      <c r="DI7" s="88">
        <f t="shared" si="24"/>
        <v>0.66730906072106255</v>
      </c>
      <c r="DJ7" s="84">
        <v>3242</v>
      </c>
      <c r="DK7" s="89">
        <f t="shared" si="25"/>
        <v>3.2040638836179636E-2</v>
      </c>
      <c r="DM7" s="86">
        <v>124458</v>
      </c>
      <c r="DN7" s="84">
        <v>45870</v>
      </c>
      <c r="DO7" s="88">
        <f t="shared" si="26"/>
        <v>0.36855806778190231</v>
      </c>
      <c r="DP7" s="88">
        <f t="shared" si="27"/>
        <v>0.60834980475341083</v>
      </c>
      <c r="DQ7" s="84">
        <v>2874</v>
      </c>
      <c r="DR7" s="89">
        <f t="shared" si="28"/>
        <v>2.3092127464686883E-2</v>
      </c>
      <c r="DT7" s="86">
        <v>124607</v>
      </c>
      <c r="DU7" s="84">
        <v>45044</v>
      </c>
      <c r="DV7" s="88">
        <f t="shared" si="29"/>
        <v>0.36148851990658631</v>
      </c>
      <c r="DW7" s="88">
        <f t="shared" si="30"/>
        <v>0.60710874990971619</v>
      </c>
      <c r="DX7" s="84">
        <v>3913</v>
      </c>
      <c r="DY7" s="89">
        <f t="shared" si="31"/>
        <v>3.1402730183697547E-2</v>
      </c>
      <c r="EA7" s="86">
        <v>122919</v>
      </c>
      <c r="EB7" s="84">
        <v>46435</v>
      </c>
      <c r="EC7" s="88">
        <f t="shared" si="32"/>
        <v>0.37776909997640723</v>
      </c>
      <c r="ED7" s="88">
        <f t="shared" si="33"/>
        <v>0.59011218770084373</v>
      </c>
      <c r="EE7" s="84">
        <v>3948</v>
      </c>
      <c r="EF7" s="89">
        <f t="shared" si="34"/>
        <v>3.2118712322749127E-2</v>
      </c>
      <c r="EH7" s="86">
        <v>127596</v>
      </c>
      <c r="EI7" s="84">
        <v>45001</v>
      </c>
      <c r="EJ7" s="88">
        <f t="shared" si="35"/>
        <v>0.35268346970124453</v>
      </c>
      <c r="EK7" s="88">
        <f t="shared" si="36"/>
        <v>0.61291890027900564</v>
      </c>
      <c r="EL7" s="84">
        <v>4389</v>
      </c>
      <c r="EM7" s="89">
        <f t="shared" si="37"/>
        <v>3.4397630019749832E-2</v>
      </c>
      <c r="EO7" s="86">
        <v>114959</v>
      </c>
      <c r="EP7" s="84">
        <v>37643</v>
      </c>
      <c r="EQ7" s="88">
        <f t="shared" ref="EQ7:EQ17" si="41">IFERROR(EP7/EO7,"")</f>
        <v>0.32744717681956176</v>
      </c>
      <c r="ER7" s="88">
        <f t="shared" si="38"/>
        <v>0.63513078575840087</v>
      </c>
      <c r="ES7" s="84">
        <v>4302</v>
      </c>
      <c r="ET7" s="89">
        <f t="shared" ref="ET7:ET17" si="42">IFERROR(ES7/EO7,"")</f>
        <v>3.7422037422037424E-2</v>
      </c>
      <c r="EV7" s="86">
        <v>136803</v>
      </c>
      <c r="EW7" s="84">
        <v>42497</v>
      </c>
      <c r="EX7" s="88">
        <f t="shared" ref="EX7:EX17" si="43">IFERROR(EW7/EV7,"")</f>
        <v>0.31064377243189112</v>
      </c>
      <c r="EY7" s="88">
        <f t="shared" si="39"/>
        <v>0.65684232070934112</v>
      </c>
      <c r="EZ7" s="84">
        <v>4448</v>
      </c>
      <c r="FA7" s="89">
        <f t="shared" ref="FA7:FA17" si="44">IFERROR(EZ7/EV7,"")</f>
        <v>3.2513906858767719E-2</v>
      </c>
      <c r="FC7" s="86">
        <v>162674</v>
      </c>
      <c r="FD7" s="84">
        <v>50721</v>
      </c>
      <c r="FE7" s="88">
        <f t="shared" ref="FE7:FE17" si="45">IFERROR(FD7/FC7,"")</f>
        <v>0.31179536988086604</v>
      </c>
      <c r="FF7" s="88">
        <f t="shared" si="40"/>
        <v>0.64835191856104857</v>
      </c>
      <c r="FG7" s="84">
        <v>6483</v>
      </c>
      <c r="FH7" s="89">
        <f t="shared" ref="FH7:FH17" si="46">IFERROR(FG7/FC7,"")</f>
        <v>3.9852711558085493E-2</v>
      </c>
    </row>
    <row r="8" spans="1:164" ht="24.9" customHeight="1" x14ac:dyDescent="0.3">
      <c r="A8" s="44" t="s">
        <v>3</v>
      </c>
      <c r="B8" s="86">
        <v>53529</v>
      </c>
      <c r="C8" s="85">
        <f>13817/B8</f>
        <v>0.25812176577182461</v>
      </c>
      <c r="D8" s="85">
        <f t="shared" si="0"/>
        <v>0.63503895084907236</v>
      </c>
      <c r="E8" s="87">
        <f>5719/B8</f>
        <v>0.10683928337910292</v>
      </c>
      <c r="F8" s="46"/>
      <c r="G8" s="86">
        <v>59797</v>
      </c>
      <c r="H8" s="85">
        <f>(11612/G8)</f>
        <v>0.19419034399719048</v>
      </c>
      <c r="I8" s="85">
        <f t="shared" si="1"/>
        <v>0.70269411508938573</v>
      </c>
      <c r="J8" s="87">
        <f>6166/G8</f>
        <v>0.10311554091342374</v>
      </c>
      <c r="K8" s="70"/>
      <c r="L8" s="86">
        <v>64721</v>
      </c>
      <c r="M8" s="85">
        <f>(12253/L8)</f>
        <v>0.18932031334497304</v>
      </c>
      <c r="N8" s="85">
        <f t="shared" si="2"/>
        <v>0.70048361428284489</v>
      </c>
      <c r="O8" s="87">
        <f>(4053+23+3056)/L8</f>
        <v>0.11019607237218214</v>
      </c>
      <c r="P8" s="70"/>
      <c r="Q8" s="86">
        <v>68212</v>
      </c>
      <c r="R8" s="85">
        <f>(13980/Q8)</f>
        <v>0.2049492757872515</v>
      </c>
      <c r="S8" s="85">
        <f t="shared" si="3"/>
        <v>0.69401278367442676</v>
      </c>
      <c r="T8" s="87">
        <f>(3835+2894+163)/Q8</f>
        <v>0.1010379405383217</v>
      </c>
      <c r="U8" s="70"/>
      <c r="V8" s="86">
        <v>65331</v>
      </c>
      <c r="W8" s="85">
        <f>(10680+1853)/V8</f>
        <v>0.19183848402749079</v>
      </c>
      <c r="X8" s="85">
        <f t="shared" si="4"/>
        <v>0.69296352420749718</v>
      </c>
      <c r="Y8" s="87">
        <f>(3552+3974)/V8</f>
        <v>0.11519799176501201</v>
      </c>
      <c r="Z8" s="70"/>
      <c r="AA8" s="86">
        <v>69521</v>
      </c>
      <c r="AB8" s="85">
        <f>(13260+1753)/AA8</f>
        <v>0.2159491376706319</v>
      </c>
      <c r="AC8" s="85">
        <f t="shared" si="5"/>
        <v>0.66372750679650749</v>
      </c>
      <c r="AD8" s="87">
        <f>(3750+4615)/AA8</f>
        <v>0.12032335553286057</v>
      </c>
      <c r="AF8" s="86">
        <v>70308</v>
      </c>
      <c r="AG8" s="85">
        <f>(11742+1843)/AF8</f>
        <v>0.19322125504921203</v>
      </c>
      <c r="AH8" s="85">
        <f t="shared" si="6"/>
        <v>0.72111281788701143</v>
      </c>
      <c r="AI8" s="87">
        <f>(3432+2591)/AF8</f>
        <v>8.5665927063776529E-2</v>
      </c>
      <c r="AK8" s="86">
        <v>67656</v>
      </c>
      <c r="AL8" s="85">
        <f>(13060+1666)/AK8</f>
        <v>0.21765992668795081</v>
      </c>
      <c r="AM8" s="85">
        <f t="shared" si="7"/>
        <v>0.70008572779945599</v>
      </c>
      <c r="AN8" s="87">
        <f>(3332+2233)/AK8</f>
        <v>8.2254345512593113E-2</v>
      </c>
      <c r="AP8" s="86">
        <v>81784</v>
      </c>
      <c r="AQ8" s="85">
        <f>(13558+730+1457)/AP8</f>
        <v>0.19251931918223614</v>
      </c>
      <c r="AR8" s="85">
        <f t="shared" si="8"/>
        <v>0.72843098894649327</v>
      </c>
      <c r="AS8" s="87">
        <f>(4222+2118+125)/AP8</f>
        <v>7.9049691871270658E-2</v>
      </c>
      <c r="AU8" s="86">
        <v>87770</v>
      </c>
      <c r="AV8" s="85">
        <f>(15841+1568+2273)/AU8</f>
        <v>0.22424518628232881</v>
      </c>
      <c r="AW8" s="85">
        <f t="shared" si="9"/>
        <v>0.72324256579696933</v>
      </c>
      <c r="AX8" s="87">
        <f>(2604+1915+90)/AU8</f>
        <v>5.2512247920701832E-2</v>
      </c>
      <c r="AZ8" s="86">
        <v>94824</v>
      </c>
      <c r="BA8" s="85">
        <f>(19450+2188+2968)/AZ8</f>
        <v>0.25949126803340927</v>
      </c>
      <c r="BB8" s="85">
        <f t="shared" si="10"/>
        <v>0.68004935459377369</v>
      </c>
      <c r="BC8" s="87">
        <f>(3036+2517+180)/AZ8</f>
        <v>6.0459377372817008E-2</v>
      </c>
      <c r="BE8" s="86">
        <f>98406-15620-2421</f>
        <v>80365</v>
      </c>
      <c r="BF8" s="85">
        <f>(20062+1489+2664)/BE8</f>
        <v>0.30131276053008149</v>
      </c>
      <c r="BG8" s="85">
        <f t="shared" si="11"/>
        <v>0.63558763143159336</v>
      </c>
      <c r="BH8" s="87">
        <f>(2441+2630)/BE8</f>
        <v>6.3099608038325136E-2</v>
      </c>
      <c r="BJ8" s="86">
        <f>106596-13397-2404</f>
        <v>90795</v>
      </c>
      <c r="BK8" s="85">
        <f>(23104+1391+3137)/BJ8</f>
        <v>0.30433393909356243</v>
      </c>
      <c r="BL8" s="85">
        <f t="shared" si="12"/>
        <v>0.65303155460102424</v>
      </c>
      <c r="BM8" s="87">
        <f>(1617+2254)/BJ8</f>
        <v>4.2634506305413294E-2</v>
      </c>
      <c r="BO8" s="86">
        <f>54721+25038+2355</f>
        <v>82114</v>
      </c>
      <c r="BP8" s="85">
        <f>(23324+544+2811)/BO8</f>
        <v>0.324901965560075</v>
      </c>
      <c r="BQ8" s="85">
        <f t="shared" si="13"/>
        <v>0.6288696202839954</v>
      </c>
      <c r="BR8" s="87">
        <f>(2535+1261)/BO8</f>
        <v>4.6228414155929563E-2</v>
      </c>
      <c r="BT8" s="86">
        <f>77422-9460-6280</f>
        <v>61682</v>
      </c>
      <c r="BU8" s="85">
        <f>(16576+85+1963)/BT8</f>
        <v>0.30193573489834957</v>
      </c>
      <c r="BV8" s="85">
        <f t="shared" si="14"/>
        <v>0.65357802924678188</v>
      </c>
      <c r="BW8" s="87">
        <f>(2195+549)/BT8</f>
        <v>4.4486235854868522E-2</v>
      </c>
      <c r="BY8" s="86">
        <v>71311</v>
      </c>
      <c r="BZ8" s="85">
        <f>(17009+950+2870)/BY8</f>
        <v>0.29208677483137246</v>
      </c>
      <c r="CA8" s="85">
        <f t="shared" si="15"/>
        <v>0.68065235377431255</v>
      </c>
      <c r="CB8" s="87">
        <f>(1643+301)/BY8</f>
        <v>2.7260871394315041E-2</v>
      </c>
      <c r="CD8" s="86">
        <v>91506</v>
      </c>
      <c r="CE8" s="84">
        <v>28037</v>
      </c>
      <c r="CF8" s="85">
        <f>28037/CD8</f>
        <v>0.30639520905732959</v>
      </c>
      <c r="CG8" s="85">
        <f t="shared" si="16"/>
        <v>0.65719187812821012</v>
      </c>
      <c r="CH8" s="84">
        <v>3332</v>
      </c>
      <c r="CI8" s="87">
        <f>3332/CD8</f>
        <v>3.6412912814460255E-2</v>
      </c>
      <c r="CK8" s="86">
        <v>96351</v>
      </c>
      <c r="CL8" s="84">
        <v>31532</v>
      </c>
      <c r="CM8" s="85">
        <f>31532/CK8</f>
        <v>0.3272617824412824</v>
      </c>
      <c r="CN8" s="85">
        <f t="shared" si="17"/>
        <v>0.63363120258222538</v>
      </c>
      <c r="CO8" s="84">
        <v>3768</v>
      </c>
      <c r="CP8" s="87">
        <f>3768/CK8</f>
        <v>3.9107014976492202E-2</v>
      </c>
      <c r="CR8" s="86">
        <v>102564</v>
      </c>
      <c r="CS8" s="84">
        <v>36046</v>
      </c>
      <c r="CT8" s="85">
        <f t="shared" si="18"/>
        <v>0.35144885144885146</v>
      </c>
      <c r="CU8" s="85">
        <f t="shared" si="19"/>
        <v>0.60699660699660707</v>
      </c>
      <c r="CV8" s="84">
        <v>4262</v>
      </c>
      <c r="CW8" s="87">
        <f>4262/CR8</f>
        <v>4.1554541554541552E-2</v>
      </c>
      <c r="CY8" s="86">
        <v>112006</v>
      </c>
      <c r="CZ8" s="84">
        <v>37952</v>
      </c>
      <c r="DA8" s="85">
        <f t="shared" si="20"/>
        <v>0.33883899076835172</v>
      </c>
      <c r="DB8" s="85">
        <f t="shared" si="21"/>
        <v>0.62133278574362083</v>
      </c>
      <c r="DC8" s="84">
        <v>4461</v>
      </c>
      <c r="DD8" s="87">
        <f t="shared" si="22"/>
        <v>3.9828223488027427E-2</v>
      </c>
      <c r="DF8" s="86">
        <v>129873</v>
      </c>
      <c r="DG8" s="84">
        <v>44274</v>
      </c>
      <c r="DH8" s="88">
        <f t="shared" si="23"/>
        <v>0.34090226605992008</v>
      </c>
      <c r="DI8" s="88">
        <f t="shared" si="24"/>
        <v>0.62692784489462783</v>
      </c>
      <c r="DJ8" s="84">
        <v>4178</v>
      </c>
      <c r="DK8" s="89">
        <f t="shared" si="25"/>
        <v>3.2169889045452094E-2</v>
      </c>
      <c r="DM8" s="86">
        <v>120519</v>
      </c>
      <c r="DN8" s="84">
        <v>46671</v>
      </c>
      <c r="DO8" s="88">
        <f t="shared" si="26"/>
        <v>0.38725014313095862</v>
      </c>
      <c r="DP8" s="88">
        <f t="shared" si="27"/>
        <v>0.58555912345771199</v>
      </c>
      <c r="DQ8" s="84">
        <v>3277</v>
      </c>
      <c r="DR8" s="89">
        <f t="shared" si="28"/>
        <v>2.7190733411329333E-2</v>
      </c>
      <c r="DT8" s="86">
        <v>131800</v>
      </c>
      <c r="DU8" s="84">
        <v>48206</v>
      </c>
      <c r="DV8" s="88">
        <f t="shared" si="29"/>
        <v>0.36575113808801213</v>
      </c>
      <c r="DW8" s="88">
        <f t="shared" si="30"/>
        <v>0.60201062215478007</v>
      </c>
      <c r="DX8" s="84">
        <v>4249</v>
      </c>
      <c r="DY8" s="89">
        <f t="shared" si="31"/>
        <v>3.2238239757207889E-2</v>
      </c>
      <c r="EA8" s="86">
        <v>142869</v>
      </c>
      <c r="EB8" s="84">
        <v>49235</v>
      </c>
      <c r="EC8" s="88">
        <f t="shared" si="32"/>
        <v>0.34461639683906237</v>
      </c>
      <c r="ED8" s="88">
        <f t="shared" si="33"/>
        <v>0.62842184098719811</v>
      </c>
      <c r="EE8" s="84">
        <v>3852</v>
      </c>
      <c r="EF8" s="89">
        <f t="shared" si="34"/>
        <v>2.6961762173739579E-2</v>
      </c>
      <c r="EH8" s="86">
        <v>135146</v>
      </c>
      <c r="EI8" s="84">
        <v>48933</v>
      </c>
      <c r="EJ8" s="88">
        <f t="shared" si="35"/>
        <v>0.36207508916283132</v>
      </c>
      <c r="EK8" s="88">
        <f t="shared" si="36"/>
        <v>0.59955159605167752</v>
      </c>
      <c r="EL8" s="84">
        <v>5186</v>
      </c>
      <c r="EM8" s="89">
        <f t="shared" si="37"/>
        <v>3.8373314785491247E-2</v>
      </c>
      <c r="EO8" s="86">
        <v>122655</v>
      </c>
      <c r="EP8" s="84">
        <v>43528</v>
      </c>
      <c r="EQ8" s="88">
        <f t="shared" si="41"/>
        <v>0.35488157841099016</v>
      </c>
      <c r="ER8" s="88">
        <f t="shared" si="38"/>
        <v>0.60440259263788676</v>
      </c>
      <c r="ES8" s="84">
        <v>4994</v>
      </c>
      <c r="ET8" s="89">
        <f t="shared" si="42"/>
        <v>4.0715828951123072E-2</v>
      </c>
      <c r="EV8" s="86">
        <v>155311</v>
      </c>
      <c r="EW8" s="84">
        <v>53426</v>
      </c>
      <c r="EX8" s="88">
        <f t="shared" si="43"/>
        <v>0.34399366432512829</v>
      </c>
      <c r="EY8" s="88">
        <f t="shared" si="39"/>
        <v>0.6200719845986441</v>
      </c>
      <c r="EZ8" s="84">
        <v>5581</v>
      </c>
      <c r="FA8" s="89">
        <f t="shared" si="44"/>
        <v>3.5934351076227701E-2</v>
      </c>
      <c r="FC8" s="86">
        <v>173746</v>
      </c>
      <c r="FD8" s="84">
        <v>53599</v>
      </c>
      <c r="FE8" s="88">
        <f t="shared" si="45"/>
        <v>0.30849055517824869</v>
      </c>
      <c r="FF8" s="88">
        <f t="shared" si="40"/>
        <v>0.64532708666674343</v>
      </c>
      <c r="FG8" s="84">
        <v>8024</v>
      </c>
      <c r="FH8" s="89">
        <f t="shared" si="46"/>
        <v>4.6182358155007888E-2</v>
      </c>
    </row>
    <row r="9" spans="1:164" ht="24.9" customHeight="1" x14ac:dyDescent="0.3">
      <c r="A9" s="44" t="s">
        <v>4</v>
      </c>
      <c r="B9" s="86">
        <v>56703</v>
      </c>
      <c r="C9" s="85">
        <f>13420/B9</f>
        <v>0.23667178103451317</v>
      </c>
      <c r="D9" s="85">
        <f t="shared" si="0"/>
        <v>0.66608468687723754</v>
      </c>
      <c r="E9" s="87">
        <f>5514/B9</f>
        <v>9.7243532088249304E-2</v>
      </c>
      <c r="F9" s="46"/>
      <c r="G9" s="86">
        <v>52639</v>
      </c>
      <c r="H9" s="85">
        <f>(11404/G9)</f>
        <v>0.21664545299112825</v>
      </c>
      <c r="I9" s="85">
        <f t="shared" si="1"/>
        <v>0.69325025171450827</v>
      </c>
      <c r="J9" s="87">
        <f>4743/G9</f>
        <v>9.0104295294363493E-2</v>
      </c>
      <c r="K9" s="70"/>
      <c r="L9" s="86">
        <v>64375</v>
      </c>
      <c r="M9" s="85">
        <f>(11959/L9)</f>
        <v>0.18577087378640778</v>
      </c>
      <c r="N9" s="85">
        <f t="shared" si="2"/>
        <v>0.70757281553398055</v>
      </c>
      <c r="O9" s="87">
        <f>(3788+228+2850)/L9</f>
        <v>0.10665631067961165</v>
      </c>
      <c r="P9" s="70"/>
      <c r="Q9" s="86">
        <v>62566</v>
      </c>
      <c r="R9" s="85">
        <f>(11472/Q9)</f>
        <v>0.18335837355752327</v>
      </c>
      <c r="S9" s="85">
        <f t="shared" si="3"/>
        <v>0.70186682862896776</v>
      </c>
      <c r="T9" s="87">
        <f>(3882+3131+168)/Q9</f>
        <v>0.11477479781350894</v>
      </c>
      <c r="U9" s="70"/>
      <c r="V9" s="86">
        <v>64630</v>
      </c>
      <c r="W9" s="85">
        <f>(10263+1575)/V9</f>
        <v>0.18316571251740676</v>
      </c>
      <c r="X9" s="85">
        <f t="shared" si="4"/>
        <v>0.70419309917994743</v>
      </c>
      <c r="Y9" s="87">
        <f>(3294+3986)/V9</f>
        <v>0.11264118830264583</v>
      </c>
      <c r="Z9" s="70"/>
      <c r="AA9" s="86">
        <v>65882</v>
      </c>
      <c r="AB9" s="85">
        <f>(11935+1532)/AA9</f>
        <v>0.20441091648705262</v>
      </c>
      <c r="AC9" s="85">
        <f t="shared" si="5"/>
        <v>0.68665189277799699</v>
      </c>
      <c r="AD9" s="87">
        <f>(3671+3453+53)/AA9</f>
        <v>0.10893719073495037</v>
      </c>
      <c r="AF9" s="86">
        <v>62689</v>
      </c>
      <c r="AG9" s="85">
        <f>(11288+1438)/AF9</f>
        <v>0.20300212158432898</v>
      </c>
      <c r="AH9" s="85">
        <f t="shared" si="6"/>
        <v>0.71135286892437277</v>
      </c>
      <c r="AI9" s="87">
        <f>(3314+2055)/AF9</f>
        <v>8.5645009491298316E-2</v>
      </c>
      <c r="AK9" s="86">
        <v>66841</v>
      </c>
      <c r="AL9" s="85">
        <f>(13066+2042)/AK9</f>
        <v>0.22602893433670951</v>
      </c>
      <c r="AM9" s="85">
        <f t="shared" si="7"/>
        <v>0.70043835370506136</v>
      </c>
      <c r="AN9" s="87">
        <f>(2744+2171)/AK9</f>
        <v>7.3532711958229233E-2</v>
      </c>
      <c r="AP9" s="86">
        <v>83789</v>
      </c>
      <c r="AQ9" s="85">
        <f>(14020+637+1566)/AP9</f>
        <v>0.19361730060031745</v>
      </c>
      <c r="AR9" s="85">
        <f t="shared" si="8"/>
        <v>0.73401043096349161</v>
      </c>
      <c r="AS9" s="87">
        <f>(3510+2485+69)/AP9</f>
        <v>7.2372268436190906E-2</v>
      </c>
      <c r="AU9" s="86">
        <v>80269</v>
      </c>
      <c r="AV9" s="85">
        <f>(14299+1379+2598)/AU9</f>
        <v>0.22768441116744945</v>
      </c>
      <c r="AW9" s="85">
        <f t="shared" si="9"/>
        <v>0.71951812032042262</v>
      </c>
      <c r="AX9" s="87">
        <f>(2240+1883+115)/AU9</f>
        <v>5.2797468512127972E-2</v>
      </c>
      <c r="AZ9" s="86">
        <v>95753</v>
      </c>
      <c r="BA9" s="85">
        <f>(19631+1602+3062)/AZ9</f>
        <v>0.25372573183085645</v>
      </c>
      <c r="BB9" s="85">
        <f t="shared" si="10"/>
        <v>0.6892212254446336</v>
      </c>
      <c r="BC9" s="87">
        <f>(3442+2021)/AZ9</f>
        <v>5.7053042724509936E-2</v>
      </c>
      <c r="BE9" s="86">
        <f>94849-11011-1784</f>
        <v>82054</v>
      </c>
      <c r="BF9" s="85">
        <f>(16420+1374+2982)/BE9</f>
        <v>0.25319911277938917</v>
      </c>
      <c r="BG9" s="85">
        <f t="shared" si="11"/>
        <v>0.69933214712262659</v>
      </c>
      <c r="BH9" s="87">
        <f>(2428+1467)/BE9</f>
        <v>4.7468740097984255E-2</v>
      </c>
      <c r="BJ9" s="86">
        <f>97866-13658-1139</f>
        <v>83069</v>
      </c>
      <c r="BK9" s="85">
        <f>(21159+1265+3282)/BJ9</f>
        <v>0.30945358677725748</v>
      </c>
      <c r="BL9" s="85">
        <f t="shared" si="12"/>
        <v>0.63873406445244318</v>
      </c>
      <c r="BM9" s="87">
        <f>(2750+1554)/BJ9</f>
        <v>5.1812348770299388E-2</v>
      </c>
      <c r="BO9" s="86">
        <f>58119+26420+2279</f>
        <v>86818</v>
      </c>
      <c r="BP9" s="85">
        <f>(23550+605+3027)/BO9</f>
        <v>0.31309175516597942</v>
      </c>
      <c r="BQ9" s="85">
        <f t="shared" si="13"/>
        <v>0.64274689580501732</v>
      </c>
      <c r="BR9" s="87">
        <f>(2991+843)/BO9</f>
        <v>4.4161349029003205E-2</v>
      </c>
      <c r="BT9" s="86">
        <f>81724-9719-8837</f>
        <v>63168</v>
      </c>
      <c r="BU9" s="85">
        <f>(16547+76+2292)/BT9</f>
        <v>0.29943958966565348</v>
      </c>
      <c r="BV9" s="85">
        <f t="shared" si="14"/>
        <v>0.65501519756838911</v>
      </c>
      <c r="BW9" s="87">
        <f>(2450+427)/BT9</f>
        <v>4.5545212765957445E-2</v>
      </c>
      <c r="BY9" s="86">
        <v>64018</v>
      </c>
      <c r="BZ9" s="85">
        <f>(15555+943+2972)/BY9</f>
        <v>0.30413321253397479</v>
      </c>
      <c r="CA9" s="85">
        <f t="shared" si="15"/>
        <v>0.65353494329719763</v>
      </c>
      <c r="CB9" s="87">
        <f>(2134+576)/BY9</f>
        <v>4.2331844168827515E-2</v>
      </c>
      <c r="CD9" s="86">
        <v>92967</v>
      </c>
      <c r="CE9" s="84">
        <v>24898</v>
      </c>
      <c r="CF9" s="85">
        <f>24898/CD9</f>
        <v>0.26781546140028184</v>
      </c>
      <c r="CG9" s="85">
        <f t="shared" si="16"/>
        <v>0.68990071745888315</v>
      </c>
      <c r="CH9" s="84">
        <v>3931</v>
      </c>
      <c r="CI9" s="87">
        <f>3931/CD9</f>
        <v>4.2283821140834919E-2</v>
      </c>
      <c r="CK9" s="86">
        <v>97200</v>
      </c>
      <c r="CL9" s="84">
        <v>29823</v>
      </c>
      <c r="CM9" s="85">
        <f>29823/CK9</f>
        <v>0.30682098765432098</v>
      </c>
      <c r="CN9" s="85">
        <f t="shared" si="17"/>
        <v>0.64719135802469141</v>
      </c>
      <c r="CO9" s="84">
        <v>4470</v>
      </c>
      <c r="CP9" s="87">
        <f>4470/CK9</f>
        <v>4.5987654320987656E-2</v>
      </c>
      <c r="CR9" s="86">
        <v>102986</v>
      </c>
      <c r="CS9" s="84">
        <v>34718</v>
      </c>
      <c r="CT9" s="85">
        <f t="shared" si="18"/>
        <v>0.33711378245586776</v>
      </c>
      <c r="CU9" s="85">
        <f t="shared" si="19"/>
        <v>0.63017303322781737</v>
      </c>
      <c r="CV9" s="84">
        <v>3369</v>
      </c>
      <c r="CW9" s="87">
        <f>3369/CR9</f>
        <v>3.2713184316314842E-2</v>
      </c>
      <c r="CY9" s="86">
        <v>114875</v>
      </c>
      <c r="CZ9" s="84">
        <v>39264</v>
      </c>
      <c r="DA9" s="85">
        <f t="shared" si="20"/>
        <v>0.34179760609357995</v>
      </c>
      <c r="DB9" s="85">
        <f t="shared" si="21"/>
        <v>0.62247660500544078</v>
      </c>
      <c r="DC9" s="84">
        <v>4104</v>
      </c>
      <c r="DD9" s="87">
        <f t="shared" si="22"/>
        <v>3.5725788900979327E-2</v>
      </c>
      <c r="DF9" s="86">
        <v>120552</v>
      </c>
      <c r="DG9" s="84">
        <v>42940</v>
      </c>
      <c r="DH9" s="88">
        <f t="shared" si="23"/>
        <v>0.35619483708275268</v>
      </c>
      <c r="DI9" s="88">
        <f t="shared" si="24"/>
        <v>0.61226690556772179</v>
      </c>
      <c r="DJ9" s="84">
        <v>3802</v>
      </c>
      <c r="DK9" s="89">
        <f t="shared" si="25"/>
        <v>3.1538257349525513E-2</v>
      </c>
      <c r="DM9" s="86">
        <v>121746</v>
      </c>
      <c r="DN9" s="84">
        <v>44457</v>
      </c>
      <c r="DO9" s="88">
        <f t="shared" si="26"/>
        <v>0.36516189443595681</v>
      </c>
      <c r="DP9" s="88">
        <f t="shared" si="27"/>
        <v>0.61303862139207865</v>
      </c>
      <c r="DQ9" s="84">
        <v>2654</v>
      </c>
      <c r="DR9" s="89">
        <f t="shared" si="28"/>
        <v>2.1799484171964582E-2</v>
      </c>
      <c r="DT9" s="86">
        <v>128321</v>
      </c>
      <c r="DU9" s="84">
        <v>46367</v>
      </c>
      <c r="DV9" s="88">
        <f t="shared" si="29"/>
        <v>0.36133602450105595</v>
      </c>
      <c r="DW9" s="88">
        <f t="shared" si="30"/>
        <v>0.60944818073425233</v>
      </c>
      <c r="DX9" s="84">
        <v>3749</v>
      </c>
      <c r="DY9" s="89">
        <f t="shared" si="31"/>
        <v>2.9215794764691671E-2</v>
      </c>
      <c r="EA9" s="86">
        <v>124936</v>
      </c>
      <c r="EB9" s="84">
        <v>44111</v>
      </c>
      <c r="EC9" s="88">
        <f t="shared" si="32"/>
        <v>0.35306877121085994</v>
      </c>
      <c r="ED9" s="88">
        <f t="shared" si="33"/>
        <v>0.61516296343727983</v>
      </c>
      <c r="EE9" s="84">
        <v>3969</v>
      </c>
      <c r="EF9" s="89">
        <f t="shared" si="34"/>
        <v>3.1768265351860149E-2</v>
      </c>
      <c r="EH9" s="86">
        <v>138996</v>
      </c>
      <c r="EI9" s="84">
        <v>52052</v>
      </c>
      <c r="EJ9" s="88">
        <f t="shared" si="35"/>
        <v>0.37448559670781895</v>
      </c>
      <c r="EK9" s="88">
        <f t="shared" si="36"/>
        <v>0.59022561800339579</v>
      </c>
      <c r="EL9" s="84">
        <v>4905</v>
      </c>
      <c r="EM9" s="89">
        <f t="shared" si="37"/>
        <v>3.528878528878529E-2</v>
      </c>
      <c r="EO9" s="86">
        <v>116459</v>
      </c>
      <c r="EP9" s="84">
        <v>36122</v>
      </c>
      <c r="EQ9" s="88">
        <f t="shared" si="41"/>
        <v>0.31016924411166163</v>
      </c>
      <c r="ER9" s="88">
        <f t="shared" si="38"/>
        <v>0.65066675825827103</v>
      </c>
      <c r="ES9" s="84">
        <v>4561</v>
      </c>
      <c r="ET9" s="89">
        <f t="shared" si="42"/>
        <v>3.9163997630067234E-2</v>
      </c>
      <c r="EV9" s="86">
        <v>159688</v>
      </c>
      <c r="EW9" s="84">
        <v>56224</v>
      </c>
      <c r="EX9" s="88">
        <f t="shared" si="43"/>
        <v>0.35208656880917788</v>
      </c>
      <c r="EY9" s="88">
        <f t="shared" si="39"/>
        <v>0.61094759781574071</v>
      </c>
      <c r="EZ9" s="84">
        <v>5903</v>
      </c>
      <c r="FA9" s="89">
        <f t="shared" si="44"/>
        <v>3.6965833375081407E-2</v>
      </c>
      <c r="FC9" s="86">
        <v>180611</v>
      </c>
      <c r="FD9" s="84">
        <v>59380</v>
      </c>
      <c r="FE9" s="88">
        <f t="shared" si="45"/>
        <v>0.3287728875871348</v>
      </c>
      <c r="FF9" s="88">
        <f t="shared" si="40"/>
        <v>0.63548731804818093</v>
      </c>
      <c r="FG9" s="84">
        <v>6455</v>
      </c>
      <c r="FH9" s="89">
        <f t="shared" si="46"/>
        <v>3.5739794364684323E-2</v>
      </c>
    </row>
    <row r="10" spans="1:164" ht="24.9" customHeight="1" x14ac:dyDescent="0.3">
      <c r="A10" s="44" t="s">
        <v>5</v>
      </c>
      <c r="B10" s="86">
        <v>55244</v>
      </c>
      <c r="C10" s="85">
        <f>(11858/B10)</f>
        <v>0.2146477445514445</v>
      </c>
      <c r="D10" s="85">
        <f t="shared" si="0"/>
        <v>0.69540583592788352</v>
      </c>
      <c r="E10" s="87">
        <f>4969/B10</f>
        <v>8.9946419520671922E-2</v>
      </c>
      <c r="F10" s="46"/>
      <c r="G10" s="86">
        <v>56701</v>
      </c>
      <c r="H10" s="85">
        <f>10920/G10</f>
        <v>0.19258919595774324</v>
      </c>
      <c r="I10" s="85">
        <f t="shared" si="1"/>
        <v>0.70661893088305316</v>
      </c>
      <c r="J10" s="87">
        <f>5715/G10</f>
        <v>0.10079187315920354</v>
      </c>
      <c r="K10" s="70"/>
      <c r="L10" s="86">
        <v>65688</v>
      </c>
      <c r="M10" s="85">
        <f>(11763/L10)</f>
        <v>0.17907380343441726</v>
      </c>
      <c r="N10" s="85">
        <f t="shared" si="2"/>
        <v>0.72109061015710629</v>
      </c>
      <c r="O10" s="87">
        <f>(3327+237+2994)/L10</f>
        <v>9.9835586408476437E-2</v>
      </c>
      <c r="P10" s="70"/>
      <c r="Q10" s="86">
        <v>65858</v>
      </c>
      <c r="R10" s="85">
        <f>(10924/Q10)</f>
        <v>0.16587202769595188</v>
      </c>
      <c r="S10" s="85">
        <f t="shared" si="3"/>
        <v>0.7225090345895715</v>
      </c>
      <c r="T10" s="87">
        <f>(3735+3389+227)/Q10</f>
        <v>0.1116189377144766</v>
      </c>
      <c r="U10" s="70"/>
      <c r="V10" s="86">
        <v>64419</v>
      </c>
      <c r="W10" s="85">
        <f>(10606+1599)/V10</f>
        <v>0.18946273614927273</v>
      </c>
      <c r="X10" s="85">
        <f t="shared" si="4"/>
        <v>0.69314953662739254</v>
      </c>
      <c r="Y10" s="87">
        <f>(3391+4171)/V10</f>
        <v>0.11738772722333474</v>
      </c>
      <c r="Z10" s="70"/>
      <c r="AA10" s="86">
        <v>64321</v>
      </c>
      <c r="AB10" s="85">
        <f>(10487+1443)/AA10</f>
        <v>0.18547597207754854</v>
      </c>
      <c r="AC10" s="85">
        <f t="shared" si="5"/>
        <v>0.70188585376471146</v>
      </c>
      <c r="AD10" s="87">
        <f>(3322+3923)/AA10</f>
        <v>0.11263817415774008</v>
      </c>
      <c r="AF10" s="86">
        <v>65608</v>
      </c>
      <c r="AG10" s="85">
        <f>(11665+1363)/AF10</f>
        <v>0.19857334471405927</v>
      </c>
      <c r="AH10" s="85">
        <f t="shared" si="6"/>
        <v>0.69483904401902208</v>
      </c>
      <c r="AI10" s="87">
        <f>(3626+3367)/AF10</f>
        <v>0.10658761126691867</v>
      </c>
      <c r="AK10" s="86">
        <v>68311</v>
      </c>
      <c r="AL10" s="85">
        <f>(13168+1436)/AK10</f>
        <v>0.21378694500153708</v>
      </c>
      <c r="AM10" s="85">
        <f t="shared" si="7"/>
        <v>0.71661957810601518</v>
      </c>
      <c r="AN10" s="87">
        <f>(3057+1697)/AK10</f>
        <v>6.959347689244777E-2</v>
      </c>
      <c r="AP10" s="86">
        <v>76384</v>
      </c>
      <c r="AQ10" s="85">
        <f>(13665+495+1088)/AP10</f>
        <v>0.19962295768747382</v>
      </c>
      <c r="AR10" s="85">
        <f t="shared" si="8"/>
        <v>0.7147701089233347</v>
      </c>
      <c r="AS10" s="87">
        <f>(3434+3105)/AP10</f>
        <v>8.5606933389191453E-2</v>
      </c>
      <c r="AU10" s="86">
        <v>89337</v>
      </c>
      <c r="AV10" s="85">
        <f>(15033+1101+2417)/AU10</f>
        <v>0.20765192473443253</v>
      </c>
      <c r="AW10" s="85">
        <f t="shared" si="9"/>
        <v>0.74054423139348757</v>
      </c>
      <c r="AX10" s="87">
        <f>(2253+2375)/AU10</f>
        <v>5.1803843872079876E-2</v>
      </c>
      <c r="AZ10" s="86">
        <v>97950</v>
      </c>
      <c r="BA10" s="85">
        <f>(19653+1837+2963)/AZ10</f>
        <v>0.24964777947932618</v>
      </c>
      <c r="BB10" s="85">
        <f t="shared" si="10"/>
        <v>0.69580398162327728</v>
      </c>
      <c r="BC10" s="87">
        <f>(2615+2728)/AZ10</f>
        <v>5.4548238897396628E-2</v>
      </c>
      <c r="BE10" s="86">
        <f>99855-15255-3171</f>
        <v>81429</v>
      </c>
      <c r="BF10" s="85">
        <f>(17896+1621+3352)/BE10</f>
        <v>0.28084589028478796</v>
      </c>
      <c r="BG10" s="85">
        <f t="shared" si="11"/>
        <v>0.6614351152537794</v>
      </c>
      <c r="BH10" s="87">
        <f>(2272+2428)/BE10</f>
        <v>5.7718994461432659E-2</v>
      </c>
      <c r="BJ10" s="86">
        <f>99183-12724-1260</f>
        <v>85199</v>
      </c>
      <c r="BK10" s="85">
        <f>(22251+1386+2761)/BJ10</f>
        <v>0.30983931736287984</v>
      </c>
      <c r="BL10" s="85">
        <f t="shared" si="12"/>
        <v>0.64276576016150422</v>
      </c>
      <c r="BM10" s="87">
        <f>(1949+2089)/BJ10</f>
        <v>4.7394922475615914E-2</v>
      </c>
      <c r="BO10" s="86">
        <f>58190+24154+2512</f>
        <v>84856</v>
      </c>
      <c r="BP10" s="85">
        <f>(22602+255+3066)/BO10</f>
        <v>0.30549401338738569</v>
      </c>
      <c r="BQ10" s="85">
        <f t="shared" si="13"/>
        <v>0.64981851607429053</v>
      </c>
      <c r="BR10" s="87">
        <f>(2848+944)/BO10</f>
        <v>4.4687470538323747E-2</v>
      </c>
      <c r="BT10" s="86">
        <f>80408-10747-9301</f>
        <v>60360</v>
      </c>
      <c r="BU10" s="85">
        <f>(16109+65+1770)/BT10</f>
        <v>0.29728296885354538</v>
      </c>
      <c r="BV10" s="85">
        <f t="shared" si="14"/>
        <v>0.66421471172962221</v>
      </c>
      <c r="BW10" s="87">
        <f>(2091+233)/BT10</f>
        <v>3.850231941683234E-2</v>
      </c>
      <c r="BY10" s="86">
        <v>69853</v>
      </c>
      <c r="BZ10" s="85">
        <f>(15415+837+2636)/BY10</f>
        <v>0.27039640387671254</v>
      </c>
      <c r="CA10" s="85">
        <f t="shared" si="15"/>
        <v>0.69556067742258731</v>
      </c>
      <c r="CB10" s="87">
        <f>(1972+406)/BY10</f>
        <v>3.4042918700700038E-2</v>
      </c>
      <c r="CD10" s="86">
        <v>91640</v>
      </c>
      <c r="CE10" s="84">
        <v>27326</v>
      </c>
      <c r="CF10" s="85">
        <f>27326/CD10</f>
        <v>0.29818856394587517</v>
      </c>
      <c r="CG10" s="85">
        <f t="shared" si="16"/>
        <v>0.66307289393278035</v>
      </c>
      <c r="CH10" s="84">
        <v>3550</v>
      </c>
      <c r="CI10" s="87">
        <f>3550/CD10</f>
        <v>3.8738542121344394E-2</v>
      </c>
      <c r="CK10" s="86">
        <v>102987</v>
      </c>
      <c r="CL10" s="84">
        <v>33221</v>
      </c>
      <c r="CM10" s="85">
        <f>33221/CK10</f>
        <v>0.32257469389340404</v>
      </c>
      <c r="CN10" s="85">
        <f t="shared" si="17"/>
        <v>0.63390525017720689</v>
      </c>
      <c r="CO10" s="84">
        <v>4756</v>
      </c>
      <c r="CP10" s="87">
        <f>4482/CK10</f>
        <v>4.3520055929389144E-2</v>
      </c>
      <c r="CR10" s="86">
        <v>110920</v>
      </c>
      <c r="CS10" s="84">
        <v>39152</v>
      </c>
      <c r="CT10" s="85">
        <f t="shared" si="18"/>
        <v>0.35297511720158675</v>
      </c>
      <c r="CU10" s="85">
        <f t="shared" si="19"/>
        <v>0.61469527587450412</v>
      </c>
      <c r="CV10" s="84">
        <v>3586</v>
      </c>
      <c r="CW10" s="87">
        <f>3586/CR10</f>
        <v>3.2329606923909127E-2</v>
      </c>
      <c r="CY10" s="86">
        <v>117079</v>
      </c>
      <c r="CZ10" s="84">
        <v>41041</v>
      </c>
      <c r="DA10" s="85">
        <f t="shared" si="20"/>
        <v>0.35054108764167785</v>
      </c>
      <c r="DB10" s="85">
        <f t="shared" si="21"/>
        <v>0.61479855482195778</v>
      </c>
      <c r="DC10" s="84">
        <v>4058</v>
      </c>
      <c r="DD10" s="87">
        <f t="shared" si="22"/>
        <v>3.4660357536364338E-2</v>
      </c>
      <c r="DF10" s="86">
        <v>133411</v>
      </c>
      <c r="DG10" s="84">
        <v>42082</v>
      </c>
      <c r="DH10" s="88">
        <f t="shared" si="23"/>
        <v>0.31543126129029841</v>
      </c>
      <c r="DI10" s="88">
        <f t="shared" si="24"/>
        <v>0.65553065339439776</v>
      </c>
      <c r="DJ10" s="84">
        <v>3874</v>
      </c>
      <c r="DK10" s="89">
        <f t="shared" si="25"/>
        <v>2.9038085315303837E-2</v>
      </c>
      <c r="DM10" s="86">
        <v>124753</v>
      </c>
      <c r="DN10" s="84">
        <v>45583</v>
      </c>
      <c r="DO10" s="88">
        <f t="shared" si="26"/>
        <v>0.36538600274141703</v>
      </c>
      <c r="DP10" s="88">
        <f t="shared" si="27"/>
        <v>0.61266662925941662</v>
      </c>
      <c r="DQ10" s="84">
        <v>2738</v>
      </c>
      <c r="DR10" s="89">
        <f t="shared" si="28"/>
        <v>2.1947367999166353E-2</v>
      </c>
      <c r="DT10" s="86">
        <v>141218</v>
      </c>
      <c r="DU10" s="84">
        <v>46840</v>
      </c>
      <c r="DV10" s="88">
        <f t="shared" si="29"/>
        <v>0.33168576243821607</v>
      </c>
      <c r="DW10" s="88">
        <f t="shared" si="30"/>
        <v>0.63939441147729037</v>
      </c>
      <c r="DX10" s="84">
        <v>4084</v>
      </c>
      <c r="DY10" s="89">
        <f t="shared" si="31"/>
        <v>2.8919826084493477E-2</v>
      </c>
      <c r="EA10" s="86">
        <v>134803</v>
      </c>
      <c r="EB10" s="84">
        <v>47678</v>
      </c>
      <c r="EC10" s="88">
        <f t="shared" si="32"/>
        <v>0.35368649065673613</v>
      </c>
      <c r="ED10" s="88">
        <f t="shared" si="33"/>
        <v>0.6150085680585744</v>
      </c>
      <c r="EE10" s="84">
        <v>4220</v>
      </c>
      <c r="EF10" s="89">
        <f t="shared" si="34"/>
        <v>3.1304941284689511E-2</v>
      </c>
      <c r="EH10" s="86">
        <v>146018</v>
      </c>
      <c r="EI10" s="84">
        <v>50917</v>
      </c>
      <c r="EJ10" s="88">
        <f t="shared" si="35"/>
        <v>0.3487035844895835</v>
      </c>
      <c r="EK10" s="88">
        <f t="shared" si="36"/>
        <v>0.62088235696968863</v>
      </c>
      <c r="EL10" s="84">
        <v>4441</v>
      </c>
      <c r="EM10" s="89">
        <f t="shared" si="37"/>
        <v>3.0414058540727856E-2</v>
      </c>
      <c r="EO10" s="86">
        <v>112913</v>
      </c>
      <c r="EP10" s="84">
        <v>37205</v>
      </c>
      <c r="EQ10" s="88">
        <f t="shared" si="41"/>
        <v>0.32950147458662865</v>
      </c>
      <c r="ER10" s="88">
        <f t="shared" si="38"/>
        <v>0.62983890251786767</v>
      </c>
      <c r="ES10" s="84">
        <v>4591</v>
      </c>
      <c r="ET10" s="89">
        <f t="shared" si="42"/>
        <v>4.0659622895503615E-2</v>
      </c>
      <c r="EV10" s="86">
        <v>176081</v>
      </c>
      <c r="EW10" s="84">
        <v>62203</v>
      </c>
      <c r="EX10" s="88">
        <f t="shared" si="43"/>
        <v>0.35326355484123784</v>
      </c>
      <c r="EY10" s="88">
        <f t="shared" si="39"/>
        <v>0.61078708094570111</v>
      </c>
      <c r="EZ10" s="84">
        <v>6330</v>
      </c>
      <c r="FA10" s="89">
        <f t="shared" si="44"/>
        <v>3.5949364213061032E-2</v>
      </c>
      <c r="FC10" s="86">
        <v>189761</v>
      </c>
      <c r="FD10" s="84">
        <v>60001</v>
      </c>
      <c r="FE10" s="88">
        <f t="shared" si="45"/>
        <v>0.31619247369058973</v>
      </c>
      <c r="FF10" s="88">
        <f t="shared" si="40"/>
        <v>0.63916189311818561</v>
      </c>
      <c r="FG10" s="84">
        <v>8472</v>
      </c>
      <c r="FH10" s="89">
        <f t="shared" si="46"/>
        <v>4.4645633191224748E-2</v>
      </c>
    </row>
    <row r="11" spans="1:164" ht="24.9" customHeight="1" x14ac:dyDescent="0.3">
      <c r="A11" s="44" t="s">
        <v>6</v>
      </c>
      <c r="B11" s="86">
        <v>52667</v>
      </c>
      <c r="C11" s="85">
        <f>(10904/B11)</f>
        <v>0.20703666432490933</v>
      </c>
      <c r="D11" s="85">
        <f t="shared" si="0"/>
        <v>0.70495756355972428</v>
      </c>
      <c r="E11" s="87">
        <f>4635/B11</f>
        <v>8.8005772115366365E-2</v>
      </c>
      <c r="F11" s="46"/>
      <c r="G11" s="86">
        <v>52589</v>
      </c>
      <c r="H11" s="85">
        <f>10788/G11</f>
        <v>0.20513795660689499</v>
      </c>
      <c r="I11" s="85">
        <f t="shared" si="1"/>
        <v>0.68381220407309518</v>
      </c>
      <c r="J11" s="87">
        <f>5840/G11</f>
        <v>0.11104983932000989</v>
      </c>
      <c r="K11" s="70"/>
      <c r="L11" s="86">
        <v>60764</v>
      </c>
      <c r="M11" s="85">
        <f>(11705/L11)</f>
        <v>0.1926305049042196</v>
      </c>
      <c r="N11" s="85">
        <f t="shared" si="2"/>
        <v>0.70594430913040618</v>
      </c>
      <c r="O11" s="87">
        <f>(6163/L11)</f>
        <v>0.10142518596537424</v>
      </c>
      <c r="P11" s="70"/>
      <c r="Q11" s="86">
        <v>61347</v>
      </c>
      <c r="R11" s="85">
        <f>(10467/Q11)</f>
        <v>0.17061959020000977</v>
      </c>
      <c r="S11" s="85">
        <f t="shared" si="3"/>
        <v>0.7133193147179161</v>
      </c>
      <c r="T11" s="87">
        <f>(3971+3045+104)/Q11</f>
        <v>0.1160610950820741</v>
      </c>
      <c r="U11" s="70"/>
      <c r="V11" s="86">
        <v>62728</v>
      </c>
      <c r="W11" s="85">
        <f>(9847+1683)/V11</f>
        <v>0.18380946307868895</v>
      </c>
      <c r="X11" s="85">
        <f t="shared" si="4"/>
        <v>0.70172809590613439</v>
      </c>
      <c r="Y11" s="87">
        <f>(3473+3642+65)/V11</f>
        <v>0.11446244101517664</v>
      </c>
      <c r="Z11" s="70"/>
      <c r="AA11" s="86">
        <v>63561</v>
      </c>
      <c r="AB11" s="85">
        <f>(13054+1481)/AA11</f>
        <v>0.22867796290177939</v>
      </c>
      <c r="AC11" s="85">
        <f t="shared" si="5"/>
        <v>0.64733091046396374</v>
      </c>
      <c r="AD11" s="87">
        <f>(3674+4207)/AA11</f>
        <v>0.12399112663425686</v>
      </c>
      <c r="AF11" s="86">
        <v>61924</v>
      </c>
      <c r="AG11" s="85">
        <f>(11154+1269)/AF11</f>
        <v>0.20061688521413346</v>
      </c>
      <c r="AH11" s="85">
        <f t="shared" si="6"/>
        <v>0.69388282410696989</v>
      </c>
      <c r="AI11" s="87">
        <f>(3375+3158)/AF11</f>
        <v>0.10550029067889671</v>
      </c>
      <c r="AK11" s="86">
        <v>65597</v>
      </c>
      <c r="AL11" s="85">
        <f>+(12317+1008)/AK11</f>
        <v>0.20313428967788161</v>
      </c>
      <c r="AM11" s="85">
        <f t="shared" si="7"/>
        <v>0.7220452154824154</v>
      </c>
      <c r="AN11" s="87">
        <f>+(3188+1720)/AK11</f>
        <v>7.4820494839703031E-2</v>
      </c>
      <c r="AP11" s="86">
        <v>79627</v>
      </c>
      <c r="AQ11" s="85">
        <f>(13702+710+880)/AP11</f>
        <v>0.19204541173220138</v>
      </c>
      <c r="AR11" s="85">
        <f t="shared" si="8"/>
        <v>0.72810730028759096</v>
      </c>
      <c r="AS11" s="87">
        <f>(3054+3187+117)/AP11</f>
        <v>7.9847287980207723E-2</v>
      </c>
      <c r="AU11" s="86">
        <v>86378</v>
      </c>
      <c r="AV11" s="85">
        <f>(16049+1208+2629)/AU11</f>
        <v>0.23022065803792632</v>
      </c>
      <c r="AW11" s="85">
        <f t="shared" si="9"/>
        <v>0.71070179906920738</v>
      </c>
      <c r="AX11" s="87">
        <f>(2796+2242+65)/AU11</f>
        <v>5.9077542892866236E-2</v>
      </c>
      <c r="AZ11" s="86">
        <v>91674</v>
      </c>
      <c r="BA11" s="85">
        <f>(18599+1171+3249)/AZ11</f>
        <v>0.2510962759342889</v>
      </c>
      <c r="BB11" s="85">
        <f t="shared" si="10"/>
        <v>0.68402164190501114</v>
      </c>
      <c r="BC11" s="87">
        <f>(2640+3308)/AZ11</f>
        <v>6.4882082160699878E-2</v>
      </c>
      <c r="BE11" s="86">
        <f>96947-14622-3854</f>
        <v>78471</v>
      </c>
      <c r="BF11" s="85">
        <f>(9154+9655+2969)/BE11</f>
        <v>0.27752927833212271</v>
      </c>
      <c r="BG11" s="85">
        <f t="shared" si="11"/>
        <v>0.65197334046972766</v>
      </c>
      <c r="BH11" s="87">
        <f>(2965+2567)/BE11</f>
        <v>7.0497381198149633E-2</v>
      </c>
      <c r="BJ11" s="86">
        <f>95876-11872-832</f>
        <v>83172</v>
      </c>
      <c r="BK11" s="85">
        <f>(23208+1240+2428)/BJ11</f>
        <v>0.32313759438272494</v>
      </c>
      <c r="BL11" s="85">
        <f t="shared" si="12"/>
        <v>0.63595921704419756</v>
      </c>
      <c r="BM11" s="87">
        <f>(1851+1551)/BJ11</f>
        <v>4.0903188573077481E-2</v>
      </c>
      <c r="BO11" s="86">
        <f>93561-14416-2626</f>
        <v>76519</v>
      </c>
      <c r="BP11" s="85">
        <f>(20894+195+2878)/BO11</f>
        <v>0.31321632535710087</v>
      </c>
      <c r="BQ11" s="85">
        <f t="shared" si="13"/>
        <v>0.63616879467844589</v>
      </c>
      <c r="BR11" s="87">
        <f>(2887+986)/BO11</f>
        <v>5.0614879964453276E-2</v>
      </c>
      <c r="BT11" s="86">
        <f>79844-11008-7300</f>
        <v>61536</v>
      </c>
      <c r="BU11" s="85">
        <f>(15954+575+1828)/BT11</f>
        <v>0.2983131825273011</v>
      </c>
      <c r="BV11" s="85">
        <f t="shared" si="14"/>
        <v>0.66403406136245446</v>
      </c>
      <c r="BW11" s="87">
        <f>(2123+194)/BT11</f>
        <v>3.7652756110244406E-2</v>
      </c>
      <c r="BY11" s="86">
        <v>70927</v>
      </c>
      <c r="BZ11" s="85">
        <f>(15700+1931+3250)/BY11</f>
        <v>0.29440128582909186</v>
      </c>
      <c r="CA11" s="85">
        <f t="shared" si="15"/>
        <v>0.66925148392008682</v>
      </c>
      <c r="CB11" s="87">
        <f>(2406+172)/BY11</f>
        <v>3.6347230250821268E-2</v>
      </c>
      <c r="CD11" s="86">
        <v>88007</v>
      </c>
      <c r="CE11" s="84">
        <v>28309</v>
      </c>
      <c r="CF11" s="85">
        <f>28309/CD11</f>
        <v>0.32166759462315497</v>
      </c>
      <c r="CG11" s="85">
        <f t="shared" si="16"/>
        <v>0.63869919438226508</v>
      </c>
      <c r="CH11" s="84">
        <v>3488</v>
      </c>
      <c r="CI11" s="87">
        <f>3488/CD11</f>
        <v>3.9633210994579976E-2</v>
      </c>
      <c r="CK11" s="86">
        <v>97346</v>
      </c>
      <c r="CL11" s="84">
        <v>30954</v>
      </c>
      <c r="CM11" s="85">
        <f>30954/CK11</f>
        <v>0.31797916709469315</v>
      </c>
      <c r="CN11" s="85">
        <f t="shared" si="17"/>
        <v>0.6331641772646025</v>
      </c>
      <c r="CO11" s="84">
        <v>4482</v>
      </c>
      <c r="CP11" s="87">
        <f>4756/CK11</f>
        <v>4.8856655640704294E-2</v>
      </c>
      <c r="CR11" s="86">
        <v>101391</v>
      </c>
      <c r="CS11" s="84">
        <v>33302</v>
      </c>
      <c r="CT11" s="85">
        <f t="shared" si="18"/>
        <v>0.32845124320699076</v>
      </c>
      <c r="CU11" s="85">
        <f t="shared" si="19"/>
        <v>0.63071673028178032</v>
      </c>
      <c r="CV11" s="84">
        <v>4140</v>
      </c>
      <c r="CW11" s="87">
        <f t="shared" ref="CW11:CW17" si="47">CV11/CR11</f>
        <v>4.083202651122881E-2</v>
      </c>
      <c r="CY11" s="86">
        <v>107280</v>
      </c>
      <c r="CZ11" s="84">
        <v>37225</v>
      </c>
      <c r="DA11" s="85">
        <f t="shared" si="20"/>
        <v>0.34698918717375093</v>
      </c>
      <c r="DB11" s="85">
        <f t="shared" si="21"/>
        <v>0.60676733780760628</v>
      </c>
      <c r="DC11" s="84">
        <v>4961</v>
      </c>
      <c r="DD11" s="87">
        <f t="shared" si="22"/>
        <v>4.6243475018642802E-2</v>
      </c>
      <c r="DF11" s="86">
        <v>122919</v>
      </c>
      <c r="DG11" s="84">
        <v>39965</v>
      </c>
      <c r="DH11" s="88">
        <f t="shared" si="23"/>
        <v>0.32513281103816333</v>
      </c>
      <c r="DI11" s="88">
        <f t="shared" si="24"/>
        <v>0.63792416143964736</v>
      </c>
      <c r="DJ11" s="84">
        <v>4541</v>
      </c>
      <c r="DK11" s="89">
        <f t="shared" si="25"/>
        <v>3.6943027522189406E-2</v>
      </c>
      <c r="DM11" s="86">
        <v>123974</v>
      </c>
      <c r="DN11" s="84">
        <v>45115</v>
      </c>
      <c r="DO11" s="88">
        <f t="shared" si="26"/>
        <v>0.36390694823108072</v>
      </c>
      <c r="DP11" s="88">
        <f t="shared" si="27"/>
        <v>0.61057157145853158</v>
      </c>
      <c r="DQ11" s="84">
        <v>3164</v>
      </c>
      <c r="DR11" s="89">
        <f t="shared" si="28"/>
        <v>2.5521480310387663E-2</v>
      </c>
      <c r="DT11" s="86">
        <v>132764</v>
      </c>
      <c r="DU11" s="84">
        <v>48173</v>
      </c>
      <c r="DV11" s="88">
        <f t="shared" si="29"/>
        <v>0.36284685607544215</v>
      </c>
      <c r="DW11" s="88">
        <f t="shared" si="30"/>
        <v>0.60941972221385321</v>
      </c>
      <c r="DX11" s="84">
        <v>3682</v>
      </c>
      <c r="DY11" s="89">
        <f t="shared" si="31"/>
        <v>2.7733421710704708E-2</v>
      </c>
      <c r="EA11" s="86">
        <v>127266</v>
      </c>
      <c r="EB11" s="84">
        <v>41054</v>
      </c>
      <c r="EC11" s="88">
        <f t="shared" si="32"/>
        <v>0.32258419373595459</v>
      </c>
      <c r="ED11" s="88">
        <f t="shared" si="33"/>
        <v>0.64346329734571683</v>
      </c>
      <c r="EE11" s="84">
        <v>4321</v>
      </c>
      <c r="EF11" s="89">
        <f t="shared" si="34"/>
        <v>3.3952508918328538E-2</v>
      </c>
      <c r="EH11" s="86">
        <v>134371</v>
      </c>
      <c r="EI11" s="84">
        <v>42828</v>
      </c>
      <c r="EJ11" s="88">
        <f t="shared" si="35"/>
        <v>0.31872948776149618</v>
      </c>
      <c r="EK11" s="88">
        <f t="shared" si="36"/>
        <v>0.64792254281057671</v>
      </c>
      <c r="EL11" s="84">
        <v>4481</v>
      </c>
      <c r="EM11" s="89">
        <f t="shared" si="37"/>
        <v>3.3347969427927157E-2</v>
      </c>
      <c r="EO11" s="86">
        <v>117525</v>
      </c>
      <c r="EP11" s="84">
        <v>39023</v>
      </c>
      <c r="EQ11" s="88">
        <f t="shared" si="41"/>
        <v>0.33203999149117208</v>
      </c>
      <c r="ER11" s="88">
        <f t="shared" si="38"/>
        <v>0.63007870665815791</v>
      </c>
      <c r="ES11" s="84">
        <v>4452</v>
      </c>
      <c r="ET11" s="89">
        <f t="shared" si="42"/>
        <v>3.7881301850670068E-2</v>
      </c>
      <c r="EV11" s="86">
        <v>156857</v>
      </c>
      <c r="EW11" s="84">
        <v>51442</v>
      </c>
      <c r="EX11" s="88">
        <f t="shared" si="43"/>
        <v>0.32795476134313417</v>
      </c>
      <c r="EY11" s="88">
        <f t="shared" si="39"/>
        <v>0.62989857003512761</v>
      </c>
      <c r="EZ11" s="84">
        <v>6611</v>
      </c>
      <c r="FA11" s="89">
        <f t="shared" si="44"/>
        <v>4.214666862173827E-2</v>
      </c>
      <c r="FC11" s="86">
        <v>175600</v>
      </c>
      <c r="FD11" s="84">
        <v>56626</v>
      </c>
      <c r="FE11" s="88">
        <f t="shared" si="45"/>
        <v>0.32247152619589975</v>
      </c>
      <c r="FF11" s="88">
        <f t="shared" si="40"/>
        <v>0.62608769931662878</v>
      </c>
      <c r="FG11" s="84">
        <v>9033</v>
      </c>
      <c r="FH11" s="89">
        <f t="shared" si="46"/>
        <v>5.1440774487471523E-2</v>
      </c>
    </row>
    <row r="12" spans="1:164" ht="24.9" customHeight="1" x14ac:dyDescent="0.3">
      <c r="A12" s="44" t="s">
        <v>7</v>
      </c>
      <c r="B12" s="86">
        <v>50562</v>
      </c>
      <c r="C12" s="85">
        <f>(10755/B12)</f>
        <v>0.21270914916340333</v>
      </c>
      <c r="D12" s="85">
        <f t="shared" si="0"/>
        <v>0.69063723745105021</v>
      </c>
      <c r="E12" s="87">
        <f>4887/B12</f>
        <v>9.6653613385546455E-2</v>
      </c>
      <c r="F12" s="46"/>
      <c r="G12" s="86">
        <v>49989</v>
      </c>
      <c r="H12" s="85">
        <f>10796/G12</f>
        <v>0.21596751285282761</v>
      </c>
      <c r="I12" s="85">
        <f t="shared" si="1"/>
        <v>0.67336814099101805</v>
      </c>
      <c r="J12" s="87">
        <f>5532/G12</f>
        <v>0.11066434615615435</v>
      </c>
      <c r="K12" s="70"/>
      <c r="L12" s="86">
        <v>59907</v>
      </c>
      <c r="M12" s="85">
        <f>(12344/L12)</f>
        <v>0.20605271504164788</v>
      </c>
      <c r="N12" s="85">
        <f t="shared" si="2"/>
        <v>0.68803311799956601</v>
      </c>
      <c r="O12" s="87">
        <f>(6345/L12)</f>
        <v>0.10591416695878612</v>
      </c>
      <c r="P12" s="70"/>
      <c r="Q12" s="86">
        <v>62196</v>
      </c>
      <c r="R12" s="85">
        <f>(10534/Q12)</f>
        <v>0.16936780500353721</v>
      </c>
      <c r="S12" s="85">
        <f t="shared" si="3"/>
        <v>0.70938645572062509</v>
      </c>
      <c r="T12" s="87">
        <f>(4505+3036)/Q12</f>
        <v>0.12124573927583768</v>
      </c>
      <c r="U12" s="70"/>
      <c r="V12" s="86">
        <v>66695</v>
      </c>
      <c r="W12" s="85">
        <f>(10043+1360)/V12</f>
        <v>0.17097233675687834</v>
      </c>
      <c r="X12" s="85">
        <f t="shared" si="4"/>
        <v>0.72084863932828558</v>
      </c>
      <c r="Y12" s="87">
        <f>(3415+3800)/V12</f>
        <v>0.10817902391483619</v>
      </c>
      <c r="Z12" s="70"/>
      <c r="AA12" s="86">
        <v>72001</v>
      </c>
      <c r="AB12" s="85">
        <f>(12057+1301)/AA12</f>
        <v>0.18552520103887446</v>
      </c>
      <c r="AC12" s="85">
        <f t="shared" si="5"/>
        <v>0.69478201691643171</v>
      </c>
      <c r="AD12" s="87">
        <f>(3981+4637)/AA12</f>
        <v>0.11969278204469383</v>
      </c>
      <c r="AF12" s="86">
        <v>63357</v>
      </c>
      <c r="AG12" s="85">
        <f>(11605+1298)/AF12</f>
        <v>0.20365547611155832</v>
      </c>
      <c r="AH12" s="85">
        <f t="shared" si="6"/>
        <v>0.68341304039016992</v>
      </c>
      <c r="AI12" s="87">
        <f>(3623+3532)/AF12</f>
        <v>0.1129314834982717</v>
      </c>
      <c r="AK12" s="86">
        <v>72756</v>
      </c>
      <c r="AL12" s="85">
        <f>+(13881+1053)/AK12</f>
        <v>0.20526142173841333</v>
      </c>
      <c r="AM12" s="85">
        <f t="shared" si="7"/>
        <v>0.72920446423662655</v>
      </c>
      <c r="AN12" s="87">
        <f>+(2941+1827)/AK12</f>
        <v>6.5534114024960136E-2</v>
      </c>
      <c r="AP12" s="86">
        <v>81402</v>
      </c>
      <c r="AQ12" s="85">
        <f>(13620+669+998)/AP12</f>
        <v>0.18779636863959118</v>
      </c>
      <c r="AR12" s="85">
        <f t="shared" si="8"/>
        <v>0.73742659885506501</v>
      </c>
      <c r="AS12" s="87">
        <f>(2897+3190)/AP12</f>
        <v>7.4777032505343843E-2</v>
      </c>
      <c r="AU12" s="86">
        <v>87771</v>
      </c>
      <c r="AV12" s="85">
        <f>(15542+1176+2141)/AU12</f>
        <v>0.21486595800435224</v>
      </c>
      <c r="AW12" s="85">
        <f t="shared" si="9"/>
        <v>0.71234234542160846</v>
      </c>
      <c r="AX12" s="87">
        <f>(3464+2925)/AU12</f>
        <v>7.2791696574039264E-2</v>
      </c>
      <c r="AZ12" s="86">
        <v>96286</v>
      </c>
      <c r="BA12" s="85">
        <f>(19098+957+3058)/AZ12</f>
        <v>0.24004528176474255</v>
      </c>
      <c r="BB12" s="85">
        <f t="shared" si="10"/>
        <v>0.69373533016222511</v>
      </c>
      <c r="BC12" s="87">
        <f>(3234+3142)/AZ12</f>
        <v>6.6219388073032417E-2</v>
      </c>
      <c r="BE12" s="86">
        <f>92962-14916-2514</f>
        <v>75532</v>
      </c>
      <c r="BF12" s="85">
        <f>(17092+1306+2533)/BE12</f>
        <v>0.277114335645819</v>
      </c>
      <c r="BG12" s="85">
        <f t="shared" si="11"/>
        <v>0.65462320605835933</v>
      </c>
      <c r="BH12" s="87">
        <f>(2190+2966)/BE12</f>
        <v>6.8262458295821643E-2</v>
      </c>
      <c r="BJ12" s="86">
        <f>99822-11767-1181</f>
        <v>86874</v>
      </c>
      <c r="BK12" s="85">
        <f>(23997+1511+3576)/BJ12</f>
        <v>0.33478370974054378</v>
      </c>
      <c r="BL12" s="85">
        <f t="shared" si="12"/>
        <v>0.64113543753021618</v>
      </c>
      <c r="BM12" s="87">
        <f>(286+1806)/BJ12</f>
        <v>2.408085272924005E-2</v>
      </c>
      <c r="BO12" s="86">
        <f>100001-11452-9126</f>
        <v>79423</v>
      </c>
      <c r="BP12" s="85">
        <f>(22192+174+2229)/BO12</f>
        <v>0.30967100210266546</v>
      </c>
      <c r="BQ12" s="85">
        <f t="shared" si="13"/>
        <v>0.6304345088954082</v>
      </c>
      <c r="BR12" s="87">
        <f>(4065+692)/BO12</f>
        <v>5.9894489001926392E-2</v>
      </c>
      <c r="BT12" s="86">
        <f>81041-7886-11199</f>
        <v>61956</v>
      </c>
      <c r="BU12" s="85">
        <f>(17054+673+2060)/BT12</f>
        <v>0.31937181225385758</v>
      </c>
      <c r="BV12" s="85">
        <f t="shared" si="14"/>
        <v>0.6382916908773969</v>
      </c>
      <c r="BW12" s="87">
        <f>(2282+341)/BT12</f>
        <v>4.2336496868745563E-2</v>
      </c>
      <c r="BY12" s="86">
        <f>65483+23092</f>
        <v>88575</v>
      </c>
      <c r="BZ12" s="85">
        <f>(17083+971+2366+2210)/BY12</f>
        <v>0.25548969799604854</v>
      </c>
      <c r="CA12" s="85">
        <f t="shared" si="15"/>
        <v>0.69394298616991246</v>
      </c>
      <c r="CB12" s="87">
        <f>(2401+296+1+1781)/BY12</f>
        <v>5.0567315834038951E-2</v>
      </c>
      <c r="CD12" s="86">
        <v>96557</v>
      </c>
      <c r="CE12" s="84">
        <v>26882</v>
      </c>
      <c r="CF12" s="85">
        <f>26882/CD12</f>
        <v>0.27840550141367276</v>
      </c>
      <c r="CG12" s="85">
        <f t="shared" si="16"/>
        <v>0.68123491823482496</v>
      </c>
      <c r="CH12" s="84">
        <v>3897</v>
      </c>
      <c r="CI12" s="87">
        <f>3897/CD12</f>
        <v>4.0359580351502222E-2</v>
      </c>
      <c r="CK12" s="86">
        <v>104430</v>
      </c>
      <c r="CL12" s="84">
        <v>32941</v>
      </c>
      <c r="CM12" s="85">
        <f>32941/CK12</f>
        <v>0.31543617734367518</v>
      </c>
      <c r="CN12" s="85">
        <f t="shared" si="17"/>
        <v>0.63704874078329987</v>
      </c>
      <c r="CO12" s="84">
        <v>4962</v>
      </c>
      <c r="CP12" s="87">
        <f>4962/CK12</f>
        <v>4.7515081873024993E-2</v>
      </c>
      <c r="CR12" s="86">
        <v>117769</v>
      </c>
      <c r="CS12" s="84">
        <v>37985</v>
      </c>
      <c r="CT12" s="85">
        <f t="shared" si="18"/>
        <v>0.3225381891669285</v>
      </c>
      <c r="CU12" s="85">
        <f t="shared" si="19"/>
        <v>0.64134874202888703</v>
      </c>
      <c r="CV12" s="84">
        <f>3634+619</f>
        <v>4253</v>
      </c>
      <c r="CW12" s="87">
        <f t="shared" si="47"/>
        <v>3.611306880418446E-2</v>
      </c>
      <c r="CY12" s="86">
        <v>119841</v>
      </c>
      <c r="CZ12" s="84">
        <v>37807</v>
      </c>
      <c r="DA12" s="85">
        <f t="shared" si="20"/>
        <v>0.31547633948314852</v>
      </c>
      <c r="DB12" s="85">
        <f t="shared" si="21"/>
        <v>0.64457906726412495</v>
      </c>
      <c r="DC12" s="84">
        <v>4787</v>
      </c>
      <c r="DD12" s="87">
        <f t="shared" si="22"/>
        <v>3.9944593252726528E-2</v>
      </c>
      <c r="DF12" s="86">
        <v>130146</v>
      </c>
      <c r="DG12" s="84">
        <v>43491</v>
      </c>
      <c r="DH12" s="88">
        <f t="shared" si="23"/>
        <v>0.33417085427135679</v>
      </c>
      <c r="DI12" s="88">
        <f t="shared" si="24"/>
        <v>0.63075315414995459</v>
      </c>
      <c r="DJ12" s="84">
        <v>4565</v>
      </c>
      <c r="DK12" s="89">
        <f t="shared" si="25"/>
        <v>3.5075991578688549E-2</v>
      </c>
      <c r="DM12" s="86">
        <v>124067</v>
      </c>
      <c r="DN12" s="84">
        <v>44684</v>
      </c>
      <c r="DO12" s="88">
        <f t="shared" si="26"/>
        <v>0.36016023600151531</v>
      </c>
      <c r="DP12" s="88">
        <f t="shared" si="27"/>
        <v>0.60934817477653214</v>
      </c>
      <c r="DQ12" s="84">
        <v>3783</v>
      </c>
      <c r="DR12" s="89">
        <f t="shared" si="28"/>
        <v>3.0491589221952654E-2</v>
      </c>
      <c r="DT12" s="86">
        <v>134104</v>
      </c>
      <c r="DU12" s="84">
        <v>44598</v>
      </c>
      <c r="DV12" s="88">
        <f t="shared" si="29"/>
        <v>0.33256278709061626</v>
      </c>
      <c r="DW12" s="88">
        <f t="shared" si="30"/>
        <v>0.63713237487323271</v>
      </c>
      <c r="DX12" s="84">
        <v>4064</v>
      </c>
      <c r="DY12" s="89">
        <f t="shared" si="31"/>
        <v>3.0304838036151048E-2</v>
      </c>
      <c r="EA12" s="86">
        <v>143531</v>
      </c>
      <c r="EB12" s="84">
        <v>48353</v>
      </c>
      <c r="EC12" s="88">
        <f t="shared" si="32"/>
        <v>0.33688192794587929</v>
      </c>
      <c r="ED12" s="88">
        <f t="shared" si="33"/>
        <v>0.62715371592199598</v>
      </c>
      <c r="EE12" s="84">
        <v>5162</v>
      </c>
      <c r="EF12" s="89">
        <f t="shared" si="34"/>
        <v>3.5964356132124765E-2</v>
      </c>
      <c r="EH12" s="86">
        <v>149163</v>
      </c>
      <c r="EI12" s="84">
        <v>49046</v>
      </c>
      <c r="EJ12" s="88">
        <f t="shared" si="35"/>
        <v>0.32880808243331122</v>
      </c>
      <c r="EK12" s="88">
        <f t="shared" si="36"/>
        <v>0.6309674651220476</v>
      </c>
      <c r="EL12" s="84">
        <v>6000</v>
      </c>
      <c r="EM12" s="89">
        <f t="shared" si="37"/>
        <v>4.0224452444641096E-2</v>
      </c>
      <c r="EO12" s="86">
        <v>122446</v>
      </c>
      <c r="EP12" s="84">
        <v>39680</v>
      </c>
      <c r="EQ12" s="88">
        <f t="shared" si="41"/>
        <v>0.32406121882299138</v>
      </c>
      <c r="ER12" s="88">
        <f t="shared" si="38"/>
        <v>0.63456544109239987</v>
      </c>
      <c r="ES12" s="84">
        <v>5066</v>
      </c>
      <c r="ET12" s="89">
        <f t="shared" si="42"/>
        <v>4.1373340084608724E-2</v>
      </c>
      <c r="EV12" s="86">
        <v>164227</v>
      </c>
      <c r="EW12" s="84">
        <v>57652</v>
      </c>
      <c r="EX12" s="88">
        <f t="shared" si="43"/>
        <v>0.35105067985166871</v>
      </c>
      <c r="EY12" s="88">
        <f t="shared" si="39"/>
        <v>0.60873059850085554</v>
      </c>
      <c r="EZ12" s="84">
        <v>6605</v>
      </c>
      <c r="FA12" s="89">
        <f t="shared" si="44"/>
        <v>4.0218721647475753E-2</v>
      </c>
      <c r="FC12" s="86">
        <v>176441</v>
      </c>
      <c r="FD12" s="84">
        <v>59143</v>
      </c>
      <c r="FE12" s="88">
        <f t="shared" si="45"/>
        <v>0.33519986851128708</v>
      </c>
      <c r="FF12" s="88">
        <f t="shared" si="40"/>
        <v>0.61260704711489955</v>
      </c>
      <c r="FG12" s="84">
        <v>9209</v>
      </c>
      <c r="FH12" s="89">
        <f t="shared" si="46"/>
        <v>5.2193084373813342E-2</v>
      </c>
    </row>
    <row r="13" spans="1:164" ht="24.9" customHeight="1" x14ac:dyDescent="0.3">
      <c r="A13" s="44" t="s">
        <v>8</v>
      </c>
      <c r="B13" s="86">
        <v>49578</v>
      </c>
      <c r="C13" s="85">
        <f>(10055/B13)</f>
        <v>0.20281173100972205</v>
      </c>
      <c r="D13" s="85">
        <f t="shared" si="0"/>
        <v>0.69877768365000603</v>
      </c>
      <c r="E13" s="87">
        <f>4879/B13</f>
        <v>9.8410585340271889E-2</v>
      </c>
      <c r="F13" s="46"/>
      <c r="G13" s="86">
        <v>59918</v>
      </c>
      <c r="H13" s="85">
        <f>11598/G13</f>
        <v>0.19356453820220967</v>
      </c>
      <c r="I13" s="85">
        <f t="shared" si="1"/>
        <v>0.69036015888380797</v>
      </c>
      <c r="J13" s="87">
        <f>6955/G13</f>
        <v>0.11607530291398244</v>
      </c>
      <c r="K13" s="70"/>
      <c r="L13" s="86">
        <v>62727</v>
      </c>
      <c r="M13" s="85">
        <f>(12328/L13)</f>
        <v>0.19653418782980217</v>
      </c>
      <c r="N13" s="85">
        <f t="shared" si="2"/>
        <v>0.70092623591117065</v>
      </c>
      <c r="O13" s="87">
        <f>(6432/L13)</f>
        <v>0.10253957625902721</v>
      </c>
      <c r="P13" s="70"/>
      <c r="Q13" s="86">
        <v>60515</v>
      </c>
      <c r="R13" s="85">
        <f>(9438/Q13)</f>
        <v>0.15596133190118153</v>
      </c>
      <c r="S13" s="85">
        <f t="shared" si="3"/>
        <v>0.73323969263818889</v>
      </c>
      <c r="T13" s="87">
        <f>(3940+2581+184)/Q13</f>
        <v>0.1107989754606296</v>
      </c>
      <c r="U13" s="70"/>
      <c r="V13" s="86">
        <v>64509</v>
      </c>
      <c r="W13" s="85">
        <f>(10003+1772)/V13</f>
        <v>0.18253266986001954</v>
      </c>
      <c r="X13" s="85">
        <f t="shared" si="4"/>
        <v>0.69959230494969693</v>
      </c>
      <c r="Y13" s="87">
        <f>(3322+4282)/V13</f>
        <v>0.11787502519028352</v>
      </c>
      <c r="Z13" s="70"/>
      <c r="AA13" s="86">
        <v>66971</v>
      </c>
      <c r="AB13" s="85">
        <f>(12009+1697)/AA13</f>
        <v>0.20465574651714921</v>
      </c>
      <c r="AC13" s="85">
        <f t="shared" si="5"/>
        <v>0.67373937973152553</v>
      </c>
      <c r="AD13" s="87">
        <f>(4801+3343)/AA13</f>
        <v>0.1216048737513252</v>
      </c>
      <c r="AF13" s="86">
        <v>63707</v>
      </c>
      <c r="AG13" s="85">
        <f>(12394+1646)/AF13</f>
        <v>0.22038394524934465</v>
      </c>
      <c r="AH13" s="85">
        <f t="shared" si="6"/>
        <v>0.66926711350401047</v>
      </c>
      <c r="AI13" s="87">
        <f>(3787+3243)/AF13</f>
        <v>0.11034894124664479</v>
      </c>
      <c r="AK13" s="86">
        <v>72346</v>
      </c>
      <c r="AL13" s="85">
        <f>+(14381+380+1235)/AK13</f>
        <v>0.22110413844580212</v>
      </c>
      <c r="AM13" s="85">
        <f t="shared" si="7"/>
        <v>0.69756448179581454</v>
      </c>
      <c r="AN13" s="87">
        <f>+(3545+2339)/AK13</f>
        <v>8.1331379758383324E-2</v>
      </c>
      <c r="AP13" s="86">
        <v>83506</v>
      </c>
      <c r="AQ13" s="85">
        <f>(14528+611+1053)/AP13</f>
        <v>0.19390223456997102</v>
      </c>
      <c r="AR13" s="85">
        <f t="shared" si="8"/>
        <v>0.71743347783392808</v>
      </c>
      <c r="AS13" s="87">
        <f>(3513+3891)/AP13</f>
        <v>8.8664287596100885E-2</v>
      </c>
      <c r="AU13" s="86">
        <v>97157</v>
      </c>
      <c r="AV13" s="85">
        <f>(15953+1456+2448)/AU13</f>
        <v>0.20438053871568698</v>
      </c>
      <c r="AW13" s="85">
        <f t="shared" si="9"/>
        <v>0.73310209248947578</v>
      </c>
      <c r="AX13" s="87">
        <f>(3064+2937+73)/AU13</f>
        <v>6.2517368794837228E-2</v>
      </c>
      <c r="AZ13" s="86">
        <v>100555</v>
      </c>
      <c r="BA13" s="85">
        <f>(20514+1240+3700)/AZ13</f>
        <v>0.25313510019392371</v>
      </c>
      <c r="BB13" s="85">
        <f t="shared" si="10"/>
        <v>0.67942916811695098</v>
      </c>
      <c r="BC13" s="87">
        <f>(2903+3878)/AZ13</f>
        <v>6.7435731689125353E-2</v>
      </c>
      <c r="BE13" s="86">
        <f>102794-16979-3132</f>
        <v>82683</v>
      </c>
      <c r="BF13" s="85">
        <f>(20736+2906)/BE13</f>
        <v>0.28593544017512668</v>
      </c>
      <c r="BG13" s="85">
        <f t="shared" si="11"/>
        <v>0.66216755560393314</v>
      </c>
      <c r="BH13" s="87">
        <f>(2775+1516)/BE13</f>
        <v>5.1897004220940214E-2</v>
      </c>
      <c r="BJ13" s="86">
        <f>111117-13965-1674</f>
        <v>95478</v>
      </c>
      <c r="BK13" s="85">
        <f>(23946+909+3700)/BJ13</f>
        <v>0.29907413226083496</v>
      </c>
      <c r="BL13" s="85">
        <f t="shared" si="12"/>
        <v>0.66014160330128402</v>
      </c>
      <c r="BM13" s="87">
        <f>(2137+1757)/BJ13</f>
        <v>4.0784264437880975E-2</v>
      </c>
      <c r="BO13" s="86">
        <f>106580-14096-10670</f>
        <v>81814</v>
      </c>
      <c r="BP13" s="85">
        <f>(23880+321+2475)/BO13</f>
        <v>0.32605666511843939</v>
      </c>
      <c r="BQ13" s="85">
        <f t="shared" si="13"/>
        <v>0.62932994353044713</v>
      </c>
      <c r="BR13" s="87">
        <f>(2774+876)/BO13</f>
        <v>4.4613391351113502E-2</v>
      </c>
      <c r="BT13" s="86">
        <v>65673</v>
      </c>
      <c r="BU13" s="85">
        <f>(17869+758+2343)/BT13</f>
        <v>0.31930930519391532</v>
      </c>
      <c r="BV13" s="85">
        <f t="shared" si="14"/>
        <v>0.64378054908409843</v>
      </c>
      <c r="BW13" s="87">
        <f>(2199+225)/BT13</f>
        <v>3.6910145721986205E-2</v>
      </c>
      <c r="BY13" s="86">
        <f>56435+29494+13564+43</f>
        <v>99536</v>
      </c>
      <c r="BZ13" s="85">
        <f>(18573+356+2914+3036)/BY13</f>
        <v>0.24994976691850185</v>
      </c>
      <c r="CA13" s="85">
        <f t="shared" si="15"/>
        <v>0.6987220704066871</v>
      </c>
      <c r="CB13" s="87">
        <f>(2653+407+2049)/BY13</f>
        <v>5.132816267481112E-2</v>
      </c>
      <c r="CD13" s="86">
        <v>87048</v>
      </c>
      <c r="CE13" s="84">
        <v>28113</v>
      </c>
      <c r="CF13" s="85">
        <f>28113/CD13</f>
        <v>0.3229597463468431</v>
      </c>
      <c r="CG13" s="85">
        <f t="shared" si="16"/>
        <v>0.63641898722543888</v>
      </c>
      <c r="CH13" s="84">
        <v>3536</v>
      </c>
      <c r="CI13" s="87">
        <f>3536/CD13</f>
        <v>4.0621266427718038E-2</v>
      </c>
      <c r="CK13" s="86">
        <v>109136</v>
      </c>
      <c r="CL13" s="84">
        <v>34528</v>
      </c>
      <c r="CM13" s="85">
        <f>34528/CK13</f>
        <v>0.31637589796217563</v>
      </c>
      <c r="CN13" s="85">
        <f t="shared" si="17"/>
        <v>0.6394590236035772</v>
      </c>
      <c r="CO13" s="84">
        <v>4820</v>
      </c>
      <c r="CP13" s="87">
        <f>4820/CK13</f>
        <v>4.4165078434247176E-2</v>
      </c>
      <c r="CR13" s="86">
        <v>114230</v>
      </c>
      <c r="CS13" s="84">
        <v>40086</v>
      </c>
      <c r="CT13" s="85">
        <f t="shared" si="18"/>
        <v>0.35092357524293094</v>
      </c>
      <c r="CU13" s="85">
        <f t="shared" si="19"/>
        <v>0.60702967696752164</v>
      </c>
      <c r="CV13" s="84">
        <v>4803</v>
      </c>
      <c r="CW13" s="87">
        <f t="shared" si="47"/>
        <v>4.2046747789547402E-2</v>
      </c>
      <c r="CY13" s="86">
        <v>124656</v>
      </c>
      <c r="CZ13" s="84">
        <v>40773</v>
      </c>
      <c r="DA13" s="85">
        <f t="shared" si="20"/>
        <v>0.32708413554100885</v>
      </c>
      <c r="DB13" s="85">
        <f t="shared" si="21"/>
        <v>0.62817674239507126</v>
      </c>
      <c r="DC13" s="84">
        <v>5577</v>
      </c>
      <c r="DD13" s="87">
        <f t="shared" si="22"/>
        <v>4.473912206391991E-2</v>
      </c>
      <c r="DF13" s="86">
        <v>125276</v>
      </c>
      <c r="DG13" s="84">
        <v>42006</v>
      </c>
      <c r="DH13" s="88">
        <f>DG13/DF13</f>
        <v>0.33530764072926977</v>
      </c>
      <c r="DI13" s="88">
        <f>(1-DH13-DK13)</f>
        <v>0.62716721478974424</v>
      </c>
      <c r="DJ13" s="84">
        <v>4701</v>
      </c>
      <c r="DK13" s="89">
        <f>DJ13/DF13</f>
        <v>3.7525144480985984E-2</v>
      </c>
      <c r="DM13" s="86">
        <v>133076</v>
      </c>
      <c r="DN13" s="84">
        <v>50389</v>
      </c>
      <c r="DO13" s="88">
        <f t="shared" si="26"/>
        <v>0.37864829120201987</v>
      </c>
      <c r="DP13" s="88">
        <f>(1-DO13-DR13)</f>
        <v>0.59285671345697188</v>
      </c>
      <c r="DQ13" s="84">
        <f>1633+2159</f>
        <v>3792</v>
      </c>
      <c r="DR13" s="89">
        <f>DQ13/DM13</f>
        <v>2.8494995341008144E-2</v>
      </c>
      <c r="DT13" s="86">
        <v>136826</v>
      </c>
      <c r="DU13" s="84">
        <v>50029</v>
      </c>
      <c r="DV13" s="88">
        <f t="shared" si="29"/>
        <v>0.36563957142648329</v>
      </c>
      <c r="DW13" s="88">
        <f t="shared" si="30"/>
        <v>0.60622250157133872</v>
      </c>
      <c r="DX13" s="84">
        <v>3850</v>
      </c>
      <c r="DY13" s="89">
        <f t="shared" si="31"/>
        <v>2.8137927002177949E-2</v>
      </c>
      <c r="EA13" s="86">
        <v>146726</v>
      </c>
      <c r="EB13" s="84">
        <v>55152</v>
      </c>
      <c r="EC13" s="88">
        <f>EB13/EA13</f>
        <v>0.37588430135081718</v>
      </c>
      <c r="ED13" s="88">
        <f>(1-EC13-EF13)</f>
        <v>0.59078145659256032</v>
      </c>
      <c r="EE13" s="84">
        <v>4891</v>
      </c>
      <c r="EF13" s="89">
        <f>EE13/EA13</f>
        <v>3.3334242056622547E-2</v>
      </c>
      <c r="EH13" s="86">
        <v>143327</v>
      </c>
      <c r="EI13" s="84">
        <v>46699</v>
      </c>
      <c r="EJ13" s="88">
        <f t="shared" si="35"/>
        <v>0.32582137350255014</v>
      </c>
      <c r="EK13" s="88">
        <f t="shared" si="36"/>
        <v>0.63810028815226716</v>
      </c>
      <c r="EL13" s="84">
        <v>5171</v>
      </c>
      <c r="EM13" s="89">
        <f t="shared" si="37"/>
        <v>3.6078338345182696E-2</v>
      </c>
      <c r="EO13" s="86">
        <v>136144</v>
      </c>
      <c r="EP13" s="84">
        <v>43522</v>
      </c>
      <c r="EQ13" s="88">
        <f t="shared" si="41"/>
        <v>0.31967622517334587</v>
      </c>
      <c r="ER13" s="88">
        <f t="shared" si="38"/>
        <v>0.63569455870255032</v>
      </c>
      <c r="ES13" s="84">
        <v>6076</v>
      </c>
      <c r="ET13" s="89">
        <f t="shared" si="42"/>
        <v>4.4629216124103893E-2</v>
      </c>
      <c r="EV13" s="86">
        <v>172094</v>
      </c>
      <c r="EW13" s="84">
        <v>57839</v>
      </c>
      <c r="EX13" s="88">
        <f t="shared" si="43"/>
        <v>0.33608957895103836</v>
      </c>
      <c r="EY13" s="88">
        <f t="shared" si="39"/>
        <v>0.61860378630283464</v>
      </c>
      <c r="EZ13" s="84">
        <v>7797</v>
      </c>
      <c r="FA13" s="89">
        <f t="shared" si="44"/>
        <v>4.5306634746127117E-2</v>
      </c>
      <c r="FC13" s="86">
        <v>189652</v>
      </c>
      <c r="FD13" s="90">
        <v>63357</v>
      </c>
      <c r="FE13" s="88">
        <f t="shared" si="45"/>
        <v>0.33406976989433279</v>
      </c>
      <c r="FF13" s="88">
        <f t="shared" si="40"/>
        <v>0.61812161221605888</v>
      </c>
      <c r="FG13" s="84">
        <v>9067</v>
      </c>
      <c r="FH13" s="89">
        <f t="shared" si="46"/>
        <v>4.7808617889608336E-2</v>
      </c>
    </row>
    <row r="14" spans="1:164" ht="24.9" customHeight="1" x14ac:dyDescent="0.3">
      <c r="A14" s="44" t="s">
        <v>9</v>
      </c>
      <c r="B14" s="86">
        <v>47645</v>
      </c>
      <c r="C14" s="85">
        <f>(9371/B14)</f>
        <v>0.19668380732500787</v>
      </c>
      <c r="D14" s="85">
        <f t="shared" si="0"/>
        <v>0.70660090250813301</v>
      </c>
      <c r="E14" s="87">
        <f>4608/B14</f>
        <v>9.6715290166859064E-2</v>
      </c>
      <c r="F14" s="46"/>
      <c r="G14" s="86">
        <v>53642</v>
      </c>
      <c r="H14" s="85">
        <f>10850/G14</f>
        <v>0.20226688042951418</v>
      </c>
      <c r="I14" s="85">
        <f t="shared" si="1"/>
        <v>0.68636516162708316</v>
      </c>
      <c r="J14" s="87">
        <f>5974/G14</f>
        <v>0.11136795794340255</v>
      </c>
      <c r="K14" s="70"/>
      <c r="L14" s="86">
        <v>55810</v>
      </c>
      <c r="M14" s="85">
        <f>(12523/L14)</f>
        <v>0.22438631069700771</v>
      </c>
      <c r="N14" s="85">
        <f t="shared" si="2"/>
        <v>0.68012900913814733</v>
      </c>
      <c r="O14" s="87">
        <f>(5329/L14)</f>
        <v>9.5484680164845015E-2</v>
      </c>
      <c r="P14" s="70"/>
      <c r="Q14" s="86">
        <v>57276</v>
      </c>
      <c r="R14" s="85">
        <f>(8663/Q14)</f>
        <v>0.15125008729659892</v>
      </c>
      <c r="S14" s="85">
        <f t="shared" si="3"/>
        <v>0.738162581185837</v>
      </c>
      <c r="T14" s="87">
        <f>(3293+3041)/Q14</f>
        <v>0.11058733151756407</v>
      </c>
      <c r="U14" s="70"/>
      <c r="V14" s="86">
        <v>60340</v>
      </c>
      <c r="W14" s="85">
        <f>(9124+1490)/V14</f>
        <v>0.175903215114352</v>
      </c>
      <c r="X14" s="85">
        <f t="shared" si="4"/>
        <v>0.72303612860457411</v>
      </c>
      <c r="Y14" s="87">
        <f>(2861+3237)/V14</f>
        <v>0.10106065628107391</v>
      </c>
      <c r="Z14" s="70"/>
      <c r="AA14" s="86">
        <v>66885</v>
      </c>
      <c r="AB14" s="85">
        <f>(12563+1866)/AA14</f>
        <v>0.21572848919787696</v>
      </c>
      <c r="AC14" s="85">
        <f t="shared" si="5"/>
        <v>0.67426179262913954</v>
      </c>
      <c r="AD14" s="87">
        <f>(3936+3422)/AA14</f>
        <v>0.11000971817298348</v>
      </c>
      <c r="AF14" s="86">
        <v>61874</v>
      </c>
      <c r="AG14" s="85">
        <f>(11274+1678)/AF14</f>
        <v>0.20932863561431295</v>
      </c>
      <c r="AH14" s="85">
        <f t="shared" si="6"/>
        <v>0.68801111937162629</v>
      </c>
      <c r="AI14" s="87">
        <f>(3206+3146)/AF14</f>
        <v>0.10266024501406083</v>
      </c>
      <c r="AK14" s="86">
        <v>72439</v>
      </c>
      <c r="AL14" s="85">
        <f>+(14128+298+1307)/AK14</f>
        <v>0.21718963541738567</v>
      </c>
      <c r="AM14" s="85">
        <f t="shared" si="7"/>
        <v>0.7285440163447866</v>
      </c>
      <c r="AN14" s="87">
        <f>+(2582+1349)/AK14</f>
        <v>5.4266348237827687E-2</v>
      </c>
      <c r="AP14" s="86">
        <v>75517</v>
      </c>
      <c r="AQ14" s="85">
        <f>(14111+621+1309)/AP14</f>
        <v>0.21241574744759459</v>
      </c>
      <c r="AR14" s="85">
        <f t="shared" si="8"/>
        <v>0.71017121972535979</v>
      </c>
      <c r="AS14" s="87">
        <f>(2747+3099)/AP14</f>
        <v>7.7413032827045564E-2</v>
      </c>
      <c r="AU14" s="86">
        <v>89586</v>
      </c>
      <c r="AV14" s="85">
        <f>(15465+1491+2427)/AU14</f>
        <v>0.21636193155180497</v>
      </c>
      <c r="AW14" s="85">
        <f t="shared" si="9"/>
        <v>0.71458710066305009</v>
      </c>
      <c r="AX14" s="87">
        <f>(3153+3033)/AU14</f>
        <v>6.9050967785144995E-2</v>
      </c>
      <c r="AZ14" s="86">
        <v>97976</v>
      </c>
      <c r="BA14" s="85">
        <f>(19403+1011+3739)/AZ14</f>
        <v>0.24651955580958601</v>
      </c>
      <c r="BB14" s="85">
        <f t="shared" si="10"/>
        <v>0.70110026945374371</v>
      </c>
      <c r="BC14" s="87">
        <f>(2586+2546)/AZ14</f>
        <v>5.2380174736670206E-2</v>
      </c>
      <c r="BE14" s="86">
        <f>95490-16081-3540</f>
        <v>75869</v>
      </c>
      <c r="BF14" s="85">
        <f>(16452+1150+2616)/BE14</f>
        <v>0.26648565290171217</v>
      </c>
      <c r="BG14" s="85">
        <f t="shared" si="11"/>
        <v>0.70242127878316574</v>
      </c>
      <c r="BH14" s="87">
        <f>(1231+1128)/BE14</f>
        <v>3.1093068315122117E-2</v>
      </c>
      <c r="BJ14" s="86">
        <f>61238+21814+2640</f>
        <v>85692</v>
      </c>
      <c r="BK14" s="85">
        <f>(22311+804+3152)/BJ14</f>
        <v>0.30652803062129486</v>
      </c>
      <c r="BL14" s="85">
        <f t="shared" si="12"/>
        <v>0.66726182140689916</v>
      </c>
      <c r="BM14" s="87">
        <f>(1221+1025)/BJ14</f>
        <v>2.6210147971806003E-2</v>
      </c>
      <c r="BO14" s="86">
        <v>79306</v>
      </c>
      <c r="BP14" s="85">
        <f>(15837+205+3411)/BO14</f>
        <v>0.24529039416941972</v>
      </c>
      <c r="BQ14" s="85">
        <f t="shared" si="13"/>
        <v>0.70898797064534835</v>
      </c>
      <c r="BR14" s="87">
        <f>(2975+651)/BO14</f>
        <v>4.5721635185231889E-2</v>
      </c>
      <c r="BT14" s="86">
        <f>51616+17402+3</f>
        <v>69021</v>
      </c>
      <c r="BU14" s="85">
        <f>(17163+907+2392)/BT14</f>
        <v>0.2964604975297373</v>
      </c>
      <c r="BV14" s="85">
        <f t="shared" si="14"/>
        <v>0.66449341504759418</v>
      </c>
      <c r="BW14" s="87">
        <f>(2325+370)/BT14</f>
        <v>3.9046087422668463E-2</v>
      </c>
      <c r="BY14" s="86">
        <v>88141</v>
      </c>
      <c r="BZ14" s="85">
        <f>22945/BY14</f>
        <v>0.26032153027535426</v>
      </c>
      <c r="CA14" s="85">
        <f t="shared" si="15"/>
        <v>0.69450085658206728</v>
      </c>
      <c r="CB14" s="87">
        <f>(1837+199+1946)/BY14</f>
        <v>4.5177613142578371E-2</v>
      </c>
      <c r="CD14" s="86">
        <v>93794</v>
      </c>
      <c r="CE14" s="84">
        <v>29241</v>
      </c>
      <c r="CF14" s="85">
        <f>29241/CD14</f>
        <v>0.3117576817280423</v>
      </c>
      <c r="CG14" s="85">
        <f t="shared" si="16"/>
        <v>0.65048937032219545</v>
      </c>
      <c r="CH14" s="84">
        <v>3541</v>
      </c>
      <c r="CI14" s="87">
        <f>3541/CD14</f>
        <v>3.7752947949762243E-2</v>
      </c>
      <c r="CK14" s="86">
        <v>104275</v>
      </c>
      <c r="CL14" s="84">
        <v>33802</v>
      </c>
      <c r="CM14" s="85">
        <f>33802/CK14</f>
        <v>0.32416207144569648</v>
      </c>
      <c r="CN14" s="85">
        <f t="shared" si="17"/>
        <v>0.62642052265643722</v>
      </c>
      <c r="CO14" s="84">
        <v>5153</v>
      </c>
      <c r="CP14" s="87">
        <f>5153/CK14</f>
        <v>4.9417405897866216E-2</v>
      </c>
      <c r="CR14" s="86">
        <v>105464</v>
      </c>
      <c r="CS14" s="84">
        <v>37800</v>
      </c>
      <c r="CT14" s="85">
        <f t="shared" si="18"/>
        <v>0.35841614200106198</v>
      </c>
      <c r="CU14" s="85">
        <f t="shared" si="19"/>
        <v>0.60137108397178185</v>
      </c>
      <c r="CV14" s="84">
        <v>4241</v>
      </c>
      <c r="CW14" s="87">
        <f t="shared" si="47"/>
        <v>4.0212774027156187E-2</v>
      </c>
      <c r="CY14" s="86">
        <v>115827</v>
      </c>
      <c r="CZ14" s="84">
        <v>35022</v>
      </c>
      <c r="DA14" s="85">
        <f t="shared" si="20"/>
        <v>0.30236473361133415</v>
      </c>
      <c r="DB14" s="85">
        <f t="shared" si="21"/>
        <v>0.66290243207542277</v>
      </c>
      <c r="DC14" s="84">
        <v>4023</v>
      </c>
      <c r="DD14" s="87">
        <f t="shared" si="22"/>
        <v>3.4732834313243026E-2</v>
      </c>
      <c r="DF14" s="86">
        <v>122308</v>
      </c>
      <c r="DG14" s="84">
        <v>40516</v>
      </c>
      <c r="DH14" s="88">
        <f>DG14/DF14</f>
        <v>0.33126205971808875</v>
      </c>
      <c r="DI14" s="88">
        <f>(1-DH14-DK14)</f>
        <v>0.63763613173300193</v>
      </c>
      <c r="DJ14" s="84">
        <v>3804</v>
      </c>
      <c r="DK14" s="89">
        <f>DJ14/DF14</f>
        <v>3.1101808548909312E-2</v>
      </c>
      <c r="DM14" s="86">
        <v>123795</v>
      </c>
      <c r="DN14" s="84">
        <v>47171</v>
      </c>
      <c r="DO14" s="88">
        <f t="shared" si="26"/>
        <v>0.38104123752978714</v>
      </c>
      <c r="DP14" s="88">
        <f>(1-DO14-DR14)</f>
        <v>0.59412738802051779</v>
      </c>
      <c r="DQ14" s="84">
        <v>3074</v>
      </c>
      <c r="DR14" s="89">
        <f>DQ14/DM14</f>
        <v>2.4831374449695059E-2</v>
      </c>
      <c r="DT14" s="86">
        <v>135042</v>
      </c>
      <c r="DU14" s="84">
        <v>46543</v>
      </c>
      <c r="DV14" s="88">
        <f t="shared" si="29"/>
        <v>0.34465573673375688</v>
      </c>
      <c r="DW14" s="88">
        <f t="shared" si="30"/>
        <v>0.62573125398024332</v>
      </c>
      <c r="DX14" s="84">
        <v>3999</v>
      </c>
      <c r="DY14" s="89">
        <f t="shared" si="31"/>
        <v>2.961300928599991E-2</v>
      </c>
      <c r="EA14" s="86">
        <v>124736</v>
      </c>
      <c r="EB14" s="84">
        <v>42636</v>
      </c>
      <c r="EC14" s="88">
        <f>EB14/EA14</f>
        <v>0.34180990251410981</v>
      </c>
      <c r="ED14" s="88">
        <f>(1-EC14-EF14)</f>
        <v>0.63004265007696258</v>
      </c>
      <c r="EE14" s="84">
        <v>3511</v>
      </c>
      <c r="EF14" s="89">
        <f>EE14/EA14</f>
        <v>2.8147447408927655E-2</v>
      </c>
      <c r="EH14" s="86">
        <v>134948</v>
      </c>
      <c r="EI14" s="84">
        <v>42620</v>
      </c>
      <c r="EJ14" s="88">
        <f t="shared" si="35"/>
        <v>0.31582535495153691</v>
      </c>
      <c r="EK14" s="88">
        <f t="shared" si="36"/>
        <v>0.64708628508758936</v>
      </c>
      <c r="EL14" s="84">
        <v>5005</v>
      </c>
      <c r="EM14" s="89">
        <f t="shared" si="37"/>
        <v>3.7088359960873819E-2</v>
      </c>
      <c r="EO14" s="86">
        <v>140636</v>
      </c>
      <c r="EP14" s="84">
        <v>45867</v>
      </c>
      <c r="EQ14" s="88">
        <f t="shared" si="41"/>
        <v>0.3261398219517051</v>
      </c>
      <c r="ER14" s="88">
        <f t="shared" si="38"/>
        <v>0.62746380727551976</v>
      </c>
      <c r="ES14" s="90">
        <v>6525</v>
      </c>
      <c r="ET14" s="89">
        <f t="shared" si="42"/>
        <v>4.6396370772775107E-2</v>
      </c>
      <c r="EV14" s="86">
        <v>170998</v>
      </c>
      <c r="EW14" s="84">
        <v>53405</v>
      </c>
      <c r="EX14" s="88">
        <f t="shared" si="43"/>
        <v>0.31231359431104455</v>
      </c>
      <c r="EY14" s="88">
        <f t="shared" si="39"/>
        <v>0.64592568334132561</v>
      </c>
      <c r="EZ14" s="90">
        <v>7141</v>
      </c>
      <c r="FA14" s="89">
        <f t="shared" si="44"/>
        <v>4.17607223476298E-2</v>
      </c>
      <c r="FC14" s="86"/>
      <c r="FD14" s="84"/>
      <c r="FE14" s="88" t="str">
        <f t="shared" si="45"/>
        <v/>
      </c>
      <c r="FF14" s="88" t="str">
        <f t="shared" si="40"/>
        <v/>
      </c>
      <c r="FG14" s="90"/>
      <c r="FH14" s="89" t="str">
        <f t="shared" si="46"/>
        <v/>
      </c>
    </row>
    <row r="15" spans="1:164" ht="24.9" customHeight="1" x14ac:dyDescent="0.3">
      <c r="A15" s="44" t="s">
        <v>10</v>
      </c>
      <c r="B15" s="86">
        <v>52531</v>
      </c>
      <c r="C15" s="85">
        <f>(10741/B15)</f>
        <v>0.20446974167634349</v>
      </c>
      <c r="D15" s="85">
        <f t="shared" si="0"/>
        <v>0.6873845919552265</v>
      </c>
      <c r="E15" s="87">
        <f>5681/B15</f>
        <v>0.10814566636843007</v>
      </c>
      <c r="F15" s="46"/>
      <c r="G15" s="86">
        <v>58915</v>
      </c>
      <c r="H15" s="85">
        <f>12715/G15</f>
        <v>0.2158194008317067</v>
      </c>
      <c r="I15" s="85">
        <f t="shared" si="1"/>
        <v>0.68361198336586604</v>
      </c>
      <c r="J15" s="87">
        <f>5925/G15</f>
        <v>0.10056861580242722</v>
      </c>
      <c r="K15" s="70"/>
      <c r="L15" s="86">
        <v>61610</v>
      </c>
      <c r="M15" s="85">
        <f>(12497/L15)</f>
        <v>0.20284044797922415</v>
      </c>
      <c r="N15" s="85">
        <f t="shared" si="2"/>
        <v>0.68777795812368114</v>
      </c>
      <c r="O15" s="87">
        <f>(6739/L15)</f>
        <v>0.10938159389709463</v>
      </c>
      <c r="P15" s="70"/>
      <c r="Q15" s="86">
        <v>62624</v>
      </c>
      <c r="R15" s="85">
        <f>(9659/Q15)</f>
        <v>0.15423799182422074</v>
      </c>
      <c r="S15" s="85">
        <f t="shared" si="3"/>
        <v>0.73885411343893714</v>
      </c>
      <c r="T15" s="87">
        <f>(3628+2766+301)/Q15</f>
        <v>0.1069078947368421</v>
      </c>
      <c r="U15" s="70"/>
      <c r="V15" s="86">
        <v>67988</v>
      </c>
      <c r="W15" s="85">
        <f>(10206+1655)/V15</f>
        <v>0.17445725716302876</v>
      </c>
      <c r="X15" s="85">
        <f t="shared" si="4"/>
        <v>0.70066776489968818</v>
      </c>
      <c r="Y15" s="87">
        <f>(3539+4649+302)/V15</f>
        <v>0.12487497793728305</v>
      </c>
      <c r="Z15" s="70"/>
      <c r="AA15" s="86">
        <v>68398</v>
      </c>
      <c r="AB15" s="85">
        <f>(13691+1398)/AA15</f>
        <v>0.22060586566858681</v>
      </c>
      <c r="AC15" s="85">
        <f t="shared" si="5"/>
        <v>0.67652562940436856</v>
      </c>
      <c r="AD15" s="87">
        <f>(4120+2916)/AA15</f>
        <v>0.10286850492704465</v>
      </c>
      <c r="AF15" s="86">
        <v>65674</v>
      </c>
      <c r="AG15" s="85">
        <f>(13687+1705)/AF15</f>
        <v>0.23436976581295491</v>
      </c>
      <c r="AH15" s="85">
        <f t="shared" si="6"/>
        <v>0.67815269360782049</v>
      </c>
      <c r="AI15" s="87">
        <f>(3592+2091+62)/AF15</f>
        <v>8.7477540579224661E-2</v>
      </c>
      <c r="AK15" s="86">
        <v>82716</v>
      </c>
      <c r="AL15" s="85">
        <f>+(15933+531+1228)/AK15</f>
        <v>0.21388848590357368</v>
      </c>
      <c r="AM15" s="85">
        <f t="shared" si="7"/>
        <v>0.72213356545287488</v>
      </c>
      <c r="AN15" s="87">
        <f>+(3256+2036)/AK15</f>
        <v>6.3977948643551427E-2</v>
      </c>
      <c r="AP15" s="86">
        <v>89793</v>
      </c>
      <c r="AQ15" s="85">
        <f>(15589+826+1591)/AP15</f>
        <v>0.2005278807924894</v>
      </c>
      <c r="AR15" s="85">
        <f t="shared" si="8"/>
        <v>0.73131535865824726</v>
      </c>
      <c r="AS15" s="87">
        <f>(3321+2799)/AP15</f>
        <v>6.8156760549263312E-2</v>
      </c>
      <c r="AU15" s="86">
        <v>96300</v>
      </c>
      <c r="AV15" s="85">
        <f>(16508+2095+2595)/AU15</f>
        <v>0.2201246105919003</v>
      </c>
      <c r="AW15" s="85">
        <f t="shared" si="9"/>
        <v>0.71805815160955344</v>
      </c>
      <c r="AX15" s="87">
        <f>(3213+2618+122)/AU15</f>
        <v>6.1817237798546212E-2</v>
      </c>
      <c r="AZ15" s="86">
        <v>108157</v>
      </c>
      <c r="BA15" s="85">
        <f>(19852+1332+3341)/AZ15</f>
        <v>0.22675370063888606</v>
      </c>
      <c r="BB15" s="85">
        <f t="shared" si="10"/>
        <v>0.72717438538421009</v>
      </c>
      <c r="BC15" s="87">
        <f>(2571+2412)/AZ15</f>
        <v>4.6071913976903946E-2</v>
      </c>
      <c r="BE15" s="86">
        <f>108964-18251-3541</f>
        <v>87172</v>
      </c>
      <c r="BF15" s="85">
        <f>(19249+1380+2902)/BE15</f>
        <v>0.26993759464048089</v>
      </c>
      <c r="BG15" s="85">
        <f t="shared" si="11"/>
        <v>0.68324691414674432</v>
      </c>
      <c r="BH15" s="87">
        <f>(2101+1980)/BE15</f>
        <v>4.6815491212774743E-2</v>
      </c>
      <c r="BJ15" s="86">
        <f>71261+24072+2316</f>
        <v>97649</v>
      </c>
      <c r="BK15" s="85">
        <f>(26289+1132+3180)/BJ15</f>
        <v>0.31337750514598206</v>
      </c>
      <c r="BL15" s="85">
        <f t="shared" si="12"/>
        <v>0.65289967127159521</v>
      </c>
      <c r="BM15" s="87">
        <f>(2244+1049)/BJ15</f>
        <v>3.3722823582422762E-2</v>
      </c>
      <c r="BO15" s="86">
        <f>108694-21796-2081</f>
        <v>84817</v>
      </c>
      <c r="BP15" s="85">
        <f>(25423+113+3464)/BO15</f>
        <v>0.34191258827829324</v>
      </c>
      <c r="BQ15" s="85">
        <f t="shared" si="13"/>
        <v>0.61426364997583038</v>
      </c>
      <c r="BR15" s="87">
        <f>(2944+773)/BO15</f>
        <v>4.3823761745876419E-2</v>
      </c>
      <c r="BT15" s="86">
        <f>90175-7227-8810</f>
        <v>74138</v>
      </c>
      <c r="BU15" s="85">
        <f>(17492+810+2520)/BT15</f>
        <v>0.28085462246081633</v>
      </c>
      <c r="BV15" s="85">
        <f t="shared" si="14"/>
        <v>0.66408589387358707</v>
      </c>
      <c r="BW15" s="87">
        <f>(3219+863)/BT15</f>
        <v>5.5059483665596591E-2</v>
      </c>
      <c r="BY15" s="86">
        <v>99933</v>
      </c>
      <c r="BZ15" s="85">
        <f>27042/BY15</f>
        <v>0.27060130287292489</v>
      </c>
      <c r="CA15" s="85">
        <f t="shared" si="15"/>
        <v>0.6782444237639218</v>
      </c>
      <c r="CB15" s="87">
        <f>(2146+2588+378)/BY15</f>
        <v>5.1154273363153313E-2</v>
      </c>
      <c r="CD15" s="86">
        <v>98656</v>
      </c>
      <c r="CE15" s="84">
        <v>30523</v>
      </c>
      <c r="CF15" s="85">
        <f>30523/CD15</f>
        <v>0.30938817710022704</v>
      </c>
      <c r="CG15" s="85">
        <f t="shared" si="16"/>
        <v>0.65526678559844309</v>
      </c>
      <c r="CH15" s="84">
        <v>3487</v>
      </c>
      <c r="CI15" s="87">
        <f>3487/CD15</f>
        <v>3.5345037301329874E-2</v>
      </c>
      <c r="CK15" s="86">
        <v>100478</v>
      </c>
      <c r="CL15" s="84">
        <v>33031</v>
      </c>
      <c r="CM15" s="85">
        <f>33031/CK15</f>
        <v>0.3287386293516989</v>
      </c>
      <c r="CN15" s="85">
        <f t="shared" si="17"/>
        <v>0.63140189892314724</v>
      </c>
      <c r="CO15" s="84">
        <v>4005</v>
      </c>
      <c r="CP15" s="87">
        <f>4005/CK15</f>
        <v>3.9859471725153764E-2</v>
      </c>
      <c r="CR15" s="86">
        <v>117704</v>
      </c>
      <c r="CS15" s="84">
        <v>39448</v>
      </c>
      <c r="CT15" s="85">
        <f t="shared" si="18"/>
        <v>0.33514578943791207</v>
      </c>
      <c r="CU15" s="85">
        <f t="shared" si="19"/>
        <v>0.63597668728335488</v>
      </c>
      <c r="CV15" s="84">
        <v>3399</v>
      </c>
      <c r="CW15" s="87">
        <f t="shared" si="47"/>
        <v>2.8877523278733094E-2</v>
      </c>
      <c r="CY15" s="86">
        <v>126100</v>
      </c>
      <c r="CZ15" s="84">
        <v>39380</v>
      </c>
      <c r="DA15" s="85">
        <f t="shared" si="20"/>
        <v>0.31229183187946075</v>
      </c>
      <c r="DB15" s="85">
        <f t="shared" si="21"/>
        <v>0.64532117367168917</v>
      </c>
      <c r="DC15" s="84">
        <v>5345</v>
      </c>
      <c r="DD15" s="87">
        <f t="shared" si="22"/>
        <v>4.2386994448850121E-2</v>
      </c>
      <c r="DF15" s="86">
        <v>131076</v>
      </c>
      <c r="DG15" s="84">
        <v>43062</v>
      </c>
      <c r="DH15" s="88">
        <f>DG15/DF15</f>
        <v>0.32852696145747506</v>
      </c>
      <c r="DI15" s="88">
        <f>(1-DH15-DK15)</f>
        <v>0.6449617016082273</v>
      </c>
      <c r="DJ15" s="84">
        <v>3475</v>
      </c>
      <c r="DK15" s="89">
        <f>DJ15/DF15</f>
        <v>2.651133693429766E-2</v>
      </c>
      <c r="DM15" s="86">
        <v>134344</v>
      </c>
      <c r="DN15" s="84">
        <v>48561</v>
      </c>
      <c r="DO15" s="88">
        <f>DN15/DM15</f>
        <v>0.36146757577562078</v>
      </c>
      <c r="DP15" s="88">
        <f>(1-DO15-DR15)</f>
        <v>0.61373786696837973</v>
      </c>
      <c r="DQ15" s="84">
        <v>3331</v>
      </c>
      <c r="DR15" s="89">
        <f>DQ15/DM15</f>
        <v>2.4794557255999522E-2</v>
      </c>
      <c r="DT15" s="86">
        <v>149595</v>
      </c>
      <c r="DU15" s="84">
        <v>50441</v>
      </c>
      <c r="DV15" s="88">
        <f t="shared" si="29"/>
        <v>0.33718372940272068</v>
      </c>
      <c r="DW15" s="88">
        <f t="shared" si="30"/>
        <v>0.63039540091580604</v>
      </c>
      <c r="DX15" s="84">
        <v>4850</v>
      </c>
      <c r="DY15" s="89">
        <f t="shared" si="31"/>
        <v>3.2420869681473313E-2</v>
      </c>
      <c r="EA15" s="86">
        <v>150931</v>
      </c>
      <c r="EB15" s="84">
        <v>47804</v>
      </c>
      <c r="EC15" s="88">
        <f>EB15/EA15</f>
        <v>0.31672751124686116</v>
      </c>
      <c r="ED15" s="88">
        <f>(1-EC15-EF15)</f>
        <v>0.65065493503653982</v>
      </c>
      <c r="EE15" s="84">
        <v>4923</v>
      </c>
      <c r="EF15" s="89">
        <f>EE15/EA15</f>
        <v>3.2617553716598975E-2</v>
      </c>
      <c r="EH15" s="86">
        <v>148242</v>
      </c>
      <c r="EI15" s="84">
        <v>46729</v>
      </c>
      <c r="EJ15" s="88">
        <f t="shared" si="35"/>
        <v>0.31522105746009904</v>
      </c>
      <c r="EK15" s="88">
        <f t="shared" si="36"/>
        <v>0.6461731493099121</v>
      </c>
      <c r="EL15" s="84">
        <v>5723</v>
      </c>
      <c r="EM15" s="89">
        <f t="shared" si="37"/>
        <v>3.8605793229988805E-2</v>
      </c>
      <c r="EO15" s="86">
        <v>149675</v>
      </c>
      <c r="EP15" s="84">
        <v>46625</v>
      </c>
      <c r="EQ15" s="88">
        <f t="shared" si="41"/>
        <v>0.31150826791381325</v>
      </c>
      <c r="ER15" s="88">
        <f t="shared" si="38"/>
        <v>0.65214631702021042</v>
      </c>
      <c r="ES15" s="84">
        <v>5440</v>
      </c>
      <c r="ET15" s="89">
        <f t="shared" si="42"/>
        <v>3.6345415065976279E-2</v>
      </c>
      <c r="EV15" s="86">
        <v>176964</v>
      </c>
      <c r="EW15" s="84">
        <v>55472</v>
      </c>
      <c r="EX15" s="88">
        <f t="shared" si="43"/>
        <v>0.31346488551343776</v>
      </c>
      <c r="EY15" s="88">
        <f t="shared" si="39"/>
        <v>0.64710336565629167</v>
      </c>
      <c r="EZ15" s="84">
        <v>6978</v>
      </c>
      <c r="FA15" s="89">
        <f t="shared" si="44"/>
        <v>3.9431748830270563E-2</v>
      </c>
      <c r="FC15" s="86"/>
      <c r="FD15" s="84"/>
      <c r="FE15" s="88" t="str">
        <f t="shared" si="45"/>
        <v/>
      </c>
      <c r="FF15" s="88" t="str">
        <f t="shared" si="40"/>
        <v/>
      </c>
      <c r="FG15" s="84"/>
      <c r="FH15" s="89" t="str">
        <f t="shared" si="46"/>
        <v/>
      </c>
    </row>
    <row r="16" spans="1:164" ht="24.9" customHeight="1" x14ac:dyDescent="0.3">
      <c r="A16" s="44" t="s">
        <v>11</v>
      </c>
      <c r="B16" s="86">
        <v>50662</v>
      </c>
      <c r="C16" s="85">
        <f>(9913/B16)</f>
        <v>0.19566933796533892</v>
      </c>
      <c r="D16" s="85">
        <f t="shared" si="0"/>
        <v>0.71122340215546165</v>
      </c>
      <c r="E16" s="87">
        <f>4717/B16</f>
        <v>9.3107259879199405E-2</v>
      </c>
      <c r="F16" s="46"/>
      <c r="G16" s="86">
        <v>59462</v>
      </c>
      <c r="H16" s="85">
        <f>11429/G16</f>
        <v>0.19220678752816925</v>
      </c>
      <c r="I16" s="85">
        <f t="shared" si="1"/>
        <v>0.71395176751538802</v>
      </c>
      <c r="J16" s="87">
        <f>5580/G16</f>
        <v>9.3841444956442768E-2</v>
      </c>
      <c r="K16" s="70"/>
      <c r="L16" s="86">
        <v>56980</v>
      </c>
      <c r="M16" s="85">
        <f>(11407/L16)</f>
        <v>0.2001930501930502</v>
      </c>
      <c r="N16" s="85">
        <f t="shared" si="2"/>
        <v>0.69340119340119333</v>
      </c>
      <c r="O16" s="87">
        <f>(6063/L16)</f>
        <v>0.1064057564057564</v>
      </c>
      <c r="P16" s="70"/>
      <c r="Q16" s="86">
        <v>57449</v>
      </c>
      <c r="R16" s="85">
        <f>(8319/Q16)</f>
        <v>0.1448066981148497</v>
      </c>
      <c r="S16" s="85">
        <f t="shared" si="3"/>
        <v>0.75602708489268744</v>
      </c>
      <c r="T16" s="87">
        <f>(3353+2344)/Q16</f>
        <v>9.9166216992462877E-2</v>
      </c>
      <c r="U16" s="70"/>
      <c r="V16" s="86">
        <v>64966</v>
      </c>
      <c r="W16" s="85">
        <f>(10991+1541)/V16</f>
        <v>0.19290090201028229</v>
      </c>
      <c r="X16" s="85">
        <f t="shared" si="4"/>
        <v>0.67102792229781727</v>
      </c>
      <c r="Y16" s="87">
        <f>(4308+4505+27)/V16</f>
        <v>0.13607117569190039</v>
      </c>
      <c r="Z16" s="70"/>
      <c r="AA16" s="86">
        <v>73016</v>
      </c>
      <c r="AB16" s="85">
        <f>(11828+1166)/AA16</f>
        <v>0.17796099485044373</v>
      </c>
      <c r="AC16" s="85">
        <f t="shared" si="5"/>
        <v>0.72933329681165771</v>
      </c>
      <c r="AD16" s="87">
        <f>(3410+3359)/AA16</f>
        <v>9.270570833789854E-2</v>
      </c>
      <c r="AF16" s="86">
        <v>59377</v>
      </c>
      <c r="AG16" s="85">
        <f>(11839+1569)/AF16</f>
        <v>0.2258113410916685</v>
      </c>
      <c r="AH16" s="85">
        <f t="shared" si="6"/>
        <v>0.69483133199723801</v>
      </c>
      <c r="AI16" s="87">
        <f>(3029+1683)/AF16</f>
        <v>7.9357326911093526E-2</v>
      </c>
      <c r="AK16" s="86">
        <v>73640</v>
      </c>
      <c r="AL16" s="85">
        <f>+(14270+564+975)/AK16</f>
        <v>0.21467952199891363</v>
      </c>
      <c r="AM16" s="85">
        <f t="shared" si="7"/>
        <v>0.71196360673546988</v>
      </c>
      <c r="AN16" s="87">
        <f>+(2815+2587)/AK16</f>
        <v>7.3356871265616519E-2</v>
      </c>
      <c r="AP16" s="86">
        <v>79438</v>
      </c>
      <c r="AQ16" s="85">
        <f>(14568+627+777)/AP16</f>
        <v>0.20106246380825299</v>
      </c>
      <c r="AR16" s="85">
        <f t="shared" si="8"/>
        <v>0.72971373901659153</v>
      </c>
      <c r="AS16" s="87">
        <f>(2645+2854)/AP16</f>
        <v>6.9223797175155463E-2</v>
      </c>
      <c r="AU16" s="86">
        <v>87816</v>
      </c>
      <c r="AV16" s="85">
        <f>(15240+1915+2608)/AU16</f>
        <v>0.2250501047645076</v>
      </c>
      <c r="AW16" s="85">
        <f t="shared" si="9"/>
        <v>0.70878883119249336</v>
      </c>
      <c r="AX16" s="87">
        <f>(2592+3099+119)/AU16</f>
        <v>6.6161064042998999E-2</v>
      </c>
      <c r="AZ16" s="86">
        <v>102831</v>
      </c>
      <c r="BA16" s="85">
        <f>(18554+1587+2676)/AZ16</f>
        <v>0.22188834106446501</v>
      </c>
      <c r="BB16" s="85">
        <f t="shared" si="10"/>
        <v>0.727086189962171</v>
      </c>
      <c r="BC16" s="87">
        <f>(2627+2620)/AZ16</f>
        <v>5.102546897336406E-2</v>
      </c>
      <c r="BE16" s="86">
        <f>98601-15224-1897</f>
        <v>81480</v>
      </c>
      <c r="BF16" s="85">
        <f>(18304+1179+1683)/BE16</f>
        <v>0.25976926853215515</v>
      </c>
      <c r="BG16" s="85">
        <f t="shared" si="11"/>
        <v>0.69732449680903297</v>
      </c>
      <c r="BH16" s="87">
        <f>(1887+1609)/BE16</f>
        <v>4.2906234658811979E-2</v>
      </c>
      <c r="BJ16" s="86">
        <f>65753+22083+2349</f>
        <v>90185</v>
      </c>
      <c r="BK16" s="85">
        <f>(22646+1036+3244)/BJ16</f>
        <v>0.29856406275988245</v>
      </c>
      <c r="BL16" s="85">
        <f t="shared" si="12"/>
        <v>0.68131063924155899</v>
      </c>
      <c r="BM16" s="87">
        <f>(883+932)/BJ16</f>
        <v>2.0125297998558517E-2</v>
      </c>
      <c r="BO16" s="86">
        <f>99670-3286-20480</f>
        <v>75904</v>
      </c>
      <c r="BP16" s="85">
        <f>(20824+73+2310)/BO16</f>
        <v>0.30574146290050591</v>
      </c>
      <c r="BQ16" s="85">
        <f t="shared" si="13"/>
        <v>0.62139017706576727</v>
      </c>
      <c r="BR16" s="87">
        <f>(3830+1701)/BO16</f>
        <v>7.2868360033726806E-2</v>
      </c>
      <c r="BT16" s="86">
        <f>87430-18863-1733</f>
        <v>66834</v>
      </c>
      <c r="BU16" s="85">
        <f>(17011+675+1714)/BT16</f>
        <v>0.29027141873896517</v>
      </c>
      <c r="BV16" s="85">
        <f t="shared" si="14"/>
        <v>0.67896579585241046</v>
      </c>
      <c r="BW16" s="87">
        <f>(1839+217)/BT16</f>
        <v>3.0762785408624354E-2</v>
      </c>
      <c r="BY16" s="86">
        <v>93033</v>
      </c>
      <c r="BZ16" s="85">
        <f>24437/BY16</f>
        <v>0.26267023529285305</v>
      </c>
      <c r="CA16" s="85">
        <f t="shared" si="15"/>
        <v>0.68825040576999563</v>
      </c>
      <c r="CB16" s="87">
        <f>4566/BY16</f>
        <v>4.9079358937151332E-2</v>
      </c>
      <c r="CD16" s="86">
        <v>93552</v>
      </c>
      <c r="CE16" s="84">
        <v>26704</v>
      </c>
      <c r="CF16" s="85">
        <f>26704/CD16</f>
        <v>0.28544552762100223</v>
      </c>
      <c r="CG16" s="85">
        <f t="shared" si="16"/>
        <v>0.67649008038310254</v>
      </c>
      <c r="CH16" s="84">
        <v>3561</v>
      </c>
      <c r="CI16" s="87">
        <f>3561/CD16</f>
        <v>3.8064391995895328E-2</v>
      </c>
      <c r="CK16" s="86">
        <v>113288</v>
      </c>
      <c r="CL16" s="84">
        <v>37478</v>
      </c>
      <c r="CM16" s="85">
        <f>37478/CK16</f>
        <v>0.33082056351952543</v>
      </c>
      <c r="CN16" s="85">
        <f t="shared" si="17"/>
        <v>0.61699385636607595</v>
      </c>
      <c r="CO16" s="84">
        <v>5912</v>
      </c>
      <c r="CP16" s="87">
        <f>5912/CK16</f>
        <v>5.2185580114398701E-2</v>
      </c>
      <c r="CR16" s="86">
        <v>110369</v>
      </c>
      <c r="CS16" s="84">
        <v>36326</v>
      </c>
      <c r="CT16" s="85">
        <f t="shared" si="18"/>
        <v>0.32913227446112586</v>
      </c>
      <c r="CU16" s="85">
        <f t="shared" si="19"/>
        <v>0.63599380260761629</v>
      </c>
      <c r="CV16" s="84">
        <v>3849</v>
      </c>
      <c r="CW16" s="87">
        <f t="shared" si="47"/>
        <v>3.4873922931257871E-2</v>
      </c>
      <c r="CY16" s="86">
        <v>119267</v>
      </c>
      <c r="CZ16" s="84">
        <v>36641</v>
      </c>
      <c r="DA16" s="85">
        <f t="shared" si="20"/>
        <v>0.30721825819380044</v>
      </c>
      <c r="DB16" s="85">
        <f t="shared" si="21"/>
        <v>0.64308652016064793</v>
      </c>
      <c r="DC16" s="84">
        <v>5927</v>
      </c>
      <c r="DD16" s="87">
        <f t="shared" si="22"/>
        <v>4.9695221645551575E-2</v>
      </c>
      <c r="DF16" s="86">
        <v>114412</v>
      </c>
      <c r="DG16" s="84">
        <v>36626</v>
      </c>
      <c r="DH16" s="88">
        <f>DG16/DF16</f>
        <v>0.32012376324161801</v>
      </c>
      <c r="DI16" s="88">
        <f>(1-DH16-DK16)</f>
        <v>0.64709121420829974</v>
      </c>
      <c r="DJ16" s="84">
        <v>3751</v>
      </c>
      <c r="DK16" s="89">
        <f>DJ16/DF16</f>
        <v>3.2785022550082157E-2</v>
      </c>
      <c r="DM16" s="86">
        <v>133214</v>
      </c>
      <c r="DN16" s="84">
        <v>49329</v>
      </c>
      <c r="DO16" s="88">
        <f>DN16/DM16</f>
        <v>0.37029891753119043</v>
      </c>
      <c r="DP16" s="88">
        <f>(1-DO16-DR16)</f>
        <v>0.59760235410692575</v>
      </c>
      <c r="DQ16" s="84">
        <v>4276</v>
      </c>
      <c r="DR16" s="89">
        <f>DQ16/DM16</f>
        <v>3.2098728361883884E-2</v>
      </c>
      <c r="DT16" s="86">
        <v>135469</v>
      </c>
      <c r="DU16" s="84">
        <v>47816</v>
      </c>
      <c r="DV16" s="88">
        <f t="shared" si="29"/>
        <v>0.35296636130775305</v>
      </c>
      <c r="DW16" s="88">
        <f t="shared" si="30"/>
        <v>0.61628859739128505</v>
      </c>
      <c r="DX16" s="84">
        <v>4165</v>
      </c>
      <c r="DY16" s="89">
        <f t="shared" si="31"/>
        <v>3.0745041300961843E-2</v>
      </c>
      <c r="EA16" s="86">
        <v>133711</v>
      </c>
      <c r="EB16" s="84">
        <v>45251</v>
      </c>
      <c r="EC16" s="88">
        <f>EB16/EA16</f>
        <v>0.33842391426285046</v>
      </c>
      <c r="ED16" s="88">
        <f>(1-EC16-EF16)</f>
        <v>0.63614811047707376</v>
      </c>
      <c r="EE16" s="84">
        <v>3400</v>
      </c>
      <c r="EF16" s="89">
        <f>EE16/EA16</f>
        <v>2.5427975260075834E-2</v>
      </c>
      <c r="EH16" s="86">
        <v>126063</v>
      </c>
      <c r="EI16" s="84">
        <v>40425</v>
      </c>
      <c r="EJ16" s="88">
        <f t="shared" si="35"/>
        <v>0.3206729968349159</v>
      </c>
      <c r="EK16" s="88">
        <f t="shared" si="36"/>
        <v>0.64282144641964734</v>
      </c>
      <c r="EL16" s="84">
        <v>4602</v>
      </c>
      <c r="EM16" s="89">
        <f t="shared" si="37"/>
        <v>3.6505556745436804E-2</v>
      </c>
      <c r="EO16" s="86">
        <v>152755</v>
      </c>
      <c r="EP16" s="84">
        <v>49950</v>
      </c>
      <c r="EQ16" s="88">
        <f t="shared" si="41"/>
        <v>0.32699420640895549</v>
      </c>
      <c r="ER16" s="88">
        <f t="shared" si="38"/>
        <v>0.63907564400510619</v>
      </c>
      <c r="ES16" s="84">
        <v>5183</v>
      </c>
      <c r="ET16" s="89">
        <f t="shared" si="42"/>
        <v>3.393014958593827E-2</v>
      </c>
      <c r="EV16" s="86">
        <v>161993</v>
      </c>
      <c r="EW16" s="84">
        <v>52107</v>
      </c>
      <c r="EX16" s="88">
        <f t="shared" si="43"/>
        <v>0.32166204712549307</v>
      </c>
      <c r="EY16" s="88">
        <f t="shared" si="39"/>
        <v>0.63034822492329912</v>
      </c>
      <c r="EZ16" s="84">
        <v>7774</v>
      </c>
      <c r="FA16" s="89">
        <f t="shared" si="44"/>
        <v>4.7989727951207768E-2</v>
      </c>
      <c r="FC16" s="86"/>
      <c r="FD16" s="84"/>
      <c r="FE16" s="88" t="str">
        <f t="shared" si="45"/>
        <v/>
      </c>
      <c r="FF16" s="88" t="str">
        <f t="shared" si="40"/>
        <v/>
      </c>
      <c r="FG16" s="84"/>
      <c r="FH16" s="89" t="str">
        <f t="shared" si="46"/>
        <v/>
      </c>
    </row>
    <row r="17" spans="1:164" ht="24.9" customHeight="1" x14ac:dyDescent="0.3">
      <c r="A17" s="44" t="s">
        <v>12</v>
      </c>
      <c r="B17" s="91">
        <v>53258</v>
      </c>
      <c r="C17" s="93">
        <f>(10431/B17)</f>
        <v>0.19585789928273686</v>
      </c>
      <c r="D17" s="93">
        <f t="shared" si="0"/>
        <v>0.69788576364114308</v>
      </c>
      <c r="E17" s="94">
        <f>5659/B17</f>
        <v>0.10625633707612002</v>
      </c>
      <c r="F17" s="46"/>
      <c r="G17" s="91">
        <v>57561</v>
      </c>
      <c r="H17" s="93">
        <f>11557/G17</f>
        <v>0.20077830475495562</v>
      </c>
      <c r="I17" s="93">
        <f t="shared" si="1"/>
        <v>0.69494970552978574</v>
      </c>
      <c r="J17" s="94">
        <f>6002/G17</f>
        <v>0.1042719897152586</v>
      </c>
      <c r="K17" s="70"/>
      <c r="L17" s="91">
        <v>58923</v>
      </c>
      <c r="M17" s="93">
        <f>(12258/L17)</f>
        <v>0.20803421414388271</v>
      </c>
      <c r="N17" s="93">
        <f t="shared" si="2"/>
        <v>0.67781681177129471</v>
      </c>
      <c r="O17" s="94">
        <f>(6726/L17)</f>
        <v>0.11414897408482257</v>
      </c>
      <c r="P17" s="70"/>
      <c r="Q17" s="91">
        <v>56818</v>
      </c>
      <c r="R17" s="93">
        <f>(8261/Q17)</f>
        <v>0.14539406526100884</v>
      </c>
      <c r="S17" s="93">
        <f t="shared" si="3"/>
        <v>0.75234960751874402</v>
      </c>
      <c r="T17" s="94">
        <f>(3368+2442)/Q17</f>
        <v>0.10225632722024711</v>
      </c>
      <c r="U17" s="70"/>
      <c r="V17" s="91">
        <v>63869</v>
      </c>
      <c r="W17" s="93">
        <f>(9978+1656)/V17</f>
        <v>0.18215409666661447</v>
      </c>
      <c r="X17" s="93">
        <f t="shared" si="4"/>
        <v>0.69338802862108384</v>
      </c>
      <c r="Y17" s="94">
        <f>(3923+4026)/V17</f>
        <v>0.12445787471230174</v>
      </c>
      <c r="Z17" s="70"/>
      <c r="AA17" s="91">
        <v>63756</v>
      </c>
      <c r="AB17" s="93">
        <f>(10530+1405)/AA17</f>
        <v>0.18719806763285024</v>
      </c>
      <c r="AC17" s="93">
        <f t="shared" si="5"/>
        <v>0.7038082690256604</v>
      </c>
      <c r="AD17" s="94">
        <f>(4045+2904)/AA17</f>
        <v>0.10899366334148942</v>
      </c>
      <c r="AF17" s="91">
        <v>60914</v>
      </c>
      <c r="AG17" s="93">
        <f>(12322+1333)/AF17</f>
        <v>0.22416849985225071</v>
      </c>
      <c r="AH17" s="93">
        <f t="shared" si="6"/>
        <v>0.68555668647601531</v>
      </c>
      <c r="AI17" s="94">
        <f>(3309+2190)/AF17</f>
        <v>9.0274813671733914E-2</v>
      </c>
      <c r="AK17" s="91">
        <v>76173</v>
      </c>
      <c r="AL17" s="93">
        <f>+(14330+352+927)/AK17</f>
        <v>0.20491512740734907</v>
      </c>
      <c r="AM17" s="93">
        <f t="shared" si="7"/>
        <v>0.72687172620219764</v>
      </c>
      <c r="AN17" s="94">
        <f>+(2549+2647)/AK17</f>
        <v>6.8213146390453311E-2</v>
      </c>
      <c r="AP17" s="91">
        <v>79643</v>
      </c>
      <c r="AQ17" s="93">
        <f>(14957+873+1306)/AP17</f>
        <v>0.21516015217909923</v>
      </c>
      <c r="AR17" s="93">
        <f t="shared" si="8"/>
        <v>0.7128310083748729</v>
      </c>
      <c r="AS17" s="94">
        <f>(2314+3421)/AP17</f>
        <v>7.20088394460279E-2</v>
      </c>
      <c r="AU17" s="91">
        <v>93584</v>
      </c>
      <c r="AV17" s="93">
        <f>(15743+1878+2390)/AU17</f>
        <v>0.2138292870576167</v>
      </c>
      <c r="AW17" s="93">
        <f t="shared" si="9"/>
        <v>0.71080526585741144</v>
      </c>
      <c r="AX17" s="94">
        <f>(3887+3166)/AU17</f>
        <v>7.5365447084971796E-2</v>
      </c>
      <c r="AZ17" s="91">
        <v>93750</v>
      </c>
      <c r="BA17" s="93">
        <f>(19226+1172+2156)/AZ17</f>
        <v>0.24057600000000001</v>
      </c>
      <c r="BB17" s="93">
        <f t="shared" si="10"/>
        <v>0.7066986666666667</v>
      </c>
      <c r="BC17" s="94">
        <f>(2350+2593)/AZ17</f>
        <v>5.2725333333333332E-2</v>
      </c>
      <c r="BE17" s="91">
        <f>98694-14304-2731</f>
        <v>81659</v>
      </c>
      <c r="BF17" s="93">
        <f>(19460+1458+1726)/BE17</f>
        <v>0.27729950158586314</v>
      </c>
      <c r="BG17" s="93">
        <f t="shared" si="11"/>
        <v>0.67900660061965001</v>
      </c>
      <c r="BH17" s="94">
        <f>(2160+1408)/BE17</f>
        <v>4.3693897794486826E-2</v>
      </c>
      <c r="BJ17" s="91">
        <f>60047+21550+2278</f>
        <v>83875</v>
      </c>
      <c r="BK17" s="93">
        <f>(22262+936+2521)/BJ17</f>
        <v>0.30663487332339789</v>
      </c>
      <c r="BL17" s="93">
        <f t="shared" si="12"/>
        <v>0.66749329359165421</v>
      </c>
      <c r="BM17" s="94">
        <f>(1400+770)/BJ17</f>
        <v>2.5871833084947841E-2</v>
      </c>
      <c r="BO17" s="91">
        <f>48870+17664+49</f>
        <v>66583</v>
      </c>
      <c r="BP17" s="93">
        <f>(19180+31+1676)/BO17</f>
        <v>0.31369869185828214</v>
      </c>
      <c r="BQ17" s="93">
        <f t="shared" si="13"/>
        <v>0.64523977591877801</v>
      </c>
      <c r="BR17" s="94">
        <f>(2200+528+6)/BO17</f>
        <v>4.1061532222939789E-2</v>
      </c>
      <c r="BT17" s="91">
        <v>66378</v>
      </c>
      <c r="BU17" s="93">
        <f>(15659+866+2095)/BT17</f>
        <v>0.28051462834071528</v>
      </c>
      <c r="BV17" s="93">
        <f t="shared" si="14"/>
        <v>0.68704992618036098</v>
      </c>
      <c r="BW17" s="94">
        <f>(1833+320)/BT17</f>
        <v>3.2435445478923741E-2</v>
      </c>
      <c r="BY17" s="91">
        <v>79140</v>
      </c>
      <c r="BZ17" s="93">
        <f>22780/BY17</f>
        <v>0.28784432650998232</v>
      </c>
      <c r="CA17" s="93">
        <f t="shared" si="15"/>
        <v>0.65650745514278486</v>
      </c>
      <c r="CB17" s="94">
        <f>4404/BY17</f>
        <v>5.5648218347232749E-2</v>
      </c>
      <c r="CD17" s="91">
        <v>89182</v>
      </c>
      <c r="CE17" s="92">
        <v>28850</v>
      </c>
      <c r="CF17" s="93">
        <f>28850/CD17</f>
        <v>0.3234957726895562</v>
      </c>
      <c r="CG17" s="93">
        <f t="shared" si="16"/>
        <v>0.6370455921598529</v>
      </c>
      <c r="CH17" s="92">
        <v>3519</v>
      </c>
      <c r="CI17" s="94">
        <f>3519/CD17</f>
        <v>3.9458635150590927E-2</v>
      </c>
      <c r="CK17" s="91">
        <v>106005</v>
      </c>
      <c r="CL17" s="92">
        <v>34276</v>
      </c>
      <c r="CM17" s="93">
        <f>34276/CK17</f>
        <v>0.32334323852648461</v>
      </c>
      <c r="CN17" s="93">
        <f t="shared" si="17"/>
        <v>0.62823451723975288</v>
      </c>
      <c r="CO17" s="92">
        <v>5133</v>
      </c>
      <c r="CP17" s="94">
        <f>5133/CK17</f>
        <v>4.8422244233762561E-2</v>
      </c>
      <c r="CR17" s="91">
        <v>104210</v>
      </c>
      <c r="CS17" s="92">
        <v>34358</v>
      </c>
      <c r="CT17" s="93">
        <f t="shared" si="18"/>
        <v>0.32969964494770176</v>
      </c>
      <c r="CU17" s="93">
        <f t="shared" si="19"/>
        <v>0.63162844256789175</v>
      </c>
      <c r="CV17" s="92">
        <v>4030</v>
      </c>
      <c r="CW17" s="94">
        <f t="shared" si="47"/>
        <v>3.867191248440649E-2</v>
      </c>
      <c r="CY17" s="91">
        <v>117693</v>
      </c>
      <c r="CZ17" s="92">
        <v>37191</v>
      </c>
      <c r="DA17" s="93">
        <f t="shared" si="20"/>
        <v>0.31600010196018452</v>
      </c>
      <c r="DB17" s="93">
        <f>(1-DA17-DD17)</f>
        <v>0.63457469858020443</v>
      </c>
      <c r="DC17" s="92">
        <v>5817</v>
      </c>
      <c r="DD17" s="94">
        <f>DC17/CY17</f>
        <v>4.9425199459611019E-2</v>
      </c>
      <c r="DF17" s="91">
        <v>112269</v>
      </c>
      <c r="DG17" s="92">
        <v>39296</v>
      </c>
      <c r="DH17" s="95">
        <f>DG17/DF17</f>
        <v>0.35001647827984572</v>
      </c>
      <c r="DI17" s="95">
        <f>(1-DH17-DK17)</f>
        <v>0.62076797691259389</v>
      </c>
      <c r="DJ17" s="92">
        <v>3280</v>
      </c>
      <c r="DK17" s="96">
        <f>DJ17/DF17</f>
        <v>2.9215544807560414E-2</v>
      </c>
      <c r="DM17" s="91">
        <v>130173</v>
      </c>
      <c r="DN17" s="92">
        <v>45263</v>
      </c>
      <c r="DO17" s="95">
        <f>DN17/DM17</f>
        <v>0.34771419572415169</v>
      </c>
      <c r="DP17" s="95">
        <f>(1-DO17-DR17)</f>
        <v>0.61893787498175512</v>
      </c>
      <c r="DQ17" s="92">
        <v>4341</v>
      </c>
      <c r="DR17" s="96">
        <f>DQ17/DM17</f>
        <v>3.3347929294093248E-2</v>
      </c>
      <c r="DT17" s="91">
        <v>134594</v>
      </c>
      <c r="DU17" s="92">
        <v>47077</v>
      </c>
      <c r="DV17" s="95">
        <f t="shared" si="29"/>
        <v>0.3497704206725411</v>
      </c>
      <c r="DW17" s="95">
        <f t="shared" si="30"/>
        <v>0.61940353953370875</v>
      </c>
      <c r="DX17" s="92">
        <v>4149</v>
      </c>
      <c r="DY17" s="96">
        <f t="shared" si="31"/>
        <v>3.0826039793750093E-2</v>
      </c>
      <c r="EA17" s="91">
        <v>135091</v>
      </c>
      <c r="EB17" s="92">
        <v>40319</v>
      </c>
      <c r="EC17" s="95">
        <f>EB17/EA17</f>
        <v>0.29845807640775479</v>
      </c>
      <c r="ED17" s="95">
        <f>(1-EC17-EF17)</f>
        <v>0.67163615636867002</v>
      </c>
      <c r="EE17" s="92">
        <v>4040</v>
      </c>
      <c r="EF17" s="96">
        <f>EE17/EA17</f>
        <v>2.9905767223575221E-2</v>
      </c>
      <c r="EH17" s="91">
        <v>125281</v>
      </c>
      <c r="EI17" s="92">
        <v>39679</v>
      </c>
      <c r="EJ17" s="95">
        <f t="shared" si="35"/>
        <v>0.31672001340985467</v>
      </c>
      <c r="EK17" s="95">
        <f t="shared" si="36"/>
        <v>0.64501400850887203</v>
      </c>
      <c r="EL17" s="92">
        <v>4794</v>
      </c>
      <c r="EM17" s="96">
        <f t="shared" si="37"/>
        <v>3.82659780812733E-2</v>
      </c>
      <c r="EO17" s="91">
        <v>143262</v>
      </c>
      <c r="EP17" s="92">
        <v>43682</v>
      </c>
      <c r="EQ17" s="95">
        <f t="shared" si="41"/>
        <v>0.30490988538481945</v>
      </c>
      <c r="ER17" s="95">
        <f t="shared" si="38"/>
        <v>0.66218536667085481</v>
      </c>
      <c r="ES17" s="92">
        <v>4714</v>
      </c>
      <c r="ET17" s="96">
        <f t="shared" si="42"/>
        <v>3.2904747944325782E-2</v>
      </c>
      <c r="EV17" s="91">
        <v>180284</v>
      </c>
      <c r="EW17" s="92">
        <v>53758</v>
      </c>
      <c r="EX17" s="95">
        <f t="shared" si="43"/>
        <v>0.29818508575358876</v>
      </c>
      <c r="EY17" s="95">
        <f t="shared" si="39"/>
        <v>0.66945486010960487</v>
      </c>
      <c r="EZ17" s="92">
        <v>5834</v>
      </c>
      <c r="FA17" s="96">
        <f t="shared" si="44"/>
        <v>3.2360054136806371E-2</v>
      </c>
      <c r="FC17" s="91"/>
      <c r="FD17" s="92"/>
      <c r="FE17" s="95" t="str">
        <f t="shared" si="45"/>
        <v/>
      </c>
      <c r="FF17" s="95" t="str">
        <f t="shared" si="40"/>
        <v/>
      </c>
      <c r="FG17" s="92"/>
      <c r="FH17" s="96" t="str">
        <f t="shared" si="46"/>
        <v/>
      </c>
    </row>
    <row r="18" spans="1:164" ht="9" customHeight="1" x14ac:dyDescent="0.25">
      <c r="C18" s="27"/>
      <c r="H18" s="27"/>
      <c r="M18" s="27"/>
      <c r="R18" s="27"/>
      <c r="W18" s="27"/>
      <c r="AB18" s="27"/>
      <c r="AG18" s="27"/>
      <c r="AL18" s="27"/>
      <c r="AQ18" s="27"/>
      <c r="AV18" s="27"/>
      <c r="BA18" s="27"/>
      <c r="BF18" s="27"/>
      <c r="BK18" s="27"/>
      <c r="BP18" s="27"/>
      <c r="BU18" s="27"/>
      <c r="BZ18" s="27"/>
      <c r="CF18" s="27"/>
      <c r="CH18" s="84"/>
      <c r="CM18" s="27"/>
      <c r="CO18" s="84"/>
      <c r="CT18" s="27"/>
      <c r="CV18" s="84"/>
      <c r="DA18" s="27"/>
      <c r="DC18" s="84"/>
      <c r="DH18" s="97"/>
      <c r="DI18" s="98"/>
      <c r="DJ18" s="85"/>
      <c r="DK18" s="98"/>
      <c r="DO18" s="97"/>
      <c r="DP18" s="98"/>
      <c r="DQ18" s="85"/>
      <c r="DR18" s="98"/>
      <c r="DV18" s="97"/>
      <c r="DW18" s="98"/>
      <c r="DX18" s="85"/>
      <c r="DY18" s="98"/>
      <c r="EC18" s="97"/>
      <c r="ED18" s="98"/>
      <c r="EE18" s="85"/>
      <c r="EF18" s="98"/>
      <c r="EJ18" s="97"/>
      <c r="EK18" s="98"/>
      <c r="EL18" s="85"/>
      <c r="EM18" s="98"/>
      <c r="EQ18" s="97"/>
      <c r="ER18" s="98"/>
      <c r="ES18" s="85"/>
      <c r="ET18" s="98"/>
      <c r="EX18" s="97"/>
      <c r="EY18" s="98"/>
      <c r="EZ18" s="85"/>
      <c r="FA18" s="98"/>
      <c r="FE18" s="97"/>
      <c r="FF18" s="98"/>
      <c r="FG18" s="85"/>
      <c r="FH18" s="98"/>
    </row>
    <row r="19" spans="1:164" s="43" customFormat="1" ht="15.6" x14ac:dyDescent="0.3">
      <c r="A19" s="44" t="s">
        <v>0</v>
      </c>
      <c r="B19" s="22">
        <f>SUM(B6:B17)</f>
        <v>615602</v>
      </c>
      <c r="C19" s="99">
        <f>AVERAGEA(C6:C17)</f>
        <v>0.21614094345668497</v>
      </c>
      <c r="D19" s="99">
        <f>AVERAGEA(D6:D17)</f>
        <v>0.68553298339045254</v>
      </c>
      <c r="E19" s="99">
        <f>AVERAGEA(E6:E17)</f>
        <v>9.8326073152862514E-2</v>
      </c>
      <c r="F19" s="44"/>
      <c r="G19" s="22">
        <f>SUM(G6:G17)</f>
        <v>659216</v>
      </c>
      <c r="H19" s="99">
        <f>AVERAGEA(H6:H17)</f>
        <v>0.20629828100196135</v>
      </c>
      <c r="I19" s="99">
        <f>AVERAGEA(I6:I17)</f>
        <v>0.68857580543576968</v>
      </c>
      <c r="J19" s="99">
        <f>AVERAGEA(J6:J17)</f>
        <v>0.10512591356226908</v>
      </c>
      <c r="K19" s="44"/>
      <c r="L19" s="22">
        <f>SUM(L6:L17)</f>
        <v>716724</v>
      </c>
      <c r="M19" s="99">
        <f>AVERAGEA(M6:M17)</f>
        <v>0.20088310857636216</v>
      </c>
      <c r="N19" s="99">
        <f>AVERAGEA(N6:N17)</f>
        <v>0.69617962692306345</v>
      </c>
      <c r="O19" s="99">
        <f>AVERAGEA(O6:O17)</f>
        <v>0.1029372645005744</v>
      </c>
      <c r="P19" s="44"/>
      <c r="Q19" s="22">
        <f>SUM(Q6:Q17)</f>
        <v>729070</v>
      </c>
      <c r="R19" s="99">
        <f>AVERAGEA(R6:R17)</f>
        <v>0.17566020360235224</v>
      </c>
      <c r="S19" s="99">
        <f>AVERAGEA(S6:S17)</f>
        <v>0.71527021726960471</v>
      </c>
      <c r="T19" s="99">
        <f>AVERAGEA(T6:T17)</f>
        <v>0.10906957912804316</v>
      </c>
      <c r="U19" s="44"/>
      <c r="V19" s="22">
        <f>SUM(V6:V17)</f>
        <v>760397</v>
      </c>
      <c r="W19" s="99">
        <f>AVERAGEA(W6:W17)</f>
        <v>0.18502011876548688</v>
      </c>
      <c r="X19" s="99">
        <f>AVERAGEA(X6:X17)</f>
        <v>0.7002610758687341</v>
      </c>
      <c r="Y19" s="99">
        <f>AVERAGEA(Y6:Y17)</f>
        <v>0.11471880536577901</v>
      </c>
      <c r="Z19" s="44"/>
      <c r="AA19" s="22">
        <f>SUM(AA6:AA17)</f>
        <v>793809</v>
      </c>
      <c r="AB19" s="99">
        <f>AVERAGEA(AB6:AB17)</f>
        <v>0.20615655680164816</v>
      </c>
      <c r="AC19" s="99">
        <f>AVERAGEA(AC6:AC17)</f>
        <v>0.68120974643060916</v>
      </c>
      <c r="AD19" s="99">
        <f>AVERAGEA(AD6:AD17)</f>
        <v>0.11263369676774267</v>
      </c>
      <c r="AF19" s="22">
        <f>SUM(AF6:AF17)</f>
        <v>760684</v>
      </c>
      <c r="AG19" s="99">
        <f>AVERAGEA(AG6:AG17)</f>
        <v>0.21098241254524697</v>
      </c>
      <c r="AH19" s="99">
        <f>AVERAGEA(AH6:AH17)</f>
        <v>0.69220891685420727</v>
      </c>
      <c r="AI19" s="99">
        <f>AVERAGEA(AI6:AI17)</f>
        <v>9.6808670600545724E-2</v>
      </c>
      <c r="AK19" s="22">
        <f>SUM(AK6:AK17)</f>
        <v>832415</v>
      </c>
      <c r="AL19" s="99">
        <f>AVERAGEA(AL6:AL17)</f>
        <v>0.21797151673348489</v>
      </c>
      <c r="AM19" s="99">
        <f>AVERAGEA(AM6:AM17)</f>
        <v>0.70824270261422395</v>
      </c>
      <c r="AN19" s="99">
        <f>AVERAGEA(AN6:AN17)</f>
        <v>7.3785780652291091E-2</v>
      </c>
      <c r="AP19" s="22">
        <f>SUM(AP6:AP17)</f>
        <v>947872</v>
      </c>
      <c r="AQ19" s="99">
        <f>AVERAGEA(AQ6:AQ17)</f>
        <v>0.20005240083281317</v>
      </c>
      <c r="AR19" s="99">
        <f>AVERAGEA(AR6:AR17)</f>
        <v>0.72432100239936636</v>
      </c>
      <c r="AS19" s="99">
        <f>AVERAGEA(AS6:AS17)</f>
        <v>7.5626596767820436E-2</v>
      </c>
      <c r="AU19" s="22">
        <f>SUM(AU6:AU17)</f>
        <v>1046730</v>
      </c>
      <c r="AV19" s="99">
        <f>AVERAGEA(AV6:AV17)</f>
        <v>0.22021040415504764</v>
      </c>
      <c r="AW19" s="99">
        <f>AVERAGEA(AW6:AW17)</f>
        <v>0.7162529291788009</v>
      </c>
      <c r="AX19" s="99">
        <f>AVERAGEA(AX6:AX17)</f>
        <v>6.3536666666151542E-2</v>
      </c>
      <c r="AZ19" s="22">
        <f>SUM(AZ6:AZ17)</f>
        <v>1152252</v>
      </c>
      <c r="BA19" s="99">
        <f>AVERAGEA(BA6:BA17)</f>
        <v>0.24447029960198483</v>
      </c>
      <c r="BB19" s="99">
        <f>AVERAGEA(BB6:BB17)</f>
        <v>0.69664040451346898</v>
      </c>
      <c r="BC19" s="99">
        <f>AVERAGEA(BC6:BC17)</f>
        <v>5.8889295884546222E-2</v>
      </c>
      <c r="BE19" s="22">
        <f>SUM(BE6:BE17)</f>
        <v>966129</v>
      </c>
      <c r="BF19" s="99">
        <f>AVERAGEA(BF6:BF17)</f>
        <v>0.27538482755726185</v>
      </c>
      <c r="BG19" s="99">
        <f>AVERAGEA(BG6:BG17)</f>
        <v>0.67284255849670516</v>
      </c>
      <c r="BH19" s="99">
        <f>AVERAGEA(BH6:BH17)</f>
        <v>5.1772613946032969E-2</v>
      </c>
      <c r="BJ19" s="22">
        <f>SUM(BJ6:BJ17)</f>
        <v>1037314</v>
      </c>
      <c r="BK19" s="99">
        <f>AVERAGEA(BK6:BK17)</f>
        <v>0.30728027727660695</v>
      </c>
      <c r="BL19" s="99">
        <f>AVERAGEA(BL6:BL17)</f>
        <v>0.65596931535937886</v>
      </c>
      <c r="BM19" s="99">
        <f>AVERAGEA(BM6:BM17)</f>
        <v>3.6750407364014158E-2</v>
      </c>
      <c r="BO19" s="22">
        <f>SUM(BO6:BO17)</f>
        <v>962480</v>
      </c>
      <c r="BP19" s="99">
        <f>AVERAGEA(BP6:BP17)</f>
        <v>0.30919443489878423</v>
      </c>
      <c r="BQ19" s="99">
        <f>AVERAGEA(BQ6:BQ17)</f>
        <v>0.64235662908856617</v>
      </c>
      <c r="BR19" s="99">
        <f>AVERAGEA(BR6:BR17)</f>
        <v>4.8448936012649657E-2</v>
      </c>
      <c r="BT19" s="22">
        <f>SUM(BT6:BT17)</f>
        <v>771126</v>
      </c>
      <c r="BU19" s="99">
        <f>AVERAGEA(BU6:BU17)</f>
        <v>0.30017648276934067</v>
      </c>
      <c r="BV19" s="99">
        <f>AVERAGEA(BV6:BV17)</f>
        <v>0.65622287935310353</v>
      </c>
      <c r="BW19" s="99">
        <f>AVERAGEA(BW6:BW17)</f>
        <v>4.3600637877555769E-2</v>
      </c>
      <c r="BY19" s="22">
        <f>SUM(BY6:BY17)</f>
        <v>955675</v>
      </c>
      <c r="BZ19" s="99">
        <f>AVERAGEA(BZ6:BZ17)</f>
        <v>0.27547962615121696</v>
      </c>
      <c r="CA19" s="99">
        <f>AVERAGEA(CA6:CA17)</f>
        <v>0.68310317180604818</v>
      </c>
      <c r="CB19" s="99">
        <f>AVERAGEA(CB6:CB17)</f>
        <v>4.1417202042734753E-2</v>
      </c>
      <c r="CD19" s="57">
        <f>SUM(CD6:CD17)</f>
        <v>1102051</v>
      </c>
      <c r="CE19" s="57">
        <f>SUM(CE6:CE17)</f>
        <v>330328</v>
      </c>
      <c r="CF19" s="100">
        <f>CE19/CD19</f>
        <v>0.29973930426087358</v>
      </c>
      <c r="CG19" s="101">
        <f>(1-CF19-CI19)</f>
        <v>0.66115814966820952</v>
      </c>
      <c r="CH19" s="102">
        <f>SUM(CH6:CH17)</f>
        <v>43093</v>
      </c>
      <c r="CI19" s="100">
        <f>CH19/CD19</f>
        <v>3.9102546070916865E-2</v>
      </c>
      <c r="CK19" s="57">
        <f>SUM(CK6:CK17)</f>
        <v>1209822</v>
      </c>
      <c r="CL19" s="57">
        <f>SUM(CL6:CL17)</f>
        <v>385804</v>
      </c>
      <c r="CM19" s="100">
        <f>CL19/CK19</f>
        <v>0.31889319255229281</v>
      </c>
      <c r="CN19" s="101">
        <f>(1-CM19-CP19)</f>
        <v>0.63592743395309392</v>
      </c>
      <c r="CO19" s="102">
        <f>SUM(CO6:CO17)</f>
        <v>54659</v>
      </c>
      <c r="CP19" s="100">
        <f>CO19/CK19</f>
        <v>4.5179373494613255E-2</v>
      </c>
      <c r="CR19" s="57">
        <f>SUM(CR6:CR17)</f>
        <v>1274911</v>
      </c>
      <c r="CS19" s="57">
        <f>SUM(CS6:CS17)</f>
        <v>430894</v>
      </c>
      <c r="CT19" s="100">
        <f>CS19/CR19</f>
        <v>0.3379796707378005</v>
      </c>
      <c r="CU19" s="101">
        <f>(1-CT19-CW19)</f>
        <v>0.62428906802121886</v>
      </c>
      <c r="CV19" s="102">
        <f>SUM(CV6:CV17)</f>
        <v>48104</v>
      </c>
      <c r="CW19" s="100">
        <f>CV19/CR19</f>
        <v>3.7731261240980744E-2</v>
      </c>
      <c r="CY19" s="57">
        <f>SUM(CY6:CY17)</f>
        <v>1373138</v>
      </c>
      <c r="CZ19" s="57">
        <f>SUM(CZ6:CZ17)</f>
        <v>448096</v>
      </c>
      <c r="DA19" s="100">
        <f>CZ19/CY19</f>
        <v>0.32632991003089273</v>
      </c>
      <c r="DB19" s="101">
        <f>(1-DA19-DD19)</f>
        <v>0.63220739648891811</v>
      </c>
      <c r="DC19" s="102">
        <f>SUM(DC6:DC17)</f>
        <v>56934</v>
      </c>
      <c r="DD19" s="100">
        <f>DC19/CY19</f>
        <v>4.1462693480189175E-2</v>
      </c>
      <c r="DE19" s="103"/>
      <c r="DF19" s="57">
        <f>SUM(DF6:DF17)</f>
        <v>1454748</v>
      </c>
      <c r="DG19" s="57">
        <f>SUM(DG6:DG17)</f>
        <v>484081</v>
      </c>
      <c r="DH19" s="104">
        <f>DG19/DF19</f>
        <v>0.33275935076040664</v>
      </c>
      <c r="DI19" s="105">
        <f>(1-DH19-DK19)</f>
        <v>0.63451608113570179</v>
      </c>
      <c r="DJ19" s="106">
        <f>SUM(DJ6:DJ17)</f>
        <v>47606</v>
      </c>
      <c r="DK19" s="104">
        <f>DJ19/DF19</f>
        <v>3.272456810389153E-2</v>
      </c>
      <c r="DL19" s="103"/>
      <c r="DM19" s="57">
        <f>SUM(DM6:DM17)</f>
        <v>1503886</v>
      </c>
      <c r="DN19" s="57">
        <f>SUM(DN6:DN17)</f>
        <v>551496</v>
      </c>
      <c r="DO19" s="104">
        <f>DN19/DM19</f>
        <v>0.36671396635117287</v>
      </c>
      <c r="DP19" s="105">
        <f>(1-DO19-DR19)</f>
        <v>0.60645953217198645</v>
      </c>
      <c r="DQ19" s="106">
        <f>SUM(DQ6:DQ17)</f>
        <v>40344</v>
      </c>
      <c r="DR19" s="104">
        <f>DQ19/DM19</f>
        <v>2.6826501476840663E-2</v>
      </c>
      <c r="DT19" s="57">
        <f>SUM(DT6:DT17)</f>
        <v>1612760</v>
      </c>
      <c r="DU19" s="57">
        <f>SUM(DU6:DU17)</f>
        <v>570001</v>
      </c>
      <c r="DV19" s="104">
        <f>DU19/DT19</f>
        <v>0.35343200476202286</v>
      </c>
      <c r="DW19" s="105">
        <f>(1-DV19-DY19)</f>
        <v>0.61613941317989041</v>
      </c>
      <c r="DX19" s="106">
        <f>SUM(DX6:DX17)</f>
        <v>49074</v>
      </c>
      <c r="DY19" s="104">
        <f>DX19/DT19</f>
        <v>3.0428582058086757E-2</v>
      </c>
      <c r="EA19" s="57">
        <f>SUM(EA6:EA17)</f>
        <v>1612888</v>
      </c>
      <c r="EB19" s="57">
        <f>SUM(EB6:EB17)</f>
        <v>552318</v>
      </c>
      <c r="EC19" s="104">
        <f>EB19/EA19</f>
        <v>0.34244039263730652</v>
      </c>
      <c r="ED19" s="105">
        <f>(1-EC19-EF19)</f>
        <v>0.62635347277678299</v>
      </c>
      <c r="EE19" s="106">
        <f>SUM(EE6:EE17)</f>
        <v>50332</v>
      </c>
      <c r="EF19" s="104">
        <f>EE19/EA19</f>
        <v>3.120613458591049E-2</v>
      </c>
      <c r="EH19" s="57">
        <f>SUM(EH6:EH17)</f>
        <v>1643789</v>
      </c>
      <c r="EI19" s="57">
        <f>SUM(EI6:EI17)</f>
        <v>550533</v>
      </c>
      <c r="EJ19" s="104">
        <f>EI19/EH19</f>
        <v>0.33491707268998638</v>
      </c>
      <c r="EK19" s="105">
        <f>(1-EJ19-EM19)</f>
        <v>0.62878203954400469</v>
      </c>
      <c r="EL19" s="106">
        <f>SUM(EL6:EL17)</f>
        <v>59671</v>
      </c>
      <c r="EM19" s="104">
        <f>EL19/EH19</f>
        <v>3.6300887766008899E-2</v>
      </c>
      <c r="EO19" s="57">
        <f>SUM(EO6:EO17)</f>
        <v>1556063</v>
      </c>
      <c r="EP19" s="57">
        <f>SUM(EP6:EP17)</f>
        <v>502691</v>
      </c>
      <c r="EQ19" s="104">
        <f>EP19/EO19</f>
        <v>0.32305311545869286</v>
      </c>
      <c r="ER19" s="105">
        <f>(1-EQ19-ET19)</f>
        <v>0.63787648700598887</v>
      </c>
      <c r="ES19" s="106">
        <f>SUM(ES6:ES17)</f>
        <v>60796</v>
      </c>
      <c r="ET19" s="104">
        <f>ES19/EO19</f>
        <v>3.9070397535318303E-2</v>
      </c>
      <c r="EV19" s="57">
        <f>SUM(EV6:EV17)</f>
        <v>1959750</v>
      </c>
      <c r="EW19" s="57">
        <f>SUM(EW6:EW17)</f>
        <v>642775</v>
      </c>
      <c r="EX19" s="104">
        <f>EW19/EV19</f>
        <v>0.32798826380915935</v>
      </c>
      <c r="EY19" s="105">
        <f>(1-EX19-FA19)</f>
        <v>0.63238882510524297</v>
      </c>
      <c r="EZ19" s="106">
        <f>SUM(EZ6:EZ17)</f>
        <v>77651</v>
      </c>
      <c r="FA19" s="104">
        <f>EZ19/EV19</f>
        <v>3.9622911085597651E-2</v>
      </c>
      <c r="FC19" s="57">
        <f>SUM(FC6:FC17)</f>
        <v>1393057</v>
      </c>
      <c r="FD19" s="57">
        <f>SUM(FD6:FD17)</f>
        <v>445966</v>
      </c>
      <c r="FE19" s="104">
        <f>FD19/FC19</f>
        <v>0.32013478271169088</v>
      </c>
      <c r="FF19" s="105">
        <f>(1-FE19-FH19)</f>
        <v>0.63516281099768346</v>
      </c>
      <c r="FG19" s="106">
        <f>SUM(FG6:FG17)</f>
        <v>62273</v>
      </c>
      <c r="FH19" s="104">
        <f>FG19/FC19</f>
        <v>4.4702406290625579E-2</v>
      </c>
    </row>
  </sheetData>
  <mergeCells count="28">
    <mergeCell ref="V4:Y4"/>
    <mergeCell ref="Q4:T4"/>
    <mergeCell ref="L4:O4"/>
    <mergeCell ref="G4:J4"/>
    <mergeCell ref="B4:E4"/>
    <mergeCell ref="AU4:AX4"/>
    <mergeCell ref="AP4:AS4"/>
    <mergeCell ref="AK4:AN4"/>
    <mergeCell ref="AF4:AI4"/>
    <mergeCell ref="AA4:AD4"/>
    <mergeCell ref="BT4:BW4"/>
    <mergeCell ref="BO4:BR4"/>
    <mergeCell ref="BJ4:BM4"/>
    <mergeCell ref="BE4:BH4"/>
    <mergeCell ref="AZ4:BC4"/>
    <mergeCell ref="FC4:FH4"/>
    <mergeCell ref="DF4:DK4"/>
    <mergeCell ref="DM4:DR4"/>
    <mergeCell ref="BY4:CB4"/>
    <mergeCell ref="CD4:CI4"/>
    <mergeCell ref="CK4:CP4"/>
    <mergeCell ref="CR4:CW4"/>
    <mergeCell ref="CY4:DD4"/>
    <mergeCell ref="DT4:DY4"/>
    <mergeCell ref="EA4:EF4"/>
    <mergeCell ref="EH4:EM4"/>
    <mergeCell ref="EO4:ET4"/>
    <mergeCell ref="EV4:FA4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3"/>
  <sheetViews>
    <sheetView zoomScale="70" zoomScaleNormal="70"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B76" sqref="B76"/>
    </sheetView>
  </sheetViews>
  <sheetFormatPr defaultColWidth="8.90625" defaultRowHeight="19.95" customHeight="1" x14ac:dyDescent="0.3"/>
  <cols>
    <col min="1" max="1" width="8.54296875" style="65" customWidth="1"/>
    <col min="2" max="2" width="12.81640625" style="55" bestFit="1" customWidth="1"/>
    <col min="3" max="3" width="12.7265625" style="55" bestFit="1" customWidth="1"/>
    <col min="4" max="4" width="11.26953125" style="55" bestFit="1" customWidth="1"/>
    <col min="5" max="5" width="14.6328125" style="55" bestFit="1" customWidth="1"/>
    <col min="6" max="6" width="14.36328125" style="55" bestFit="1" customWidth="1"/>
    <col min="7" max="7" width="13.08984375" style="55" bestFit="1" customWidth="1"/>
    <col min="8" max="8" width="10.7265625" style="55" bestFit="1" customWidth="1"/>
    <col min="9" max="9" width="15.7265625" style="55" bestFit="1" customWidth="1"/>
    <col min="10" max="10" width="10.36328125" style="55" bestFit="1" customWidth="1"/>
    <col min="11" max="11" width="10" style="55" bestFit="1" customWidth="1"/>
    <col min="12" max="12" width="19" style="55" bestFit="1" customWidth="1"/>
    <col min="13" max="13" width="9.81640625" style="55" bestFit="1" customWidth="1"/>
    <col min="14" max="14" width="24.7265625" style="3" bestFit="1" customWidth="1"/>
    <col min="15" max="15" width="24.6328125" style="3" bestFit="1" customWidth="1"/>
    <col min="16" max="16" width="25.1796875" style="3" bestFit="1" customWidth="1"/>
    <col min="17" max="17" width="25" style="3" bestFit="1" customWidth="1"/>
    <col min="18" max="18" width="27.7265625" style="3" bestFit="1" customWidth="1"/>
    <col min="19" max="19" width="17.26953125" style="3" bestFit="1" customWidth="1"/>
    <col min="20" max="20" width="17.08984375" style="3" bestFit="1" customWidth="1"/>
    <col min="21" max="16384" width="8.90625" style="3"/>
  </cols>
  <sheetData>
    <row r="1" spans="1:22" s="43" customFormat="1" ht="19.95" customHeight="1" x14ac:dyDescent="0.3">
      <c r="A1" s="62" t="s">
        <v>22</v>
      </c>
      <c r="B1" s="63" t="s">
        <v>18</v>
      </c>
      <c r="C1" s="63" t="s">
        <v>19</v>
      </c>
      <c r="D1" s="63" t="s">
        <v>37</v>
      </c>
      <c r="E1" s="63" t="s">
        <v>25</v>
      </c>
      <c r="F1" s="63" t="s">
        <v>26</v>
      </c>
      <c r="G1" s="63" t="s">
        <v>38</v>
      </c>
      <c r="H1" s="62" t="s">
        <v>15</v>
      </c>
      <c r="I1" s="63" t="s">
        <v>23</v>
      </c>
      <c r="J1" s="63" t="s">
        <v>13</v>
      </c>
      <c r="K1" s="63" t="s">
        <v>14</v>
      </c>
      <c r="L1" s="62" t="s">
        <v>21</v>
      </c>
      <c r="M1" s="63" t="s">
        <v>24</v>
      </c>
      <c r="N1" s="63" t="s">
        <v>28</v>
      </c>
      <c r="O1" s="63" t="s">
        <v>29</v>
      </c>
      <c r="P1" s="63" t="s">
        <v>30</v>
      </c>
      <c r="Q1" s="63" t="s">
        <v>31</v>
      </c>
      <c r="R1" s="63" t="s">
        <v>32</v>
      </c>
      <c r="S1" s="62" t="s">
        <v>35</v>
      </c>
      <c r="T1" s="62" t="s">
        <v>36</v>
      </c>
      <c r="U1" s="62" t="s">
        <v>33</v>
      </c>
      <c r="V1" s="62" t="s">
        <v>34</v>
      </c>
    </row>
    <row r="2" spans="1:22" ht="19.95" customHeight="1" x14ac:dyDescent="0.3">
      <c r="A2" s="64">
        <v>42522</v>
      </c>
      <c r="B2" s="55">
        <v>81809.75</v>
      </c>
      <c r="C2" s="55">
        <v>93629.5</v>
      </c>
      <c r="D2" s="55">
        <v>175439.25</v>
      </c>
      <c r="E2" s="55">
        <v>35632.5</v>
      </c>
      <c r="F2" s="55">
        <v>5600.25</v>
      </c>
      <c r="G2" s="55">
        <v>41232.75</v>
      </c>
      <c r="H2" s="55">
        <v>216672</v>
      </c>
      <c r="I2" s="55">
        <v>123974</v>
      </c>
      <c r="J2" s="55">
        <v>1684458.264</v>
      </c>
      <c r="K2" s="55">
        <v>28458.9</v>
      </c>
      <c r="L2" s="55">
        <v>1712917.1640000001</v>
      </c>
      <c r="M2" s="55">
        <v>169</v>
      </c>
      <c r="N2" s="55">
        <v>865951.38399999996</v>
      </c>
      <c r="O2" s="55">
        <v>818506.88</v>
      </c>
      <c r="P2" s="55">
        <v>2754.12</v>
      </c>
      <c r="Q2" s="55">
        <v>13500.78</v>
      </c>
      <c r="R2" s="55">
        <v>12204</v>
      </c>
      <c r="S2" s="32">
        <f>(N2+P2)/SUM(N2:Q2)</f>
        <v>0.51078895747290154</v>
      </c>
      <c r="T2" s="32">
        <f>(O2+Q2)/SUM(N2:Q2)</f>
        <v>0.48921104252709835</v>
      </c>
      <c r="U2" s="32">
        <f>(B2+E2)/H2</f>
        <v>0.54202781162309854</v>
      </c>
      <c r="V2" s="32">
        <f>(C2+F2)/H2</f>
        <v>0.45797218837690151</v>
      </c>
    </row>
    <row r="3" spans="1:22" ht="19.95" customHeight="1" x14ac:dyDescent="0.3">
      <c r="A3" s="64">
        <v>42552</v>
      </c>
      <c r="B3" s="55">
        <v>77174</v>
      </c>
      <c r="C3" s="55">
        <v>100105.5</v>
      </c>
      <c r="D3" s="55">
        <v>177279.5</v>
      </c>
      <c r="E3" s="55">
        <v>37541</v>
      </c>
      <c r="F3" s="55">
        <v>3089.25</v>
      </c>
      <c r="G3" s="55">
        <v>40630.25</v>
      </c>
      <c r="H3" s="55">
        <v>217909.75</v>
      </c>
      <c r="I3" s="55">
        <v>124067</v>
      </c>
      <c r="J3" s="55">
        <v>1658714.108</v>
      </c>
      <c r="K3" s="55">
        <v>15091.08</v>
      </c>
      <c r="L3" s="55">
        <v>1673805.1880000001</v>
      </c>
      <c r="M3" s="55">
        <v>166</v>
      </c>
      <c r="N3" s="55">
        <v>825017.23600000003</v>
      </c>
      <c r="O3" s="55">
        <v>833696.87199999997</v>
      </c>
      <c r="P3" s="55">
        <v>1393.81</v>
      </c>
      <c r="Q3" s="55">
        <v>13697.27</v>
      </c>
      <c r="R3" s="55">
        <v>0</v>
      </c>
      <c r="S3" s="32">
        <f t="shared" ref="S3:S26" si="0">(N3+P3)/SUM(N3:Q3)</f>
        <v>0.49373191810180961</v>
      </c>
      <c r="T3" s="32">
        <f t="shared" ref="T3:T26" si="1">(O3+Q3)/SUM(N3:Q3)</f>
        <v>0.50626808189819039</v>
      </c>
      <c r="U3" s="32">
        <f t="shared" ref="U3:U63" si="2">(B3+E3)/H3</f>
        <v>0.52643353498409318</v>
      </c>
      <c r="V3" s="32">
        <f t="shared" ref="V3:V63" si="3">(C3+F3)/H3</f>
        <v>0.47356646501590682</v>
      </c>
    </row>
    <row r="4" spans="1:22" ht="19.95" customHeight="1" x14ac:dyDescent="0.3">
      <c r="A4" s="64">
        <v>42583</v>
      </c>
      <c r="B4" s="55">
        <v>84430.75</v>
      </c>
      <c r="C4" s="55">
        <v>107268</v>
      </c>
      <c r="D4" s="55">
        <v>191698.75</v>
      </c>
      <c r="E4" s="55">
        <v>40049</v>
      </c>
      <c r="F4" s="55">
        <v>3763.25</v>
      </c>
      <c r="G4" s="55">
        <v>43812.25</v>
      </c>
      <c r="H4" s="55">
        <v>235511</v>
      </c>
      <c r="I4" s="55">
        <v>133076</v>
      </c>
      <c r="J4" s="55">
        <v>1770832.513</v>
      </c>
      <c r="K4" s="55">
        <v>14661.04</v>
      </c>
      <c r="L4" s="55">
        <v>1785493.5530000001</v>
      </c>
      <c r="M4" s="55">
        <v>154</v>
      </c>
      <c r="N4" s="55">
        <v>908779.60100000002</v>
      </c>
      <c r="O4" s="55">
        <v>862052.91200000001</v>
      </c>
      <c r="P4" s="55">
        <v>1825.41</v>
      </c>
      <c r="Q4" s="55">
        <v>12718.07</v>
      </c>
      <c r="R4" s="55">
        <v>117.56</v>
      </c>
      <c r="S4" s="32">
        <f t="shared" si="0"/>
        <v>0.51003542927106005</v>
      </c>
      <c r="T4" s="32">
        <f t="shared" si="1"/>
        <v>0.48996457072894001</v>
      </c>
      <c r="U4" s="32">
        <f t="shared" si="2"/>
        <v>0.52855174492911161</v>
      </c>
      <c r="V4" s="32">
        <f t="shared" si="3"/>
        <v>0.47144825507088839</v>
      </c>
    </row>
    <row r="5" spans="1:22" ht="19.95" customHeight="1" x14ac:dyDescent="0.3">
      <c r="A5" s="64">
        <v>42614</v>
      </c>
      <c r="B5" s="55">
        <v>81902</v>
      </c>
      <c r="C5" s="55">
        <v>100229.25</v>
      </c>
      <c r="D5" s="55">
        <v>182131.25</v>
      </c>
      <c r="E5" s="55">
        <v>35027.5</v>
      </c>
      <c r="F5" s="55">
        <v>2698.5</v>
      </c>
      <c r="G5" s="55">
        <v>37726</v>
      </c>
      <c r="H5" s="55">
        <v>219857.25</v>
      </c>
      <c r="I5" s="55">
        <v>123795</v>
      </c>
      <c r="J5" s="55">
        <v>1688968.2139999999</v>
      </c>
      <c r="K5" s="55">
        <v>15229.35</v>
      </c>
      <c r="L5" s="55">
        <v>1704197.564</v>
      </c>
      <c r="M5" s="55">
        <v>144</v>
      </c>
      <c r="N5" s="55">
        <v>885699.59400000004</v>
      </c>
      <c r="O5" s="55">
        <v>803268.62</v>
      </c>
      <c r="P5" s="55">
        <v>1187.1600000000001</v>
      </c>
      <c r="Q5" s="55">
        <v>13757.98</v>
      </c>
      <c r="R5" s="55">
        <v>284.20999999999998</v>
      </c>
      <c r="S5" s="32">
        <f t="shared" si="0"/>
        <v>0.52049991387062045</v>
      </c>
      <c r="T5" s="32">
        <f t="shared" si="1"/>
        <v>0.47950008612937955</v>
      </c>
      <c r="U5" s="32">
        <f t="shared" si="2"/>
        <v>0.53184282073936606</v>
      </c>
      <c r="V5" s="32">
        <f t="shared" si="3"/>
        <v>0.46815717926063388</v>
      </c>
    </row>
    <row r="6" spans="1:22" ht="19.95" customHeight="1" x14ac:dyDescent="0.3">
      <c r="A6" s="64">
        <v>42644</v>
      </c>
      <c r="B6" s="55">
        <v>88796.25</v>
      </c>
      <c r="C6" s="55">
        <v>114093</v>
      </c>
      <c r="D6" s="55">
        <v>202889.25</v>
      </c>
      <c r="E6" s="55">
        <v>32711.75</v>
      </c>
      <c r="F6" s="55">
        <v>2966.25</v>
      </c>
      <c r="G6" s="55">
        <v>35678</v>
      </c>
      <c r="H6" s="55">
        <v>238567.25</v>
      </c>
      <c r="I6" s="55">
        <v>134344</v>
      </c>
      <c r="J6" s="55">
        <v>1865245.635</v>
      </c>
      <c r="K6" s="55">
        <v>13776.6</v>
      </c>
      <c r="L6" s="55">
        <v>1879022.2350000001</v>
      </c>
      <c r="M6" s="55">
        <v>155</v>
      </c>
      <c r="N6" s="55">
        <v>969860.54</v>
      </c>
      <c r="O6" s="55">
        <v>895385.09499999997</v>
      </c>
      <c r="P6" s="55">
        <v>1588.63</v>
      </c>
      <c r="Q6" s="55">
        <v>10731.97</v>
      </c>
      <c r="R6" s="55">
        <v>1456</v>
      </c>
      <c r="S6" s="32">
        <f t="shared" si="0"/>
        <v>0.51739808263009168</v>
      </c>
      <c r="T6" s="32">
        <f t="shared" si="1"/>
        <v>0.48260191736990837</v>
      </c>
      <c r="U6" s="32">
        <f t="shared" si="2"/>
        <v>0.50932389085257934</v>
      </c>
      <c r="V6" s="32">
        <f t="shared" si="3"/>
        <v>0.49067610914742071</v>
      </c>
    </row>
    <row r="7" spans="1:22" ht="19.95" customHeight="1" x14ac:dyDescent="0.3">
      <c r="A7" s="64">
        <v>42675</v>
      </c>
      <c r="B7" s="55">
        <v>94158.5</v>
      </c>
      <c r="C7" s="55">
        <v>101860.75</v>
      </c>
      <c r="D7" s="55">
        <v>196019.25</v>
      </c>
      <c r="E7" s="55">
        <v>36412</v>
      </c>
      <c r="F7" s="55">
        <v>3724</v>
      </c>
      <c r="G7" s="55">
        <v>40136</v>
      </c>
      <c r="H7" s="55">
        <v>236155.25</v>
      </c>
      <c r="I7" s="55">
        <v>133214</v>
      </c>
      <c r="J7" s="55">
        <v>1904535.966</v>
      </c>
      <c r="K7" s="55">
        <v>18757</v>
      </c>
      <c r="L7" s="55">
        <v>1923292.966</v>
      </c>
      <c r="M7" s="55">
        <v>151</v>
      </c>
      <c r="N7" s="55">
        <v>1057442.8859999999</v>
      </c>
      <c r="O7" s="55">
        <v>847093.08</v>
      </c>
      <c r="P7" s="55">
        <v>2251</v>
      </c>
      <c r="Q7" s="55">
        <v>15164</v>
      </c>
      <c r="R7" s="55">
        <v>1342</v>
      </c>
      <c r="S7" s="32">
        <f t="shared" si="0"/>
        <v>0.55136364285372719</v>
      </c>
      <c r="T7" s="32">
        <f t="shared" si="1"/>
        <v>0.44863635714627276</v>
      </c>
      <c r="U7" s="32">
        <f t="shared" si="2"/>
        <v>0.55290111060414704</v>
      </c>
      <c r="V7" s="32">
        <f t="shared" si="3"/>
        <v>0.44709888939585296</v>
      </c>
    </row>
    <row r="8" spans="1:22" ht="19.95" customHeight="1" x14ac:dyDescent="0.3">
      <c r="A8" s="64">
        <v>42705</v>
      </c>
      <c r="B8" s="55">
        <v>86917</v>
      </c>
      <c r="C8" s="55">
        <v>97712.25</v>
      </c>
      <c r="D8" s="55">
        <v>184629.25</v>
      </c>
      <c r="E8" s="55">
        <v>39193.75</v>
      </c>
      <c r="F8" s="55">
        <v>5801.25</v>
      </c>
      <c r="G8" s="55">
        <v>44995</v>
      </c>
      <c r="H8" s="55">
        <v>229624.25</v>
      </c>
      <c r="I8" s="55">
        <v>130173</v>
      </c>
      <c r="J8" s="55">
        <v>1802897.59</v>
      </c>
      <c r="K8" s="55">
        <v>18842.400000000001</v>
      </c>
      <c r="L8" s="55">
        <v>1821739.99</v>
      </c>
      <c r="M8" s="55">
        <v>153</v>
      </c>
      <c r="N8" s="55">
        <v>960082.03099999996</v>
      </c>
      <c r="O8" s="55">
        <v>842815.55900000001</v>
      </c>
      <c r="P8" s="55">
        <v>1768.94</v>
      </c>
      <c r="Q8" s="55">
        <v>16546.02</v>
      </c>
      <c r="R8" s="55">
        <v>527.44000000000005</v>
      </c>
      <c r="S8" s="32">
        <f t="shared" si="0"/>
        <v>0.52813768003081241</v>
      </c>
      <c r="T8" s="32">
        <f t="shared" si="1"/>
        <v>0.47186231996918765</v>
      </c>
      <c r="U8" s="32">
        <f t="shared" si="2"/>
        <v>0.54920484225860289</v>
      </c>
      <c r="V8" s="32">
        <f t="shared" si="3"/>
        <v>0.45079515774139711</v>
      </c>
    </row>
    <row r="9" spans="1:22" ht="19.95" customHeight="1" x14ac:dyDescent="0.3">
      <c r="A9" s="64">
        <v>42736</v>
      </c>
      <c r="B9" s="55">
        <v>89766.5</v>
      </c>
      <c r="C9" s="55">
        <v>101301.5</v>
      </c>
      <c r="D9" s="55">
        <v>191068</v>
      </c>
      <c r="E9" s="55">
        <v>31465.5</v>
      </c>
      <c r="F9" s="55">
        <v>5982.5</v>
      </c>
      <c r="G9" s="55">
        <v>37448</v>
      </c>
      <c r="H9" s="55">
        <v>228516</v>
      </c>
      <c r="I9" s="55">
        <v>128420</v>
      </c>
      <c r="J9" s="55">
        <v>1841619.4369999999</v>
      </c>
      <c r="K9" s="55">
        <v>16126.28</v>
      </c>
      <c r="L9" s="55">
        <v>1857745.7169999999</v>
      </c>
      <c r="M9" s="55">
        <v>147</v>
      </c>
      <c r="N9" s="55">
        <v>1000124.749</v>
      </c>
      <c r="O9" s="55">
        <v>841494.68799999997</v>
      </c>
      <c r="P9" s="55">
        <v>1418.37</v>
      </c>
      <c r="Q9" s="55">
        <v>14707.91</v>
      </c>
      <c r="R9" s="55">
        <v>0</v>
      </c>
      <c r="S9" s="32">
        <f t="shared" si="0"/>
        <v>0.53911744208855039</v>
      </c>
      <c r="T9" s="32">
        <f t="shared" si="1"/>
        <v>0.46088255791144961</v>
      </c>
      <c r="U9" s="32">
        <f t="shared" si="2"/>
        <v>0.53051865077281246</v>
      </c>
      <c r="V9" s="32">
        <f t="shared" si="3"/>
        <v>0.46948134922718759</v>
      </c>
    </row>
    <row r="10" spans="1:22" ht="19.95" customHeight="1" x14ac:dyDescent="0.3">
      <c r="A10" s="64">
        <v>42767</v>
      </c>
      <c r="B10" s="55">
        <v>85826.5</v>
      </c>
      <c r="C10" s="55">
        <v>96921.25</v>
      </c>
      <c r="D10" s="55">
        <v>182747.75</v>
      </c>
      <c r="E10" s="55">
        <v>30437</v>
      </c>
      <c r="F10" s="55">
        <v>7190.75</v>
      </c>
      <c r="G10" s="55">
        <v>37627.75</v>
      </c>
      <c r="H10" s="55">
        <v>220375.5</v>
      </c>
      <c r="I10" s="55">
        <v>124607</v>
      </c>
      <c r="J10" s="55">
        <v>1755540.098</v>
      </c>
      <c r="K10" s="55">
        <v>12143.55</v>
      </c>
      <c r="L10" s="55">
        <v>1767683.648</v>
      </c>
      <c r="M10" s="55">
        <v>138</v>
      </c>
      <c r="N10" s="55">
        <v>940111.53</v>
      </c>
      <c r="O10" s="55">
        <v>815428.56799999997</v>
      </c>
      <c r="P10" s="55">
        <v>2582.5500000000002</v>
      </c>
      <c r="Q10" s="55">
        <v>9561</v>
      </c>
      <c r="R10" s="55">
        <v>0</v>
      </c>
      <c r="S10" s="32">
        <f t="shared" si="0"/>
        <v>0.53329343237778259</v>
      </c>
      <c r="T10" s="32">
        <f t="shared" si="1"/>
        <v>0.46670656762221741</v>
      </c>
      <c r="U10" s="32">
        <f t="shared" si="2"/>
        <v>0.52756998849690639</v>
      </c>
      <c r="V10" s="32">
        <f t="shared" si="3"/>
        <v>0.47243001150309361</v>
      </c>
    </row>
    <row r="11" spans="1:22" ht="19.95" customHeight="1" x14ac:dyDescent="0.3">
      <c r="A11" s="64">
        <v>42795</v>
      </c>
      <c r="B11" s="55">
        <v>92384</v>
      </c>
      <c r="C11" s="55">
        <v>99664.75</v>
      </c>
      <c r="D11" s="55">
        <v>192048.75</v>
      </c>
      <c r="E11" s="55">
        <v>32487.75</v>
      </c>
      <c r="F11" s="55">
        <v>7611.75</v>
      </c>
      <c r="G11" s="55">
        <v>40099.5</v>
      </c>
      <c r="H11" s="55">
        <v>232148.25</v>
      </c>
      <c r="I11" s="55">
        <v>131800</v>
      </c>
      <c r="J11" s="55">
        <v>1864590.851</v>
      </c>
      <c r="K11" s="55">
        <v>15647.78</v>
      </c>
      <c r="L11" s="55">
        <v>1880238.6310000001</v>
      </c>
      <c r="M11" s="55">
        <v>146</v>
      </c>
      <c r="N11" s="55">
        <v>993142.60699999996</v>
      </c>
      <c r="O11" s="55">
        <v>871448.24399999995</v>
      </c>
      <c r="P11" s="55">
        <v>1575.18</v>
      </c>
      <c r="Q11" s="55">
        <v>14072.6</v>
      </c>
      <c r="R11" s="55">
        <v>0</v>
      </c>
      <c r="S11" s="32">
        <f t="shared" si="0"/>
        <v>0.52903805431918083</v>
      </c>
      <c r="T11" s="32">
        <f t="shared" si="1"/>
        <v>0.47096194568081928</v>
      </c>
      <c r="U11" s="32">
        <f t="shared" si="2"/>
        <v>0.53789658117172967</v>
      </c>
      <c r="V11" s="32">
        <f t="shared" si="3"/>
        <v>0.46210341882827027</v>
      </c>
    </row>
    <row r="12" spans="1:22" ht="19.95" customHeight="1" x14ac:dyDescent="0.3">
      <c r="A12" s="64">
        <v>42826</v>
      </c>
      <c r="B12" s="55">
        <v>85623</v>
      </c>
      <c r="C12" s="55">
        <v>101113.75</v>
      </c>
      <c r="D12" s="55">
        <v>186736.75</v>
      </c>
      <c r="E12" s="55">
        <v>34927.25</v>
      </c>
      <c r="F12" s="55">
        <v>3532.25</v>
      </c>
      <c r="G12" s="55">
        <v>38459.5</v>
      </c>
      <c r="H12" s="55">
        <v>225196.25</v>
      </c>
      <c r="I12" s="55">
        <v>128321</v>
      </c>
      <c r="J12" s="55">
        <v>1826785.598</v>
      </c>
      <c r="K12" s="55">
        <v>17533.34</v>
      </c>
      <c r="L12" s="55">
        <v>1844318.9380000001</v>
      </c>
      <c r="M12" s="55">
        <v>157</v>
      </c>
      <c r="N12" s="55">
        <v>936610.72499999998</v>
      </c>
      <c r="O12" s="55">
        <v>890174.87300000002</v>
      </c>
      <c r="P12" s="55">
        <v>2576</v>
      </c>
      <c r="Q12" s="55">
        <v>14957.34</v>
      </c>
      <c r="R12" s="55">
        <v>0</v>
      </c>
      <c r="S12" s="32">
        <f t="shared" si="0"/>
        <v>0.50923227303541352</v>
      </c>
      <c r="T12" s="32">
        <f t="shared" si="1"/>
        <v>0.49076772696458637</v>
      </c>
      <c r="U12" s="32">
        <f t="shared" si="2"/>
        <v>0.53531197788595508</v>
      </c>
      <c r="V12" s="32">
        <f t="shared" si="3"/>
        <v>0.46468802211404497</v>
      </c>
    </row>
    <row r="13" spans="1:22" ht="19.95" customHeight="1" x14ac:dyDescent="0.3">
      <c r="A13" s="64">
        <v>42856</v>
      </c>
      <c r="B13" s="55">
        <v>85824</v>
      </c>
      <c r="C13" s="55">
        <v>100593.5</v>
      </c>
      <c r="D13" s="55">
        <v>186417.5</v>
      </c>
      <c r="E13" s="55">
        <v>56015.75</v>
      </c>
      <c r="F13" s="55">
        <v>4438</v>
      </c>
      <c r="G13" s="55">
        <v>60453.75</v>
      </c>
      <c r="H13" s="55">
        <v>246871.25</v>
      </c>
      <c r="I13" s="55">
        <v>141218</v>
      </c>
      <c r="J13" s="55">
        <v>1800710.669</v>
      </c>
      <c r="K13" s="55">
        <v>14056</v>
      </c>
      <c r="L13" s="55">
        <v>1814766.669</v>
      </c>
      <c r="M13" s="55">
        <v>143</v>
      </c>
      <c r="N13" s="55">
        <v>926076.85699999996</v>
      </c>
      <c r="O13" s="55">
        <v>874633.81200000003</v>
      </c>
      <c r="P13" s="55">
        <v>1639</v>
      </c>
      <c r="Q13" s="55">
        <v>12417</v>
      </c>
      <c r="R13" s="55">
        <v>0</v>
      </c>
      <c r="S13" s="32">
        <f t="shared" si="0"/>
        <v>0.51120393207971138</v>
      </c>
      <c r="T13" s="32">
        <f t="shared" si="1"/>
        <v>0.48879606792028868</v>
      </c>
      <c r="U13" s="32">
        <f t="shared" si="2"/>
        <v>0.57454948682764806</v>
      </c>
      <c r="V13" s="32">
        <f t="shared" si="3"/>
        <v>0.425450513172352</v>
      </c>
    </row>
    <row r="14" spans="1:22" ht="19.95" customHeight="1" x14ac:dyDescent="0.3">
      <c r="A14" s="64">
        <v>42887</v>
      </c>
      <c r="B14" s="55">
        <v>81533.75</v>
      </c>
      <c r="C14" s="55">
        <v>103006</v>
      </c>
      <c r="D14" s="55">
        <v>184539.75</v>
      </c>
      <c r="E14" s="55">
        <v>44037</v>
      </c>
      <c r="F14" s="55">
        <v>3098</v>
      </c>
      <c r="G14" s="55">
        <v>47135</v>
      </c>
      <c r="H14" s="55">
        <v>231674.75</v>
      </c>
      <c r="I14" s="55">
        <v>132764</v>
      </c>
      <c r="J14" s="55">
        <v>1753185.041</v>
      </c>
      <c r="K14" s="55">
        <v>14049.97</v>
      </c>
      <c r="L14" s="55">
        <v>1767235.0109999999</v>
      </c>
      <c r="M14" s="55">
        <v>142</v>
      </c>
      <c r="N14" s="55">
        <v>873812.46699999995</v>
      </c>
      <c r="O14" s="55">
        <v>879372.57400000002</v>
      </c>
      <c r="P14" s="55">
        <v>1017</v>
      </c>
      <c r="Q14" s="55">
        <v>12988.25</v>
      </c>
      <c r="R14" s="55">
        <v>44.72</v>
      </c>
      <c r="S14" s="32">
        <f t="shared" si="0"/>
        <v>0.49503976535824007</v>
      </c>
      <c r="T14" s="32">
        <f t="shared" si="1"/>
        <v>0.50496023464175999</v>
      </c>
      <c r="U14" s="32">
        <f t="shared" si="2"/>
        <v>0.54201310242052703</v>
      </c>
      <c r="V14" s="32">
        <f t="shared" si="3"/>
        <v>0.45798689757947297</v>
      </c>
    </row>
    <row r="15" spans="1:22" ht="19.95" customHeight="1" x14ac:dyDescent="0.3">
      <c r="A15" s="64">
        <v>42917</v>
      </c>
      <c r="B15" s="55">
        <v>75702.75</v>
      </c>
      <c r="C15" s="55">
        <v>109215.25</v>
      </c>
      <c r="D15" s="55">
        <v>184918</v>
      </c>
      <c r="E15" s="55">
        <v>46854.75</v>
      </c>
      <c r="F15" s="55">
        <v>2457.25</v>
      </c>
      <c r="G15" s="55">
        <v>49312</v>
      </c>
      <c r="H15" s="55">
        <v>234230</v>
      </c>
      <c r="I15" s="55">
        <v>134104</v>
      </c>
      <c r="J15" s="55">
        <v>1728266.247</v>
      </c>
      <c r="K15" s="55">
        <v>13293.96</v>
      </c>
      <c r="L15" s="55">
        <v>1741560.2069999999</v>
      </c>
      <c r="M15" s="55">
        <v>148</v>
      </c>
      <c r="N15" s="55">
        <v>810212.74100000004</v>
      </c>
      <c r="O15" s="55">
        <v>918053.50600000005</v>
      </c>
      <c r="P15" s="55">
        <v>1491.69</v>
      </c>
      <c r="Q15" s="55">
        <v>11802.27</v>
      </c>
      <c r="R15" s="55">
        <v>0</v>
      </c>
      <c r="S15" s="32">
        <f t="shared" si="0"/>
        <v>0.46607888015438564</v>
      </c>
      <c r="T15" s="32">
        <f t="shared" si="1"/>
        <v>0.53392111984561441</v>
      </c>
      <c r="U15" s="32">
        <f t="shared" si="2"/>
        <v>0.52323570849165346</v>
      </c>
      <c r="V15" s="32">
        <f t="shared" si="3"/>
        <v>0.47676429150834648</v>
      </c>
    </row>
    <row r="16" spans="1:22" ht="19.95" customHeight="1" x14ac:dyDescent="0.3">
      <c r="A16" s="64">
        <v>42948</v>
      </c>
      <c r="B16" s="55">
        <v>75430</v>
      </c>
      <c r="C16" s="55">
        <v>113187.75</v>
      </c>
      <c r="D16" s="55">
        <v>188617.75</v>
      </c>
      <c r="E16" s="55">
        <v>50063.75</v>
      </c>
      <c r="F16" s="55">
        <v>1923</v>
      </c>
      <c r="G16" s="55">
        <v>51986.75</v>
      </c>
      <c r="H16" s="55">
        <v>240604.5</v>
      </c>
      <c r="I16" s="55">
        <v>136826</v>
      </c>
      <c r="J16" s="55">
        <v>1728834.7009999999</v>
      </c>
      <c r="K16" s="55">
        <v>16816.88</v>
      </c>
      <c r="L16" s="55">
        <v>1745651.581</v>
      </c>
      <c r="M16" s="55">
        <v>149</v>
      </c>
      <c r="N16" s="55">
        <v>798838.88500000001</v>
      </c>
      <c r="O16" s="55">
        <v>929995.81599999999</v>
      </c>
      <c r="P16" s="55">
        <v>2327</v>
      </c>
      <c r="Q16" s="55">
        <v>14489.88</v>
      </c>
      <c r="R16" s="55">
        <v>0</v>
      </c>
      <c r="S16" s="32">
        <f t="shared" si="0"/>
        <v>0.45894947979312722</v>
      </c>
      <c r="T16" s="32">
        <f t="shared" si="1"/>
        <v>0.54105052020687294</v>
      </c>
      <c r="U16" s="32">
        <f t="shared" si="2"/>
        <v>0.52157690317512762</v>
      </c>
      <c r="V16" s="32">
        <f t="shared" si="3"/>
        <v>0.47842309682487233</v>
      </c>
    </row>
    <row r="17" spans="1:22" ht="19.95" customHeight="1" x14ac:dyDescent="0.3">
      <c r="A17" s="64">
        <v>42979</v>
      </c>
      <c r="B17" s="55">
        <v>76794.25</v>
      </c>
      <c r="C17" s="55">
        <v>109716</v>
      </c>
      <c r="D17" s="55">
        <v>186510.25</v>
      </c>
      <c r="E17" s="55">
        <v>49844.25</v>
      </c>
      <c r="F17" s="55">
        <v>1461</v>
      </c>
      <c r="G17" s="55">
        <v>51305.25</v>
      </c>
      <c r="H17" s="55">
        <v>237815.5</v>
      </c>
      <c r="I17" s="55">
        <v>135042</v>
      </c>
      <c r="J17" s="55">
        <v>1726496.3089999999</v>
      </c>
      <c r="K17" s="55">
        <v>12189</v>
      </c>
      <c r="L17" s="55">
        <v>1738685.3089999999</v>
      </c>
      <c r="M17" s="55">
        <v>139</v>
      </c>
      <c r="N17" s="55">
        <v>818034.46200000006</v>
      </c>
      <c r="O17" s="55">
        <v>908461.84699999995</v>
      </c>
      <c r="P17" s="55">
        <v>2093</v>
      </c>
      <c r="Q17" s="55">
        <v>9534</v>
      </c>
      <c r="R17" s="55">
        <v>562</v>
      </c>
      <c r="S17" s="32">
        <f t="shared" si="0"/>
        <v>0.47184653571664409</v>
      </c>
      <c r="T17" s="32">
        <f t="shared" si="1"/>
        <v>0.52815346428335597</v>
      </c>
      <c r="U17" s="32">
        <f t="shared" si="2"/>
        <v>0.53250734287714641</v>
      </c>
      <c r="V17" s="32">
        <f t="shared" si="3"/>
        <v>0.46749265712285365</v>
      </c>
    </row>
    <row r="18" spans="1:22" ht="19.95" customHeight="1" x14ac:dyDescent="0.3">
      <c r="A18" s="64">
        <v>43009</v>
      </c>
      <c r="B18" s="55">
        <v>87749.75</v>
      </c>
      <c r="C18" s="55">
        <v>125075.25</v>
      </c>
      <c r="D18" s="55">
        <v>212825</v>
      </c>
      <c r="E18" s="55">
        <v>51182.5</v>
      </c>
      <c r="F18" s="55">
        <v>1482.25</v>
      </c>
      <c r="G18" s="55">
        <v>52664.75</v>
      </c>
      <c r="H18" s="55">
        <v>265489.75</v>
      </c>
      <c r="I18" s="55">
        <v>149595</v>
      </c>
      <c r="J18" s="55">
        <v>1957806.047</v>
      </c>
      <c r="K18" s="55">
        <v>15395.77</v>
      </c>
      <c r="L18" s="55">
        <v>1973201.817</v>
      </c>
      <c r="M18" s="55">
        <v>153</v>
      </c>
      <c r="N18" s="55">
        <v>965887.91799999995</v>
      </c>
      <c r="O18" s="55">
        <v>991918.12899999996</v>
      </c>
      <c r="P18" s="55">
        <v>2305.5100000000002</v>
      </c>
      <c r="Q18" s="55">
        <v>12956.77</v>
      </c>
      <c r="R18" s="55">
        <v>133.49</v>
      </c>
      <c r="S18" s="32">
        <f t="shared" si="0"/>
        <v>0.49070446002856549</v>
      </c>
      <c r="T18" s="32">
        <f t="shared" si="1"/>
        <v>0.50929553997143462</v>
      </c>
      <c r="U18" s="32">
        <f t="shared" si="2"/>
        <v>0.52330551367802336</v>
      </c>
      <c r="V18" s="32">
        <f t="shared" si="3"/>
        <v>0.47669448632197664</v>
      </c>
    </row>
    <row r="19" spans="1:22" ht="19.95" customHeight="1" x14ac:dyDescent="0.3">
      <c r="A19" s="64">
        <v>43040</v>
      </c>
      <c r="B19" s="55">
        <v>87695</v>
      </c>
      <c r="C19" s="55">
        <v>110672.75</v>
      </c>
      <c r="D19" s="55">
        <v>198367.75</v>
      </c>
      <c r="E19" s="55">
        <v>40057.25</v>
      </c>
      <c r="F19" s="55">
        <v>2145</v>
      </c>
      <c r="G19" s="55">
        <v>42202.25</v>
      </c>
      <c r="H19" s="55">
        <v>240570</v>
      </c>
      <c r="I19" s="55">
        <v>135469</v>
      </c>
      <c r="J19" s="55">
        <v>1903358.4080000001</v>
      </c>
      <c r="K19" s="55">
        <v>19974.95</v>
      </c>
      <c r="L19" s="55">
        <v>1923333.358</v>
      </c>
      <c r="M19" s="55">
        <v>137</v>
      </c>
      <c r="N19" s="55">
        <v>977509.24800000002</v>
      </c>
      <c r="O19" s="55">
        <v>925849.16</v>
      </c>
      <c r="P19" s="55">
        <v>2161.77</v>
      </c>
      <c r="Q19" s="55">
        <v>17813.18</v>
      </c>
      <c r="R19" s="55">
        <v>0</v>
      </c>
      <c r="S19" s="32">
        <f t="shared" si="0"/>
        <v>0.50936100802552609</v>
      </c>
      <c r="T19" s="32">
        <f t="shared" si="1"/>
        <v>0.49063899197447397</v>
      </c>
      <c r="U19" s="32">
        <f t="shared" si="2"/>
        <v>0.53103982208920486</v>
      </c>
      <c r="V19" s="32">
        <f t="shared" si="3"/>
        <v>0.4689601779107952</v>
      </c>
    </row>
    <row r="20" spans="1:22" ht="19.95" customHeight="1" x14ac:dyDescent="0.3">
      <c r="A20" s="64">
        <v>43070</v>
      </c>
      <c r="B20" s="55">
        <v>90240.75</v>
      </c>
      <c r="C20" s="55">
        <v>105866.75</v>
      </c>
      <c r="D20" s="55">
        <v>196107.5</v>
      </c>
      <c r="E20" s="55">
        <v>39364</v>
      </c>
      <c r="F20" s="55">
        <v>2053</v>
      </c>
      <c r="G20" s="55">
        <v>41417</v>
      </c>
      <c r="H20" s="55">
        <v>237524.5</v>
      </c>
      <c r="I20" s="55">
        <v>134594</v>
      </c>
      <c r="J20" s="55">
        <v>1897400.429</v>
      </c>
      <c r="K20" s="55">
        <v>19896.95</v>
      </c>
      <c r="L20" s="55">
        <v>1917297.379</v>
      </c>
      <c r="M20" s="55">
        <v>147</v>
      </c>
      <c r="N20" s="55">
        <v>1010401.013</v>
      </c>
      <c r="O20" s="55">
        <v>886999.41599999997</v>
      </c>
      <c r="P20" s="55">
        <v>2604</v>
      </c>
      <c r="Q20" s="55">
        <v>17292.95</v>
      </c>
      <c r="R20" s="55">
        <v>0</v>
      </c>
      <c r="S20" s="32">
        <f t="shared" si="0"/>
        <v>0.52835049173662907</v>
      </c>
      <c r="T20" s="32">
        <f t="shared" si="1"/>
        <v>0.47164950826337093</v>
      </c>
      <c r="U20" s="32">
        <f t="shared" si="2"/>
        <v>0.54564792263534923</v>
      </c>
      <c r="V20" s="32">
        <f t="shared" si="3"/>
        <v>0.45435207736465083</v>
      </c>
    </row>
    <row r="21" spans="1:22" ht="19.95" customHeight="1" x14ac:dyDescent="0.3">
      <c r="A21" s="64">
        <v>43101</v>
      </c>
      <c r="B21" s="55">
        <v>76293.5</v>
      </c>
      <c r="C21" s="55">
        <v>104149.75</v>
      </c>
      <c r="D21" s="55">
        <v>180443.25</v>
      </c>
      <c r="E21" s="55">
        <v>37882.5</v>
      </c>
      <c r="F21" s="55">
        <v>2208</v>
      </c>
      <c r="G21" s="55">
        <v>40090.5</v>
      </c>
      <c r="H21" s="55">
        <v>220533.75</v>
      </c>
      <c r="I21" s="55">
        <v>125369</v>
      </c>
      <c r="J21" s="55">
        <v>1711427.933</v>
      </c>
      <c r="K21" s="55">
        <v>17505.650000000001</v>
      </c>
      <c r="L21" s="55">
        <v>1728933.5830000001</v>
      </c>
      <c r="M21" s="55">
        <v>137</v>
      </c>
      <c r="N21" s="55">
        <v>844303.64599999995</v>
      </c>
      <c r="O21" s="55">
        <v>867124.28700000001</v>
      </c>
      <c r="P21" s="55">
        <v>4000</v>
      </c>
      <c r="Q21" s="55">
        <v>13505.65</v>
      </c>
      <c r="R21" s="55">
        <v>0</v>
      </c>
      <c r="S21" s="32">
        <f t="shared" si="0"/>
        <v>0.49065137859607416</v>
      </c>
      <c r="T21" s="32">
        <f t="shared" si="1"/>
        <v>0.50934862140392589</v>
      </c>
      <c r="U21" s="32">
        <f t="shared" si="2"/>
        <v>0.51772574492566326</v>
      </c>
      <c r="V21" s="32">
        <f t="shared" si="3"/>
        <v>0.48227425507433669</v>
      </c>
    </row>
    <row r="22" spans="1:22" ht="19.95" customHeight="1" x14ac:dyDescent="0.3">
      <c r="A22" s="64">
        <v>43132</v>
      </c>
      <c r="B22" s="55">
        <v>82103.75</v>
      </c>
      <c r="C22" s="55">
        <v>100367.75</v>
      </c>
      <c r="D22" s="55">
        <v>182471.5</v>
      </c>
      <c r="E22" s="55">
        <v>34156</v>
      </c>
      <c r="F22" s="55">
        <v>2099</v>
      </c>
      <c r="G22" s="55">
        <v>36255</v>
      </c>
      <c r="H22" s="55">
        <v>218726.5</v>
      </c>
      <c r="I22" s="55">
        <v>122919</v>
      </c>
      <c r="J22" s="55">
        <v>1726998.129</v>
      </c>
      <c r="K22" s="55">
        <v>13526.62</v>
      </c>
      <c r="L22" s="55">
        <v>1740524.7490000001</v>
      </c>
      <c r="M22" s="55">
        <v>131</v>
      </c>
      <c r="N22" s="55">
        <v>909753.25399999996</v>
      </c>
      <c r="O22" s="55">
        <v>817244.875</v>
      </c>
      <c r="P22" s="55">
        <v>2416</v>
      </c>
      <c r="Q22" s="55">
        <v>11110.62</v>
      </c>
      <c r="R22" s="55">
        <v>0</v>
      </c>
      <c r="S22" s="32">
        <f t="shared" si="0"/>
        <v>0.52407715232091767</v>
      </c>
      <c r="T22" s="32">
        <f t="shared" si="1"/>
        <v>0.47592284767908233</v>
      </c>
      <c r="U22" s="32">
        <f t="shared" si="2"/>
        <v>0.53153024439196894</v>
      </c>
      <c r="V22" s="32">
        <f t="shared" si="3"/>
        <v>0.46846975560803106</v>
      </c>
    </row>
    <row r="23" spans="1:22" ht="19.95" customHeight="1" x14ac:dyDescent="0.3">
      <c r="A23" s="64">
        <v>43160</v>
      </c>
      <c r="B23" s="55">
        <v>98648.25</v>
      </c>
      <c r="C23" s="55">
        <v>113122.5</v>
      </c>
      <c r="D23" s="55">
        <v>211770.75</v>
      </c>
      <c r="E23" s="55">
        <v>38151.5</v>
      </c>
      <c r="F23" s="55">
        <v>2308</v>
      </c>
      <c r="G23" s="55">
        <v>40459.5</v>
      </c>
      <c r="H23" s="55">
        <v>252230.25</v>
      </c>
      <c r="I23" s="55">
        <v>142869</v>
      </c>
      <c r="J23" s="55">
        <v>2071719.4509999999</v>
      </c>
      <c r="K23" s="55">
        <v>19355</v>
      </c>
      <c r="L23" s="55">
        <v>2091074.4509999999</v>
      </c>
      <c r="M23" s="55">
        <v>147</v>
      </c>
      <c r="N23" s="55">
        <v>1104448.5079999999</v>
      </c>
      <c r="O23" s="55">
        <v>967270.94299999997</v>
      </c>
      <c r="P23" s="55">
        <v>3283</v>
      </c>
      <c r="Q23" s="55">
        <v>16072</v>
      </c>
      <c r="R23" s="55">
        <v>0</v>
      </c>
      <c r="S23" s="32">
        <f t="shared" si="0"/>
        <v>0.52974273941812888</v>
      </c>
      <c r="T23" s="32">
        <f t="shared" si="1"/>
        <v>0.47025726058187106</v>
      </c>
      <c r="U23" s="32">
        <f t="shared" si="2"/>
        <v>0.54236060107778505</v>
      </c>
      <c r="V23" s="32">
        <f t="shared" si="3"/>
        <v>0.45763939892221495</v>
      </c>
    </row>
    <row r="24" spans="1:22" ht="19.95" customHeight="1" x14ac:dyDescent="0.3">
      <c r="A24" s="64">
        <v>43191</v>
      </c>
      <c r="B24" s="55">
        <v>86251.25</v>
      </c>
      <c r="C24" s="55">
        <v>97606.75</v>
      </c>
      <c r="D24" s="55">
        <v>183858</v>
      </c>
      <c r="E24" s="55">
        <v>33311</v>
      </c>
      <c r="F24" s="55">
        <v>2112</v>
      </c>
      <c r="G24" s="55">
        <v>35423</v>
      </c>
      <c r="H24" s="55">
        <v>219281</v>
      </c>
      <c r="I24" s="55">
        <v>124936</v>
      </c>
      <c r="J24" s="55">
        <v>1817561.298</v>
      </c>
      <c r="K24" s="55">
        <v>12501.17</v>
      </c>
      <c r="L24" s="55">
        <v>1830062.4680000001</v>
      </c>
      <c r="M24" s="55">
        <v>143</v>
      </c>
      <c r="N24" s="55">
        <v>949522.32499999995</v>
      </c>
      <c r="O24" s="55">
        <v>868038.973</v>
      </c>
      <c r="P24" s="55">
        <v>1874.25</v>
      </c>
      <c r="Q24" s="55">
        <v>10607.92</v>
      </c>
      <c r="R24" s="55">
        <v>19</v>
      </c>
      <c r="S24" s="32">
        <f t="shared" si="0"/>
        <v>0.51987649016870241</v>
      </c>
      <c r="T24" s="32">
        <f t="shared" si="1"/>
        <v>0.4801235098312977</v>
      </c>
      <c r="U24" s="32">
        <f t="shared" si="2"/>
        <v>0.54524673820349234</v>
      </c>
      <c r="V24" s="32">
        <f t="shared" si="3"/>
        <v>0.45475326179650766</v>
      </c>
    </row>
    <row r="25" spans="1:22" ht="19.95" customHeight="1" x14ac:dyDescent="0.3">
      <c r="A25" s="64">
        <v>43221</v>
      </c>
      <c r="B25" s="55">
        <v>85157.25</v>
      </c>
      <c r="C25" s="55">
        <v>108592.25</v>
      </c>
      <c r="D25" s="55">
        <v>193749.5</v>
      </c>
      <c r="E25" s="55">
        <v>40552</v>
      </c>
      <c r="F25" s="55">
        <v>2589</v>
      </c>
      <c r="G25" s="55">
        <v>43141</v>
      </c>
      <c r="H25" s="55">
        <v>236890.5</v>
      </c>
      <c r="I25" s="55">
        <v>134802</v>
      </c>
      <c r="J25" s="55">
        <v>1870938.1089999999</v>
      </c>
      <c r="K25" s="55">
        <v>20161.439999999999</v>
      </c>
      <c r="L25" s="55">
        <v>1891099.5490000001</v>
      </c>
      <c r="M25" s="55">
        <v>142</v>
      </c>
      <c r="N25" s="55">
        <v>926553.23</v>
      </c>
      <c r="O25" s="55">
        <v>944384.87899999996</v>
      </c>
      <c r="P25" s="55">
        <v>2526</v>
      </c>
      <c r="Q25" s="55">
        <v>17635.439999999999</v>
      </c>
      <c r="R25" s="55">
        <v>0</v>
      </c>
      <c r="S25" s="32">
        <f t="shared" si="0"/>
        <v>0.49129049313733408</v>
      </c>
      <c r="T25" s="32">
        <f t="shared" si="1"/>
        <v>0.50870950686266592</v>
      </c>
      <c r="U25" s="32">
        <f t="shared" si="2"/>
        <v>0.53066395655376641</v>
      </c>
      <c r="V25" s="32">
        <f t="shared" si="3"/>
        <v>0.46933604344623359</v>
      </c>
    </row>
    <row r="26" spans="1:22" ht="19.95" customHeight="1" x14ac:dyDescent="0.3">
      <c r="A26" s="64">
        <v>43252</v>
      </c>
      <c r="B26" s="55">
        <v>80595.5</v>
      </c>
      <c r="C26" s="55">
        <v>105955</v>
      </c>
      <c r="D26" s="55">
        <v>186550.5</v>
      </c>
      <c r="E26" s="55">
        <v>35615</v>
      </c>
      <c r="F26" s="55">
        <v>1674</v>
      </c>
      <c r="G26" s="55">
        <v>37289</v>
      </c>
      <c r="H26" s="55">
        <v>223839.5</v>
      </c>
      <c r="I26" s="55">
        <v>127265</v>
      </c>
      <c r="J26" s="55">
        <v>1770196.7479999999</v>
      </c>
      <c r="K26" s="55">
        <v>15868.72</v>
      </c>
      <c r="L26" s="55">
        <v>1786065.4680000001</v>
      </c>
      <c r="M26" s="55">
        <v>131</v>
      </c>
      <c r="N26" s="55">
        <v>865479.69400000002</v>
      </c>
      <c r="O26" s="55">
        <v>904717.054</v>
      </c>
      <c r="P26" s="55">
        <v>2186</v>
      </c>
      <c r="Q26" s="55">
        <v>13682.72</v>
      </c>
      <c r="R26" s="55">
        <v>0</v>
      </c>
      <c r="S26" s="32">
        <f t="shared" si="0"/>
        <v>0.48579725074221075</v>
      </c>
      <c r="T26" s="32">
        <f t="shared" si="1"/>
        <v>0.51420274925778919</v>
      </c>
      <c r="U26" s="32">
        <f t="shared" si="2"/>
        <v>0.51916886876534307</v>
      </c>
      <c r="V26" s="32">
        <f t="shared" si="3"/>
        <v>0.48083113123465698</v>
      </c>
    </row>
    <row r="27" spans="1:22" ht="19.95" customHeight="1" x14ac:dyDescent="0.3">
      <c r="A27" s="64">
        <v>43282</v>
      </c>
      <c r="B27" s="55">
        <v>82853</v>
      </c>
      <c r="C27" s="55">
        <v>120132</v>
      </c>
      <c r="D27" s="55">
        <v>202985</v>
      </c>
      <c r="E27" s="55">
        <v>48182</v>
      </c>
      <c r="F27" s="55">
        <v>1512</v>
      </c>
      <c r="G27" s="55">
        <v>49694</v>
      </c>
      <c r="H27" s="55">
        <v>252679</v>
      </c>
      <c r="I27" s="55">
        <v>143531</v>
      </c>
      <c r="J27" s="55">
        <v>1906019.8489999999</v>
      </c>
      <c r="K27" s="55">
        <v>17835.39</v>
      </c>
      <c r="L27" s="55">
        <v>1923855.2390000001</v>
      </c>
      <c r="M27" s="55">
        <v>142</v>
      </c>
      <c r="N27" s="55">
        <v>892714.85499999998</v>
      </c>
      <c r="O27" s="55">
        <v>1013304.9939999999</v>
      </c>
      <c r="P27" s="55">
        <v>3392.51</v>
      </c>
      <c r="Q27" s="55">
        <v>14442.88</v>
      </c>
      <c r="R27" s="55">
        <v>0</v>
      </c>
      <c r="S27" s="32">
        <f>(N27+P27)/SUM(N27:Q27)</f>
        <v>0.46578731436456072</v>
      </c>
      <c r="T27" s="32">
        <f t="shared" ref="T27" si="4">(O27+Q27)/SUM(N27:Q27)</f>
        <v>0.53421268563543933</v>
      </c>
      <c r="U27" s="32">
        <f t="shared" si="2"/>
        <v>0.51858286600785974</v>
      </c>
      <c r="V27" s="32">
        <f t="shared" si="3"/>
        <v>0.4814171339921402</v>
      </c>
    </row>
    <row r="28" spans="1:22" ht="19.95" customHeight="1" x14ac:dyDescent="0.3">
      <c r="A28" s="64">
        <v>43313</v>
      </c>
      <c r="B28" s="55">
        <v>83512.25</v>
      </c>
      <c r="C28" s="55">
        <v>117041.5</v>
      </c>
      <c r="D28" s="55">
        <v>200553.75</v>
      </c>
      <c r="E28" s="55">
        <v>56726.75</v>
      </c>
      <c r="F28" s="55">
        <v>1540</v>
      </c>
      <c r="G28" s="55">
        <v>58266.75</v>
      </c>
      <c r="H28" s="55">
        <v>258820.5</v>
      </c>
      <c r="I28" s="55">
        <v>146726</v>
      </c>
      <c r="J28" s="55">
        <v>1844204.2</v>
      </c>
      <c r="K28" s="55">
        <v>19001.21</v>
      </c>
      <c r="L28" s="55">
        <v>1863205.41</v>
      </c>
      <c r="M28" s="55">
        <v>149</v>
      </c>
      <c r="N28" s="55">
        <v>880288.25699999998</v>
      </c>
      <c r="O28" s="55">
        <v>963915.94299999997</v>
      </c>
      <c r="P28" s="55">
        <v>3477.13</v>
      </c>
      <c r="Q28" s="55">
        <v>15524.08</v>
      </c>
      <c r="R28" s="55">
        <v>0</v>
      </c>
      <c r="S28" s="32">
        <f>(N28+P28)/SUM(N28:Q28)</f>
        <v>0.47432525810452647</v>
      </c>
      <c r="T28" s="32">
        <f t="shared" ref="T28" si="5">(O28+Q28)/SUM(N28:Q28)</f>
        <v>0.52567474189547359</v>
      </c>
      <c r="U28" s="32">
        <f t="shared" si="2"/>
        <v>0.54183884197735499</v>
      </c>
      <c r="V28" s="32">
        <f t="shared" si="3"/>
        <v>0.45816115802264507</v>
      </c>
    </row>
    <row r="29" spans="1:22" ht="19.95" customHeight="1" x14ac:dyDescent="0.3">
      <c r="A29" s="64">
        <v>43344</v>
      </c>
      <c r="B29" s="55">
        <v>65587.75</v>
      </c>
      <c r="C29" s="55">
        <v>108980.5</v>
      </c>
      <c r="D29" s="55">
        <v>174568.25</v>
      </c>
      <c r="E29" s="55">
        <v>44970.25</v>
      </c>
      <c r="F29" s="55">
        <v>1816.25</v>
      </c>
      <c r="G29" s="55">
        <v>46786.5</v>
      </c>
      <c r="H29" s="55">
        <v>221354.75</v>
      </c>
      <c r="I29" s="55">
        <v>124736</v>
      </c>
      <c r="J29" s="55">
        <v>1573743.9909999999</v>
      </c>
      <c r="K29" s="55">
        <v>12031.94</v>
      </c>
      <c r="L29" s="55">
        <v>1585775.9310000001</v>
      </c>
      <c r="M29" s="55">
        <v>128</v>
      </c>
      <c r="N29" s="55">
        <v>694834.89500000002</v>
      </c>
      <c r="O29" s="55">
        <v>878909.09600000002</v>
      </c>
      <c r="P29" s="55">
        <v>3425.02</v>
      </c>
      <c r="Q29" s="55">
        <v>8606.92</v>
      </c>
      <c r="R29" s="55">
        <v>0</v>
      </c>
      <c r="S29" s="32">
        <f t="shared" ref="S29:S30" si="6">(N29+P29)/SUM(N29:Q29)</f>
        <v>0.44032697265096787</v>
      </c>
      <c r="T29" s="32">
        <f t="shared" ref="T29:T30" si="7">(O29+Q29)/SUM(N29:Q29)</f>
        <v>0.55967302734903224</v>
      </c>
      <c r="U29" s="32">
        <f t="shared" si="2"/>
        <v>0.4994607073035478</v>
      </c>
      <c r="V29" s="32">
        <f t="shared" si="3"/>
        <v>0.50053929269645214</v>
      </c>
    </row>
    <row r="30" spans="1:22" ht="19.95" customHeight="1" x14ac:dyDescent="0.3">
      <c r="A30" s="64">
        <v>43374</v>
      </c>
      <c r="B30" s="55">
        <v>83576.75</v>
      </c>
      <c r="C30" s="55">
        <v>127676.5</v>
      </c>
      <c r="D30" s="55">
        <v>211253.25</v>
      </c>
      <c r="E30" s="55">
        <v>58615.75</v>
      </c>
      <c r="F30" s="55">
        <v>669</v>
      </c>
      <c r="G30" s="55">
        <v>59284.75</v>
      </c>
      <c r="H30" s="55">
        <v>270538</v>
      </c>
      <c r="I30" s="55">
        <v>150931</v>
      </c>
      <c r="J30" s="55">
        <v>1931560.4380000001</v>
      </c>
      <c r="K30" s="55">
        <v>11738.25</v>
      </c>
      <c r="L30" s="55">
        <v>1943298.6880000001</v>
      </c>
      <c r="M30" s="55">
        <v>142</v>
      </c>
      <c r="N30" s="55">
        <v>920857.522</v>
      </c>
      <c r="O30" s="55">
        <v>1010702.916</v>
      </c>
      <c r="P30" s="55">
        <v>2871</v>
      </c>
      <c r="Q30" s="55">
        <v>8867.25</v>
      </c>
      <c r="R30" s="55">
        <v>0</v>
      </c>
      <c r="S30" s="32">
        <f t="shared" si="6"/>
        <v>0.47534047529805151</v>
      </c>
      <c r="T30" s="32">
        <f t="shared" si="7"/>
        <v>0.52465952470194843</v>
      </c>
      <c r="U30" s="32">
        <f t="shared" si="2"/>
        <v>0.5255915989620682</v>
      </c>
      <c r="V30" s="32">
        <f t="shared" si="3"/>
        <v>0.4744084010379318</v>
      </c>
    </row>
    <row r="31" spans="1:22" ht="19.95" customHeight="1" x14ac:dyDescent="0.3">
      <c r="A31" s="64">
        <v>43405</v>
      </c>
      <c r="B31" s="55">
        <v>77788.75</v>
      </c>
      <c r="C31" s="55">
        <v>112218.25</v>
      </c>
      <c r="D31" s="55">
        <v>190007</v>
      </c>
      <c r="E31" s="55">
        <v>47841</v>
      </c>
      <c r="F31" s="55">
        <v>2042</v>
      </c>
      <c r="G31" s="55">
        <v>49883</v>
      </c>
      <c r="H31" s="55">
        <v>239890</v>
      </c>
      <c r="I31" s="55">
        <v>133711</v>
      </c>
      <c r="J31" s="55">
        <v>1779030.956</v>
      </c>
      <c r="K31" s="55">
        <v>12620.18</v>
      </c>
      <c r="L31" s="55">
        <v>1791651.1359999999</v>
      </c>
      <c r="M31" s="55">
        <v>130</v>
      </c>
      <c r="N31" s="55">
        <v>872493.12399999995</v>
      </c>
      <c r="O31" s="55">
        <v>906537.83200000005</v>
      </c>
      <c r="P31" s="55">
        <v>1834.77</v>
      </c>
      <c r="Q31" s="55">
        <v>10785.41</v>
      </c>
      <c r="R31" s="55">
        <v>0</v>
      </c>
      <c r="S31" s="32">
        <f t="shared" ref="S31" si="8">(N31+P31)/SUM(N31:Q31)</f>
        <v>0.48800119422356114</v>
      </c>
      <c r="T31" s="32">
        <f t="shared" ref="T31" si="9">(O31+Q31)/SUM(N31:Q31)</f>
        <v>0.51199880577643886</v>
      </c>
      <c r="U31" s="32">
        <f t="shared" si="2"/>
        <v>0.52369731960481891</v>
      </c>
      <c r="V31" s="32">
        <f t="shared" si="3"/>
        <v>0.47630268039518114</v>
      </c>
    </row>
    <row r="32" spans="1:22" ht="19.95" customHeight="1" x14ac:dyDescent="0.3">
      <c r="A32" s="64">
        <v>43435</v>
      </c>
      <c r="B32" s="55">
        <v>75418</v>
      </c>
      <c r="C32" s="55">
        <v>111566</v>
      </c>
      <c r="D32" s="55">
        <v>186984</v>
      </c>
      <c r="E32" s="55">
        <v>52045.5</v>
      </c>
      <c r="F32" s="55">
        <v>2091</v>
      </c>
      <c r="G32" s="55">
        <v>54136.5</v>
      </c>
      <c r="H32" s="55">
        <v>241120.5</v>
      </c>
      <c r="I32" s="55">
        <v>135091</v>
      </c>
      <c r="J32" s="55">
        <v>1782032.4040000001</v>
      </c>
      <c r="K32" s="55">
        <v>17283.86</v>
      </c>
      <c r="L32" s="55">
        <v>1799316.264</v>
      </c>
      <c r="M32" s="55">
        <v>133</v>
      </c>
      <c r="N32" s="55">
        <v>844333.89599999995</v>
      </c>
      <c r="O32" s="55">
        <v>937698.50800000003</v>
      </c>
      <c r="P32" s="55">
        <v>4428.09</v>
      </c>
      <c r="Q32" s="55">
        <v>12855.77</v>
      </c>
      <c r="R32" s="55">
        <v>0</v>
      </c>
      <c r="S32" s="32">
        <f t="shared" ref="S32" si="10">(N32+P32)/SUM(N32:Q32)</f>
        <v>0.47171361865709222</v>
      </c>
      <c r="T32" s="32">
        <f t="shared" ref="T32" si="11">(O32+Q32)/SUM(N32:Q32)</f>
        <v>0.52828638134290773</v>
      </c>
      <c r="U32" s="32">
        <f t="shared" si="2"/>
        <v>0.5286298759334026</v>
      </c>
      <c r="V32" s="32">
        <f t="shared" si="3"/>
        <v>0.4713701240665974</v>
      </c>
    </row>
    <row r="33" spans="1:22" ht="19.95" customHeight="1" x14ac:dyDescent="0.3">
      <c r="A33" s="64">
        <v>43466</v>
      </c>
      <c r="B33" s="55">
        <v>77948.25</v>
      </c>
      <c r="C33" s="55">
        <v>109756.5</v>
      </c>
      <c r="D33" s="55">
        <v>187704.75</v>
      </c>
      <c r="E33" s="55">
        <v>50537.75</v>
      </c>
      <c r="F33" s="55">
        <v>1868</v>
      </c>
      <c r="G33" s="55">
        <v>52405.75</v>
      </c>
      <c r="H33" s="55">
        <v>240110.5</v>
      </c>
      <c r="I33" s="55">
        <v>134638</v>
      </c>
      <c r="J33" s="55">
        <v>1775644.0179999999</v>
      </c>
      <c r="K33" s="55">
        <v>15085.79</v>
      </c>
      <c r="L33" s="55">
        <v>1790729.808</v>
      </c>
      <c r="M33" s="55">
        <v>129</v>
      </c>
      <c r="N33" s="55">
        <v>859501.10199999996</v>
      </c>
      <c r="O33" s="55">
        <v>916142.91599999997</v>
      </c>
      <c r="P33" s="55">
        <v>1691.71</v>
      </c>
      <c r="Q33" s="55">
        <v>13394.08</v>
      </c>
      <c r="R33" s="55">
        <v>0</v>
      </c>
      <c r="S33" s="32">
        <f t="shared" ref="S33" si="12">(N33+P33)/SUM(N33:Q33)</f>
        <v>0.48091722612348448</v>
      </c>
      <c r="T33" s="32">
        <f t="shared" ref="T33" si="13">(O33+Q33)/SUM(N33:Q33)</f>
        <v>0.51908277387651547</v>
      </c>
      <c r="U33" s="32">
        <f t="shared" si="2"/>
        <v>0.53511195886893748</v>
      </c>
      <c r="V33" s="32">
        <f t="shared" si="3"/>
        <v>0.46488804113106258</v>
      </c>
    </row>
    <row r="34" spans="1:22" ht="19.95" customHeight="1" x14ac:dyDescent="0.3">
      <c r="A34" s="64">
        <v>43497</v>
      </c>
      <c r="B34" s="55">
        <v>76641.75</v>
      </c>
      <c r="C34" s="55">
        <v>105356.75</v>
      </c>
      <c r="D34" s="55">
        <v>181998.5</v>
      </c>
      <c r="E34" s="55">
        <v>44037.75</v>
      </c>
      <c r="F34" s="55">
        <v>2115</v>
      </c>
      <c r="G34" s="55">
        <v>46152.75</v>
      </c>
      <c r="H34" s="55">
        <v>228151.25</v>
      </c>
      <c r="I34" s="55">
        <v>127596</v>
      </c>
      <c r="J34" s="55">
        <v>1691758.4779999999</v>
      </c>
      <c r="K34" s="55">
        <v>13561.06</v>
      </c>
      <c r="L34" s="55">
        <v>1705319.5379999999</v>
      </c>
      <c r="M34" s="55">
        <v>113</v>
      </c>
      <c r="N34" s="55">
        <v>838116.28799999994</v>
      </c>
      <c r="O34" s="55">
        <v>853642.19</v>
      </c>
      <c r="P34" s="55">
        <v>1666.4</v>
      </c>
      <c r="Q34" s="55">
        <v>11894.66</v>
      </c>
      <c r="R34" s="55">
        <v>0</v>
      </c>
      <c r="S34" s="32">
        <f t="shared" ref="S34" si="14">(N34+P34)/SUM(N34:Q34)</f>
        <v>0.49244887499787743</v>
      </c>
      <c r="T34" s="32">
        <f t="shared" ref="T34" si="15">(O34+Q34)/SUM(N34:Q34)</f>
        <v>0.50755112500212274</v>
      </c>
      <c r="U34" s="32">
        <f t="shared" si="2"/>
        <v>0.528945162474455</v>
      </c>
      <c r="V34" s="32">
        <f t="shared" si="3"/>
        <v>0.471054837525545</v>
      </c>
    </row>
    <row r="35" spans="1:22" ht="19.95" customHeight="1" x14ac:dyDescent="0.3">
      <c r="A35" s="64">
        <v>43525</v>
      </c>
      <c r="B35" s="55">
        <v>89282</v>
      </c>
      <c r="C35" s="55">
        <v>107039.5</v>
      </c>
      <c r="D35" s="55">
        <v>196321.5</v>
      </c>
      <c r="E35" s="55">
        <v>41711.75</v>
      </c>
      <c r="F35" s="55">
        <v>2002</v>
      </c>
      <c r="G35" s="55">
        <v>43713.75</v>
      </c>
      <c r="H35" s="55">
        <v>240035.25</v>
      </c>
      <c r="I35" s="55">
        <v>135146</v>
      </c>
      <c r="J35" s="55">
        <v>1909857.273</v>
      </c>
      <c r="K35" s="55">
        <v>12673</v>
      </c>
      <c r="L35" s="55">
        <v>1922530.273</v>
      </c>
      <c r="M35" s="55">
        <v>128</v>
      </c>
      <c r="N35" s="55">
        <v>983838.66200000001</v>
      </c>
      <c r="O35" s="55">
        <v>926018.61100000003</v>
      </c>
      <c r="P35" s="55">
        <v>1965</v>
      </c>
      <c r="Q35" s="55">
        <v>10708</v>
      </c>
      <c r="R35" s="55">
        <v>0</v>
      </c>
      <c r="S35" s="32">
        <f t="shared" ref="S35" si="16">(N35+P35)/SUM(N35:Q35)</f>
        <v>0.51276366143338226</v>
      </c>
      <c r="T35" s="32">
        <f t="shared" ref="T35" si="17">(O35+Q35)/SUM(N35:Q35)</f>
        <v>0.48723633856661774</v>
      </c>
      <c r="U35" s="32">
        <f t="shared" si="2"/>
        <v>0.54572713799327388</v>
      </c>
      <c r="V35" s="32">
        <f t="shared" si="3"/>
        <v>0.45427286200672612</v>
      </c>
    </row>
    <row r="36" spans="1:22" ht="19.95" customHeight="1" x14ac:dyDescent="0.3">
      <c r="A36" s="64">
        <v>43556</v>
      </c>
      <c r="B36" s="55">
        <v>85378</v>
      </c>
      <c r="C36" s="55">
        <v>119265.75</v>
      </c>
      <c r="D36" s="55">
        <v>204643.75</v>
      </c>
      <c r="E36" s="55">
        <v>38579.5</v>
      </c>
      <c r="F36" s="55">
        <v>2710</v>
      </c>
      <c r="G36" s="55">
        <v>41289.5</v>
      </c>
      <c r="H36" s="55">
        <v>245933.25</v>
      </c>
      <c r="I36" s="55">
        <v>138996</v>
      </c>
      <c r="J36" s="55">
        <v>1969618.3370000001</v>
      </c>
      <c r="K36" s="55">
        <v>13018</v>
      </c>
      <c r="L36" s="55">
        <v>1982636.3370000001</v>
      </c>
      <c r="M36" s="55">
        <v>126</v>
      </c>
      <c r="N36" s="55">
        <v>939487.853</v>
      </c>
      <c r="O36" s="55">
        <v>1030130.4840000001</v>
      </c>
      <c r="P36" s="55">
        <v>2522</v>
      </c>
      <c r="Q36" s="55">
        <v>10496</v>
      </c>
      <c r="R36" s="55">
        <v>0</v>
      </c>
      <c r="S36" s="32">
        <f t="shared" ref="S36" si="18">(N36+P36)/SUM(N36:Q36)</f>
        <v>0.47512992444463603</v>
      </c>
      <c r="T36" s="32">
        <f t="shared" ref="T36" si="19">(O36+Q36)/SUM(N36:Q36)</f>
        <v>0.52487007555536391</v>
      </c>
      <c r="U36" s="32">
        <f t="shared" si="2"/>
        <v>0.50402904040018992</v>
      </c>
      <c r="V36" s="32">
        <f t="shared" si="3"/>
        <v>0.49597095959981014</v>
      </c>
    </row>
    <row r="37" spans="1:22" ht="19.95" customHeight="1" x14ac:dyDescent="0.3">
      <c r="A37" s="64">
        <v>43586</v>
      </c>
      <c r="B37" s="55">
        <v>88064.5</v>
      </c>
      <c r="C37" s="55">
        <v>119591.75</v>
      </c>
      <c r="D37" s="55">
        <v>207656.25</v>
      </c>
      <c r="E37" s="55">
        <v>51173.25</v>
      </c>
      <c r="F37" s="55">
        <v>2064</v>
      </c>
      <c r="G37" s="55">
        <v>53237.25</v>
      </c>
      <c r="H37" s="55">
        <v>260893.5</v>
      </c>
      <c r="I37" s="55">
        <v>146018</v>
      </c>
      <c r="J37" s="55">
        <v>1971263.2609999999</v>
      </c>
      <c r="K37" s="55">
        <v>15645</v>
      </c>
      <c r="L37" s="55">
        <v>1986908.2609999999</v>
      </c>
      <c r="M37" s="55">
        <v>127</v>
      </c>
      <c r="N37" s="55">
        <v>964796.24100000004</v>
      </c>
      <c r="O37" s="55">
        <v>1006467.02</v>
      </c>
      <c r="P37" s="55">
        <v>3467</v>
      </c>
      <c r="Q37" s="55">
        <v>12079</v>
      </c>
      <c r="R37" s="55">
        <v>99</v>
      </c>
      <c r="S37" s="32">
        <f t="shared" ref="S37" si="20">(N37+P37)/SUM(N37:Q37)</f>
        <v>0.48734584643150608</v>
      </c>
      <c r="T37" s="32">
        <f t="shared" ref="T37" si="21">(O37+Q37)/SUM(N37:Q37)</f>
        <v>0.51265415356849398</v>
      </c>
      <c r="U37" s="32">
        <f t="shared" si="2"/>
        <v>0.5336957417490279</v>
      </c>
      <c r="V37" s="32">
        <f t="shared" si="3"/>
        <v>0.46630425825097216</v>
      </c>
    </row>
    <row r="38" spans="1:22" ht="19.95" customHeight="1" x14ac:dyDescent="0.3">
      <c r="A38" s="64">
        <v>43617</v>
      </c>
      <c r="B38" s="55">
        <v>76535.25</v>
      </c>
      <c r="C38" s="55">
        <v>112663.75</v>
      </c>
      <c r="D38" s="55">
        <v>189199</v>
      </c>
      <c r="E38" s="55">
        <v>48622.25</v>
      </c>
      <c r="F38" s="55">
        <v>1507.75</v>
      </c>
      <c r="G38" s="55">
        <v>50130</v>
      </c>
      <c r="H38" s="55">
        <v>239329</v>
      </c>
      <c r="I38" s="55">
        <v>134371</v>
      </c>
      <c r="J38" s="55">
        <v>1773432.6839999999</v>
      </c>
      <c r="K38" s="55">
        <v>12197</v>
      </c>
      <c r="L38" s="55">
        <v>1785629.6839999999</v>
      </c>
      <c r="M38" s="55">
        <v>123</v>
      </c>
      <c r="N38" s="55">
        <v>832834.26800000004</v>
      </c>
      <c r="O38" s="55">
        <v>940598.41599999997</v>
      </c>
      <c r="P38" s="55">
        <v>3002</v>
      </c>
      <c r="Q38" s="55">
        <v>9195</v>
      </c>
      <c r="R38" s="55">
        <v>0</v>
      </c>
      <c r="S38" s="32">
        <f t="shared" ref="S38" si="22">(N38+P38)/SUM(N38:Q38)</f>
        <v>0.46809048678426879</v>
      </c>
      <c r="T38" s="32">
        <f t="shared" ref="T38" si="23">(O38+Q38)/SUM(N38:Q38)</f>
        <v>0.53190951321573121</v>
      </c>
      <c r="U38" s="32">
        <f t="shared" si="2"/>
        <v>0.52295166904136148</v>
      </c>
      <c r="V38" s="32">
        <f t="shared" si="3"/>
        <v>0.47704833095863852</v>
      </c>
    </row>
    <row r="39" spans="1:22" ht="19.95" customHeight="1" x14ac:dyDescent="0.3">
      <c r="A39" s="64">
        <v>43647</v>
      </c>
      <c r="B39" s="55">
        <v>80954.75</v>
      </c>
      <c r="C39" s="55">
        <v>125259.5</v>
      </c>
      <c r="D39" s="55">
        <v>206214.25</v>
      </c>
      <c r="E39" s="55">
        <v>56696</v>
      </c>
      <c r="F39" s="55">
        <v>2649</v>
      </c>
      <c r="G39" s="55">
        <v>59345</v>
      </c>
      <c r="H39" s="55">
        <v>265559.25</v>
      </c>
      <c r="I39" s="55">
        <v>149163</v>
      </c>
      <c r="J39" s="55">
        <v>1886344.8119999999</v>
      </c>
      <c r="K39" s="55">
        <v>15294</v>
      </c>
      <c r="L39" s="55">
        <v>1901638.8119999999</v>
      </c>
      <c r="M39" s="55">
        <v>135</v>
      </c>
      <c r="N39" s="55">
        <v>873501.37899999996</v>
      </c>
      <c r="O39" s="55">
        <v>1012843.433</v>
      </c>
      <c r="P39" s="55">
        <v>2315</v>
      </c>
      <c r="Q39" s="55">
        <v>12979</v>
      </c>
      <c r="R39" s="55">
        <v>0</v>
      </c>
      <c r="S39" s="32">
        <f t="shared" ref="S39" si="24">(N39+P39)/SUM(N39:Q39)</f>
        <v>0.46055874200363134</v>
      </c>
      <c r="T39" s="32">
        <f t="shared" ref="T39" si="25">(O39+Q39)/SUM(N39:Q39)</f>
        <v>0.53944125799636866</v>
      </c>
      <c r="U39" s="32">
        <f t="shared" si="2"/>
        <v>0.51834289334677663</v>
      </c>
      <c r="V39" s="32">
        <f t="shared" si="3"/>
        <v>0.48165710665322337</v>
      </c>
    </row>
    <row r="40" spans="1:22" ht="19.95" customHeight="1" x14ac:dyDescent="0.3">
      <c r="A40" s="64">
        <v>43678</v>
      </c>
      <c r="B40" s="55">
        <v>80654.75</v>
      </c>
      <c r="C40" s="55">
        <v>121542.25</v>
      </c>
      <c r="D40" s="55">
        <v>202197</v>
      </c>
      <c r="E40" s="55">
        <v>54405.25</v>
      </c>
      <c r="F40" s="55">
        <v>1073</v>
      </c>
      <c r="G40" s="55">
        <v>55478.25</v>
      </c>
      <c r="H40" s="55">
        <v>257675.25</v>
      </c>
      <c r="I40" s="55">
        <v>143327</v>
      </c>
      <c r="J40" s="55">
        <v>1828996.399</v>
      </c>
      <c r="K40" s="55">
        <v>15363.2</v>
      </c>
      <c r="L40" s="55">
        <v>1844359.5989999999</v>
      </c>
      <c r="M40" s="55">
        <v>133</v>
      </c>
      <c r="N40" s="55">
        <v>871554.56400000001</v>
      </c>
      <c r="O40" s="55">
        <v>957441.83499999996</v>
      </c>
      <c r="P40" s="55">
        <v>1808.2</v>
      </c>
      <c r="Q40" s="55">
        <v>13455</v>
      </c>
      <c r="R40" s="55">
        <v>100</v>
      </c>
      <c r="S40" s="32">
        <f t="shared" ref="S40" si="26">(N40+P40)/SUM(N40:Q40)</f>
        <v>0.47355739098419625</v>
      </c>
      <c r="T40" s="32">
        <f t="shared" ref="T40" si="27">(O40+Q40)/SUM(N40:Q40)</f>
        <v>0.52644260901580375</v>
      </c>
      <c r="U40" s="32">
        <f t="shared" si="2"/>
        <v>0.52414812831267266</v>
      </c>
      <c r="V40" s="32">
        <f t="shared" si="3"/>
        <v>0.47585187168732734</v>
      </c>
    </row>
    <row r="41" spans="1:22" ht="19.95" customHeight="1" x14ac:dyDescent="0.3">
      <c r="A41" s="64">
        <v>43709</v>
      </c>
      <c r="B41" s="55">
        <v>71560.5</v>
      </c>
      <c r="C41" s="55">
        <v>114642.5</v>
      </c>
      <c r="D41" s="55">
        <v>186203</v>
      </c>
      <c r="E41" s="55">
        <v>52765.5</v>
      </c>
      <c r="F41" s="55">
        <v>2447</v>
      </c>
      <c r="G41" s="55">
        <v>55212.5</v>
      </c>
      <c r="H41" s="55">
        <v>241415.5</v>
      </c>
      <c r="I41" s="55">
        <v>134948</v>
      </c>
      <c r="J41" s="55">
        <v>1678129.94</v>
      </c>
      <c r="K41" s="55">
        <v>11469.2</v>
      </c>
      <c r="L41" s="55">
        <v>1689599.14</v>
      </c>
      <c r="M41" s="55">
        <v>125</v>
      </c>
      <c r="N41" s="55">
        <v>774025.61699999997</v>
      </c>
      <c r="O41" s="55">
        <v>904104.32299999997</v>
      </c>
      <c r="P41" s="55">
        <v>1140.2</v>
      </c>
      <c r="Q41" s="55">
        <v>10244</v>
      </c>
      <c r="R41" s="55">
        <v>85</v>
      </c>
      <c r="S41" s="32">
        <f t="shared" ref="S41" si="28">(N41+P41)/SUM(N41:Q41)</f>
        <v>0.45880990199939964</v>
      </c>
      <c r="T41" s="32">
        <f t="shared" ref="T41" si="29">(O41+Q41)/SUM(N41:Q41)</f>
        <v>0.54119009800060036</v>
      </c>
      <c r="U41" s="32">
        <f t="shared" si="2"/>
        <v>0.5149876457808219</v>
      </c>
      <c r="V41" s="32">
        <f t="shared" si="3"/>
        <v>0.48501235421917815</v>
      </c>
    </row>
    <row r="42" spans="1:22" ht="19.95" customHeight="1" x14ac:dyDescent="0.3">
      <c r="A42" s="64">
        <v>43739</v>
      </c>
      <c r="B42" s="55">
        <v>83556.5</v>
      </c>
      <c r="C42" s="55">
        <v>124142.25</v>
      </c>
      <c r="D42" s="55">
        <v>207698.75</v>
      </c>
      <c r="E42" s="55">
        <v>57427.25</v>
      </c>
      <c r="F42" s="55">
        <v>1850</v>
      </c>
      <c r="G42" s="55">
        <v>59277.25</v>
      </c>
      <c r="H42" s="55">
        <v>266976</v>
      </c>
      <c r="I42" s="55">
        <v>148242</v>
      </c>
      <c r="J42" s="55">
        <v>1870054.4569999999</v>
      </c>
      <c r="K42" s="55">
        <v>12757</v>
      </c>
      <c r="L42" s="55">
        <v>1882811.4569999999</v>
      </c>
      <c r="M42" s="55">
        <v>128</v>
      </c>
      <c r="N42" s="55">
        <v>917732.16200000001</v>
      </c>
      <c r="O42" s="55">
        <v>952322.29500000004</v>
      </c>
      <c r="P42" s="55">
        <v>1057</v>
      </c>
      <c r="Q42" s="55">
        <v>11700</v>
      </c>
      <c r="R42" s="55">
        <v>0</v>
      </c>
      <c r="S42" s="32">
        <f t="shared" ref="S42" si="30">(N42+P42)/SUM(N42:Q42)</f>
        <v>0.48798787503872726</v>
      </c>
      <c r="T42" s="32">
        <f t="shared" ref="T42" si="31">(O42+Q42)/SUM(N42:Q42)</f>
        <v>0.5120121249612728</v>
      </c>
      <c r="U42" s="32">
        <f t="shared" si="2"/>
        <v>0.52807649376722998</v>
      </c>
      <c r="V42" s="32">
        <f t="shared" si="3"/>
        <v>0.47192350623276996</v>
      </c>
    </row>
    <row r="43" spans="1:22" ht="19.95" customHeight="1" x14ac:dyDescent="0.3">
      <c r="A43" s="64">
        <v>43770</v>
      </c>
      <c r="B43" s="55">
        <v>77241</v>
      </c>
      <c r="C43" s="55">
        <v>103410</v>
      </c>
      <c r="D43" s="55">
        <v>180651</v>
      </c>
      <c r="E43" s="55">
        <v>44991.5</v>
      </c>
      <c r="F43" s="55">
        <v>1339</v>
      </c>
      <c r="G43" s="55">
        <v>46330.5</v>
      </c>
      <c r="H43" s="55">
        <v>226981.5</v>
      </c>
      <c r="I43" s="55">
        <v>126063</v>
      </c>
      <c r="J43" s="55">
        <v>1709070.754</v>
      </c>
      <c r="K43" s="55">
        <v>10508</v>
      </c>
      <c r="L43" s="55">
        <v>1719578.754</v>
      </c>
      <c r="M43" s="55">
        <v>122</v>
      </c>
      <c r="N43" s="55">
        <v>875941.89599999995</v>
      </c>
      <c r="O43" s="55">
        <v>833128.85800000001</v>
      </c>
      <c r="P43" s="55">
        <v>1508</v>
      </c>
      <c r="Q43" s="55">
        <v>9000</v>
      </c>
      <c r="R43" s="55">
        <v>0</v>
      </c>
      <c r="S43" s="32">
        <f t="shared" ref="S43" si="32">(N43+P43)/SUM(N43:Q43)</f>
        <v>0.51027025889853483</v>
      </c>
      <c r="T43" s="32">
        <f t="shared" ref="T43" si="33">(O43+Q43)/SUM(N43:Q43)</f>
        <v>0.48972974110146517</v>
      </c>
      <c r="U43" s="32">
        <f t="shared" si="2"/>
        <v>0.53851305062306842</v>
      </c>
      <c r="V43" s="32">
        <f t="shared" si="3"/>
        <v>0.46148694937693158</v>
      </c>
    </row>
    <row r="44" spans="1:22" ht="19.95" customHeight="1" x14ac:dyDescent="0.3">
      <c r="A44" s="64">
        <v>43800</v>
      </c>
      <c r="B44" s="55">
        <v>78284.75</v>
      </c>
      <c r="C44" s="55">
        <v>103710.5</v>
      </c>
      <c r="D44" s="55">
        <v>181995.25</v>
      </c>
      <c r="E44" s="55">
        <v>41854.25</v>
      </c>
      <c r="F44" s="55">
        <v>1052.25</v>
      </c>
      <c r="G44" s="55">
        <v>42906.5</v>
      </c>
      <c r="H44" s="55">
        <v>224901.75</v>
      </c>
      <c r="I44" s="55">
        <v>125281</v>
      </c>
      <c r="J44" s="55">
        <v>1715087.625</v>
      </c>
      <c r="K44" s="55">
        <v>13918.22</v>
      </c>
      <c r="L44" s="55">
        <v>1729005.845</v>
      </c>
      <c r="M44" s="55">
        <v>125</v>
      </c>
      <c r="N44" s="55">
        <v>884642.16200000001</v>
      </c>
      <c r="O44" s="55">
        <v>830445.46299999999</v>
      </c>
      <c r="P44" s="55">
        <v>1215.22</v>
      </c>
      <c r="Q44" s="55">
        <v>12703</v>
      </c>
      <c r="R44" s="55">
        <v>0</v>
      </c>
      <c r="S44" s="32">
        <f t="shared" ref="S44" si="34">(N44+P44)/SUM(N44:Q44)</f>
        <v>0.51235071562178558</v>
      </c>
      <c r="T44" s="32">
        <f t="shared" ref="T44" si="35">(O44+Q44)/SUM(N44:Q44)</f>
        <v>0.48764928437821448</v>
      </c>
      <c r="U44" s="32">
        <f t="shared" si="2"/>
        <v>0.53418437162005183</v>
      </c>
      <c r="V44" s="32">
        <f t="shared" si="3"/>
        <v>0.46581562837994811</v>
      </c>
    </row>
    <row r="45" spans="1:22" ht="19.95" customHeight="1" x14ac:dyDescent="0.3">
      <c r="A45" s="64">
        <v>43831</v>
      </c>
      <c r="B45" s="55">
        <v>79328</v>
      </c>
      <c r="C45" s="55">
        <v>108884</v>
      </c>
      <c r="D45" s="55">
        <v>188212</v>
      </c>
      <c r="E45" s="55">
        <v>36655.5</v>
      </c>
      <c r="F45" s="55">
        <v>2366</v>
      </c>
      <c r="G45" s="55">
        <v>39021.5</v>
      </c>
      <c r="H45" s="55">
        <v>227233.5</v>
      </c>
      <c r="I45" s="55">
        <v>126634</v>
      </c>
      <c r="J45" s="55">
        <v>1772106.13</v>
      </c>
      <c r="K45" s="55">
        <v>9003</v>
      </c>
      <c r="L45" s="55">
        <v>1781109.13</v>
      </c>
      <c r="M45" s="55">
        <v>121</v>
      </c>
      <c r="N45" s="55">
        <v>901985.13199999998</v>
      </c>
      <c r="O45" s="55">
        <v>870120.99800000002</v>
      </c>
      <c r="P45" s="55">
        <v>544</v>
      </c>
      <c r="Q45" s="55">
        <v>8459</v>
      </c>
      <c r="R45" s="55">
        <v>0</v>
      </c>
      <c r="S45" s="32">
        <f t="shared" ref="S45" si="36">(N45+P45)/SUM(N45:Q45)</f>
        <v>0.50672309562525231</v>
      </c>
      <c r="T45" s="32">
        <f t="shared" ref="T45" si="37">(O45+Q45)/SUM(N45:Q45)</f>
        <v>0.49327690437474769</v>
      </c>
      <c r="U45" s="32">
        <f t="shared" si="2"/>
        <v>0.51041549771490557</v>
      </c>
      <c r="V45" s="32">
        <f t="shared" si="3"/>
        <v>0.48958450228509443</v>
      </c>
    </row>
    <row r="46" spans="1:22" ht="19.95" customHeight="1" x14ac:dyDescent="0.3">
      <c r="A46" s="64">
        <v>43862</v>
      </c>
      <c r="B46" s="55">
        <v>80834</v>
      </c>
      <c r="C46" s="55">
        <v>97559</v>
      </c>
      <c r="D46" s="55">
        <v>178393</v>
      </c>
      <c r="E46" s="55">
        <v>27917.5</v>
      </c>
      <c r="F46" s="55">
        <v>1505.25</v>
      </c>
      <c r="G46" s="55">
        <v>29422.75</v>
      </c>
      <c r="H46" s="55">
        <v>207815.75</v>
      </c>
      <c r="I46" s="55">
        <v>114959</v>
      </c>
      <c r="J46" s="55">
        <v>1663595.0449999999</v>
      </c>
      <c r="K46" s="55">
        <v>9484</v>
      </c>
      <c r="L46" s="55">
        <v>1673079.0449999999</v>
      </c>
      <c r="M46" s="55">
        <v>111</v>
      </c>
      <c r="N46" s="55">
        <v>896083.86499999999</v>
      </c>
      <c r="O46" s="55">
        <v>767511.18</v>
      </c>
      <c r="P46" s="55">
        <v>1400</v>
      </c>
      <c r="Q46" s="55">
        <v>8084</v>
      </c>
      <c r="R46" s="55">
        <v>0</v>
      </c>
      <c r="S46" s="32">
        <f t="shared" ref="S46" si="38">(N46+P46)/SUM(N46:Q46)</f>
        <v>0.53642645736442174</v>
      </c>
      <c r="T46" s="32">
        <f t="shared" ref="T46" si="39">(O46+Q46)/SUM(N46:Q46)</f>
        <v>0.46357354263557826</v>
      </c>
      <c r="U46" s="32">
        <f t="shared" si="2"/>
        <v>0.52330730466771647</v>
      </c>
      <c r="V46" s="32">
        <f t="shared" si="3"/>
        <v>0.47669269533228353</v>
      </c>
    </row>
    <row r="47" spans="1:22" ht="19.95" customHeight="1" x14ac:dyDescent="0.3">
      <c r="A47" s="64">
        <v>43891</v>
      </c>
      <c r="B47" s="55">
        <v>90761</v>
      </c>
      <c r="C47" s="55">
        <v>99129</v>
      </c>
      <c r="D47" s="55">
        <v>189890</v>
      </c>
      <c r="E47" s="55">
        <v>26347.25</v>
      </c>
      <c r="F47" s="55">
        <v>3078</v>
      </c>
      <c r="G47" s="55">
        <v>29425.25</v>
      </c>
      <c r="H47" s="55">
        <v>219315.25</v>
      </c>
      <c r="I47" s="55">
        <v>122655</v>
      </c>
      <c r="J47" s="55">
        <v>1839346.075</v>
      </c>
      <c r="K47" s="55">
        <v>8552</v>
      </c>
      <c r="L47" s="55">
        <v>1847898.075</v>
      </c>
      <c r="M47" s="55">
        <v>112</v>
      </c>
      <c r="N47" s="55">
        <v>968667.01800000004</v>
      </c>
      <c r="O47" s="55">
        <v>870679.05700000003</v>
      </c>
      <c r="P47" s="55">
        <v>1340</v>
      </c>
      <c r="Q47" s="55">
        <v>7212</v>
      </c>
      <c r="R47" s="55">
        <v>0</v>
      </c>
      <c r="S47" s="32">
        <f t="shared" ref="S47" si="40">(N47+P47)/SUM(N47:Q47)</f>
        <v>0.52492452431392889</v>
      </c>
      <c r="T47" s="32">
        <f t="shared" ref="T47" si="41">(O47+Q47)/SUM(N47:Q47)</f>
        <v>0.475075475686071</v>
      </c>
      <c r="U47" s="32">
        <f t="shared" si="2"/>
        <v>0.53397221579438725</v>
      </c>
      <c r="V47" s="32">
        <f t="shared" si="3"/>
        <v>0.46602778420561269</v>
      </c>
    </row>
    <row r="48" spans="1:22" ht="19.95" customHeight="1" x14ac:dyDescent="0.3">
      <c r="A48" s="64">
        <v>43922</v>
      </c>
      <c r="B48" s="55">
        <v>71158.25</v>
      </c>
      <c r="C48" s="55">
        <v>100310.25</v>
      </c>
      <c r="D48" s="55">
        <v>171468.5</v>
      </c>
      <c r="E48" s="55">
        <v>32604.5</v>
      </c>
      <c r="F48" s="55">
        <v>3171.25</v>
      </c>
      <c r="G48" s="55">
        <v>35775.75</v>
      </c>
      <c r="H48" s="55">
        <v>207244.25</v>
      </c>
      <c r="I48" s="55">
        <v>116459</v>
      </c>
      <c r="J48" s="55">
        <v>1655170.5260000001</v>
      </c>
      <c r="K48" s="55">
        <v>11800</v>
      </c>
      <c r="L48" s="55">
        <v>1666970.5260000001</v>
      </c>
      <c r="M48" s="55">
        <v>114</v>
      </c>
      <c r="N48" s="55">
        <v>801749.31900000002</v>
      </c>
      <c r="O48" s="55">
        <v>853421.20700000005</v>
      </c>
      <c r="P48" s="55">
        <v>392</v>
      </c>
      <c r="Q48" s="55">
        <v>10653</v>
      </c>
      <c r="R48" s="55">
        <v>755</v>
      </c>
      <c r="S48" s="32">
        <f t="shared" ref="S48" si="42">(N48+P48)/SUM(N48:Q48)</f>
        <v>0.4814151029582952</v>
      </c>
      <c r="T48" s="32">
        <f t="shared" ref="T48" si="43">(O48+Q48)/SUM(N48:Q48)</f>
        <v>0.51858489704170485</v>
      </c>
      <c r="U48" s="32">
        <f t="shared" si="2"/>
        <v>0.50067854717320259</v>
      </c>
      <c r="V48" s="32">
        <f t="shared" si="3"/>
        <v>0.49932145282679735</v>
      </c>
    </row>
    <row r="49" spans="1:22" ht="19.95" customHeight="1" x14ac:dyDescent="0.3">
      <c r="A49" s="64">
        <v>43952</v>
      </c>
      <c r="B49" s="55">
        <v>72160</v>
      </c>
      <c r="C49" s="55">
        <v>87669.25</v>
      </c>
      <c r="D49" s="55">
        <v>159829.25</v>
      </c>
      <c r="E49" s="55">
        <v>39940</v>
      </c>
      <c r="F49" s="55">
        <v>2068</v>
      </c>
      <c r="G49" s="55">
        <v>42008</v>
      </c>
      <c r="H49" s="55">
        <v>201837.25</v>
      </c>
      <c r="I49" s="55">
        <v>112913</v>
      </c>
      <c r="J49" s="55">
        <v>1568478.7120000001</v>
      </c>
      <c r="K49" s="55">
        <v>4587</v>
      </c>
      <c r="L49" s="55">
        <v>1573065.7120000001</v>
      </c>
      <c r="M49" s="55">
        <v>106</v>
      </c>
      <c r="N49" s="55">
        <v>820509.37</v>
      </c>
      <c r="O49" s="55">
        <v>747969.34199999995</v>
      </c>
      <c r="P49" s="55">
        <v>373</v>
      </c>
      <c r="Q49" s="55">
        <v>4193</v>
      </c>
      <c r="R49" s="55">
        <v>21</v>
      </c>
      <c r="S49" s="32">
        <f t="shared" ref="S49:S50" si="44">(N49+P49)/SUM(N49:Q49)</f>
        <v>0.52184299895475572</v>
      </c>
      <c r="T49" s="32">
        <f t="shared" ref="T49:T50" si="45">(O49+Q49)/SUM(N49:Q49)</f>
        <v>0.47815700104524433</v>
      </c>
      <c r="U49" s="32">
        <f t="shared" si="2"/>
        <v>0.55539797534895075</v>
      </c>
      <c r="V49" s="32">
        <f t="shared" si="3"/>
        <v>0.44460202465104931</v>
      </c>
    </row>
    <row r="50" spans="1:22" ht="19.95" customHeight="1" x14ac:dyDescent="0.3">
      <c r="A50" s="64">
        <v>43983</v>
      </c>
      <c r="B50" s="55">
        <v>71591</v>
      </c>
      <c r="C50" s="55">
        <v>95502.25</v>
      </c>
      <c r="D50" s="55">
        <v>167093.25</v>
      </c>
      <c r="E50" s="55">
        <v>41840.75</v>
      </c>
      <c r="F50" s="55">
        <v>1735.25</v>
      </c>
      <c r="G50" s="55">
        <v>43576</v>
      </c>
      <c r="H50" s="55">
        <v>210669.25</v>
      </c>
      <c r="I50" s="55">
        <v>117525</v>
      </c>
      <c r="J50" s="55">
        <v>1575798.2120000001</v>
      </c>
      <c r="K50" s="55">
        <v>5444</v>
      </c>
      <c r="L50" s="55">
        <v>1581242.2120000001</v>
      </c>
      <c r="M50" s="55">
        <v>106</v>
      </c>
      <c r="N50" s="55">
        <v>797769.495</v>
      </c>
      <c r="O50" s="55">
        <v>778028.71699999995</v>
      </c>
      <c r="P50" s="55">
        <v>508</v>
      </c>
      <c r="Q50" s="55">
        <v>4936</v>
      </c>
      <c r="R50" s="55">
        <v>0</v>
      </c>
      <c r="S50" s="32">
        <f t="shared" si="44"/>
        <v>0.50484200898628684</v>
      </c>
      <c r="T50" s="32">
        <f t="shared" si="45"/>
        <v>0.49515799101371322</v>
      </c>
      <c r="U50" s="32">
        <f t="shared" si="2"/>
        <v>0.5384352486183912</v>
      </c>
      <c r="V50" s="32">
        <f t="shared" si="3"/>
        <v>0.46156475138160885</v>
      </c>
    </row>
    <row r="51" spans="1:22" ht="19.95" customHeight="1" x14ac:dyDescent="0.3">
      <c r="A51" s="64">
        <v>44013</v>
      </c>
      <c r="B51" s="55">
        <v>68593.75</v>
      </c>
      <c r="C51" s="55">
        <v>105691.75</v>
      </c>
      <c r="D51" s="55">
        <v>174285.5</v>
      </c>
      <c r="E51" s="55">
        <v>45383.5</v>
      </c>
      <c r="F51" s="55">
        <v>1359</v>
      </c>
      <c r="G51" s="55">
        <v>46742.5</v>
      </c>
      <c r="H51" s="55">
        <v>221028</v>
      </c>
      <c r="I51" s="55">
        <v>122446</v>
      </c>
      <c r="J51" s="55">
        <v>1586696.03</v>
      </c>
      <c r="K51" s="55">
        <v>3790</v>
      </c>
      <c r="L51" s="55">
        <v>1590486.03</v>
      </c>
      <c r="M51" s="55">
        <v>113</v>
      </c>
      <c r="N51" s="55">
        <v>753430.58900000004</v>
      </c>
      <c r="O51" s="55">
        <v>833265.44099999999</v>
      </c>
      <c r="P51" s="55">
        <v>624</v>
      </c>
      <c r="Q51" s="55">
        <v>3166</v>
      </c>
      <c r="R51" s="55">
        <v>0</v>
      </c>
      <c r="S51" s="32">
        <f t="shared" ref="S51" si="46">(N51+P51)/SUM(N51:Q51)</f>
        <v>0.47410324566007034</v>
      </c>
      <c r="T51" s="32">
        <f t="shared" ref="T51" si="47">(O51+Q51)/SUM(N51:Q51)</f>
        <v>0.52589675433992966</v>
      </c>
      <c r="U51" s="32">
        <f t="shared" si="2"/>
        <v>0.51566882928859692</v>
      </c>
      <c r="V51" s="32">
        <f t="shared" si="3"/>
        <v>0.48433117071140308</v>
      </c>
    </row>
    <row r="52" spans="1:22" ht="19.95" customHeight="1" x14ac:dyDescent="0.3">
      <c r="A52" s="64">
        <v>44044</v>
      </c>
      <c r="B52" s="55">
        <v>75325</v>
      </c>
      <c r="C52" s="55">
        <v>120913.75</v>
      </c>
      <c r="D52" s="55">
        <v>196238.75</v>
      </c>
      <c r="E52" s="55">
        <v>50159.75</v>
      </c>
      <c r="F52" s="55">
        <v>950</v>
      </c>
      <c r="G52" s="55">
        <v>51109.75</v>
      </c>
      <c r="H52" s="55">
        <v>247348.5</v>
      </c>
      <c r="I52" s="55">
        <v>136144</v>
      </c>
      <c r="J52" s="55">
        <v>1742989.335</v>
      </c>
      <c r="K52" s="55">
        <v>4482</v>
      </c>
      <c r="L52" s="55">
        <v>1747471.335</v>
      </c>
      <c r="M52" s="55">
        <v>126</v>
      </c>
      <c r="N52" s="55">
        <v>823449.09299999999</v>
      </c>
      <c r="O52" s="55">
        <v>919540.24199999997</v>
      </c>
      <c r="P52" s="55">
        <v>791</v>
      </c>
      <c r="Q52" s="55">
        <v>3691</v>
      </c>
      <c r="R52" s="55">
        <v>0</v>
      </c>
      <c r="S52" s="32">
        <f t="shared" ref="S52" si="48">(N52+P52)/SUM(N52:Q52)</f>
        <v>0.47167588760476004</v>
      </c>
      <c r="T52" s="32">
        <f t="shared" ref="T52" si="49">(O52+Q52)/SUM(N52:Q52)</f>
        <v>0.52832411239523991</v>
      </c>
      <c r="U52" s="32">
        <f t="shared" si="2"/>
        <v>0.50731963201717412</v>
      </c>
      <c r="V52" s="32">
        <f t="shared" si="3"/>
        <v>0.49268036798282583</v>
      </c>
    </row>
    <row r="53" spans="1:22" ht="19.95" customHeight="1" x14ac:dyDescent="0.3">
      <c r="A53" s="64">
        <v>44075</v>
      </c>
      <c r="B53" s="55">
        <v>75525.75</v>
      </c>
      <c r="C53" s="55">
        <v>121114.75</v>
      </c>
      <c r="D53" s="55">
        <v>196640.5</v>
      </c>
      <c r="E53" s="55">
        <v>57704</v>
      </c>
      <c r="F53" s="55">
        <v>2094</v>
      </c>
      <c r="G53" s="55">
        <v>59798</v>
      </c>
      <c r="H53" s="55">
        <v>256438.5</v>
      </c>
      <c r="I53" s="55">
        <v>140636</v>
      </c>
      <c r="J53" s="55">
        <v>1751280.024</v>
      </c>
      <c r="K53" s="55">
        <v>4256</v>
      </c>
      <c r="L53" s="55">
        <v>1755536.024</v>
      </c>
      <c r="M53" s="55">
        <v>119</v>
      </c>
      <c r="N53" s="55">
        <v>834145.57</v>
      </c>
      <c r="O53" s="55">
        <v>917134.45400000003</v>
      </c>
      <c r="P53" s="55">
        <v>526</v>
      </c>
      <c r="Q53" s="55">
        <v>3730</v>
      </c>
      <c r="R53" s="55">
        <v>0</v>
      </c>
      <c r="S53" s="32">
        <f t="shared" ref="S53" si="50">(N53+P53)/SUM(N53:Q53)</f>
        <v>0.4754511206772023</v>
      </c>
      <c r="T53" s="32">
        <f t="shared" ref="T53" si="51">(O53+Q53)/SUM(N53:Q53)</f>
        <v>0.5245488793227977</v>
      </c>
      <c r="U53" s="32">
        <f t="shared" si="2"/>
        <v>0.5195387978014222</v>
      </c>
      <c r="V53" s="32">
        <f t="shared" si="3"/>
        <v>0.48046120219857785</v>
      </c>
    </row>
    <row r="54" spans="1:22" ht="19.95" customHeight="1" x14ac:dyDescent="0.3">
      <c r="A54" s="64">
        <v>44105</v>
      </c>
      <c r="B54" s="55">
        <v>83705</v>
      </c>
      <c r="C54" s="55">
        <v>131769.75</v>
      </c>
      <c r="D54" s="55">
        <v>215474.75</v>
      </c>
      <c r="E54" s="55">
        <v>57644.25</v>
      </c>
      <c r="F54" s="55">
        <v>1096</v>
      </c>
      <c r="G54" s="55">
        <v>58740.25</v>
      </c>
      <c r="H54" s="55">
        <v>274215</v>
      </c>
      <c r="I54" s="55">
        <v>149675</v>
      </c>
      <c r="J54" s="55">
        <v>1922217.889</v>
      </c>
      <c r="K54" s="55">
        <v>6053</v>
      </c>
      <c r="L54" s="55">
        <v>1928270.889</v>
      </c>
      <c r="M54" s="55">
        <v>132</v>
      </c>
      <c r="N54" s="55">
        <v>939077.522</v>
      </c>
      <c r="O54" s="55">
        <v>983140.36699999997</v>
      </c>
      <c r="P54" s="55">
        <v>462</v>
      </c>
      <c r="Q54" s="55">
        <v>5591</v>
      </c>
      <c r="R54" s="55">
        <v>0</v>
      </c>
      <c r="S54" s="32">
        <f t="shared" ref="S54" si="52">(N54+P54)/SUM(N54:Q54)</f>
        <v>0.487244570957167</v>
      </c>
      <c r="T54" s="32">
        <f t="shared" ref="T54" si="53">(O54+Q54)/SUM(N54:Q54)</f>
        <v>0.512755429042833</v>
      </c>
      <c r="U54" s="32">
        <f t="shared" si="2"/>
        <v>0.51546870156628921</v>
      </c>
      <c r="V54" s="32">
        <f t="shared" si="3"/>
        <v>0.48453129843371079</v>
      </c>
    </row>
    <row r="55" spans="1:22" ht="19.95" customHeight="1" x14ac:dyDescent="0.3">
      <c r="A55" s="64">
        <v>44136</v>
      </c>
      <c r="B55" s="55">
        <v>89031.75</v>
      </c>
      <c r="C55" s="55">
        <v>125214.25</v>
      </c>
      <c r="D55" s="55">
        <v>214246</v>
      </c>
      <c r="E55" s="55">
        <v>64844.25</v>
      </c>
      <c r="F55" s="55">
        <v>778</v>
      </c>
      <c r="G55" s="55">
        <v>65622.25</v>
      </c>
      <c r="H55" s="55">
        <v>279868.25</v>
      </c>
      <c r="I55" s="55">
        <v>152755</v>
      </c>
      <c r="J55" s="55">
        <v>2001674.2109999999</v>
      </c>
      <c r="K55" s="55">
        <v>5074</v>
      </c>
      <c r="L55" s="55">
        <v>2006748.2109999999</v>
      </c>
      <c r="M55" s="55">
        <v>134</v>
      </c>
      <c r="N55" s="55">
        <v>1027153.728</v>
      </c>
      <c r="O55" s="55">
        <v>974520.48300000001</v>
      </c>
      <c r="P55" s="55">
        <v>677</v>
      </c>
      <c r="Q55" s="55">
        <v>4397</v>
      </c>
      <c r="R55" s="55">
        <v>0</v>
      </c>
      <c r="S55" s="32">
        <f t="shared" ref="S55" si="54">(N55+P55)/SUM(N55:Q55)</f>
        <v>0.51218719038389615</v>
      </c>
      <c r="T55" s="32">
        <f t="shared" ref="T55" si="55">(O55+Q55)/SUM(N55:Q55)</f>
        <v>0.48781280961610385</v>
      </c>
      <c r="U55" s="32">
        <f t="shared" si="2"/>
        <v>0.54981585085124873</v>
      </c>
      <c r="V55" s="32">
        <f t="shared" si="3"/>
        <v>0.45018414914875127</v>
      </c>
    </row>
    <row r="56" spans="1:22" ht="19.95" customHeight="1" x14ac:dyDescent="0.3">
      <c r="A56" s="64">
        <v>44166</v>
      </c>
      <c r="B56" s="55">
        <v>82670.25</v>
      </c>
      <c r="C56" s="55">
        <v>123217.5</v>
      </c>
      <c r="D56" s="55">
        <v>205887.75</v>
      </c>
      <c r="E56" s="55">
        <v>53175.25</v>
      </c>
      <c r="F56" s="55">
        <v>1338</v>
      </c>
      <c r="G56" s="55">
        <v>54513.25</v>
      </c>
      <c r="H56" s="55">
        <v>260401</v>
      </c>
      <c r="I56" s="55">
        <v>143262</v>
      </c>
      <c r="J56" s="55">
        <v>1922477.618</v>
      </c>
      <c r="K56" s="55">
        <v>7572</v>
      </c>
      <c r="L56" s="55">
        <v>1930049.618</v>
      </c>
      <c r="M56" s="55">
        <v>134</v>
      </c>
      <c r="N56" s="55">
        <v>953022.69400000002</v>
      </c>
      <c r="O56" s="55">
        <v>969454.924</v>
      </c>
      <c r="P56" s="55">
        <v>390</v>
      </c>
      <c r="Q56" s="55">
        <v>7182</v>
      </c>
      <c r="R56" s="55">
        <v>0</v>
      </c>
      <c r="S56" s="32">
        <f t="shared" ref="S56" si="56">(N56+P56)/SUM(N56:Q56)</f>
        <v>0.49398351478029207</v>
      </c>
      <c r="T56" s="32">
        <f t="shared" ref="T56" si="57">(O56+Q56)/SUM(N56:Q56)</f>
        <v>0.50601648521970799</v>
      </c>
      <c r="U56" s="32">
        <f t="shared" si="2"/>
        <v>0.52167810415474591</v>
      </c>
      <c r="V56" s="32">
        <f t="shared" si="3"/>
        <v>0.47832189584525403</v>
      </c>
    </row>
    <row r="57" spans="1:22" ht="19.95" customHeight="1" x14ac:dyDescent="0.3">
      <c r="A57" s="64">
        <v>44197</v>
      </c>
      <c r="B57" s="55">
        <v>84688</v>
      </c>
      <c r="C57" s="55">
        <v>130776.75</v>
      </c>
      <c r="D57" s="55">
        <v>215464.75</v>
      </c>
      <c r="E57" s="55">
        <v>54730</v>
      </c>
      <c r="F57" s="55">
        <v>774</v>
      </c>
      <c r="G57" s="55">
        <v>55504</v>
      </c>
      <c r="H57" s="55">
        <v>270968.75</v>
      </c>
      <c r="I57" s="55">
        <v>148450</v>
      </c>
      <c r="J57" s="55">
        <v>1975806.9040000001</v>
      </c>
      <c r="K57" s="55">
        <v>7084</v>
      </c>
      <c r="L57" s="55">
        <v>1982890.9040000001</v>
      </c>
      <c r="M57" s="55">
        <v>129</v>
      </c>
      <c r="N57" s="55">
        <v>969391.4</v>
      </c>
      <c r="O57" s="55">
        <v>1006415.504</v>
      </c>
      <c r="P57" s="55">
        <v>1495</v>
      </c>
      <c r="Q57" s="55">
        <v>5589</v>
      </c>
      <c r="R57" s="55">
        <v>0</v>
      </c>
      <c r="S57" s="32">
        <f t="shared" ref="S57" si="58">(N57+P57)/SUM(N57:Q57)</f>
        <v>0.489631778551948</v>
      </c>
      <c r="T57" s="32">
        <f t="shared" ref="T57" si="59">(O57+Q57)/SUM(N57:Q57)</f>
        <v>0.51036822144805194</v>
      </c>
      <c r="U57" s="32">
        <f t="shared" si="2"/>
        <v>0.51451689539845458</v>
      </c>
      <c r="V57" s="32">
        <f t="shared" si="3"/>
        <v>0.48548310460154537</v>
      </c>
    </row>
    <row r="58" spans="1:22" ht="19.95" customHeight="1" x14ac:dyDescent="0.3">
      <c r="A58" s="64">
        <v>44228</v>
      </c>
      <c r="B58" s="55">
        <v>87466.25</v>
      </c>
      <c r="C58" s="55">
        <v>110274.25</v>
      </c>
      <c r="D58" s="55">
        <v>197740.5</v>
      </c>
      <c r="E58" s="55">
        <v>48493.5</v>
      </c>
      <c r="F58" s="55">
        <v>2291.5</v>
      </c>
      <c r="G58" s="55">
        <v>50785</v>
      </c>
      <c r="H58" s="55">
        <v>248525.5</v>
      </c>
      <c r="I58" s="55">
        <v>136803</v>
      </c>
      <c r="J58" s="55">
        <v>1871301.598</v>
      </c>
      <c r="K58" s="55">
        <v>7459</v>
      </c>
      <c r="L58" s="55">
        <v>1878760.598</v>
      </c>
      <c r="M58" s="55">
        <v>117</v>
      </c>
      <c r="N58" s="55">
        <v>1001521.851</v>
      </c>
      <c r="O58" s="55">
        <v>869779.74699999997</v>
      </c>
      <c r="P58" s="55">
        <v>1398</v>
      </c>
      <c r="Q58" s="55">
        <v>6061</v>
      </c>
      <c r="R58" s="55">
        <v>0</v>
      </c>
      <c r="S58" s="32">
        <f t="shared" ref="S58" si="60">(N58+P58)/SUM(N58:Q58)</f>
        <v>0.53381993004730877</v>
      </c>
      <c r="T58" s="32">
        <f t="shared" ref="T58" si="61">(O58+Q58)/SUM(N58:Q58)</f>
        <v>0.46618006995269123</v>
      </c>
      <c r="U58" s="32">
        <f t="shared" si="2"/>
        <v>0.54706559286672796</v>
      </c>
      <c r="V58" s="32">
        <f t="shared" si="3"/>
        <v>0.45293440713327204</v>
      </c>
    </row>
    <row r="59" spans="1:22" ht="19.95" customHeight="1" x14ac:dyDescent="0.3">
      <c r="A59" s="64">
        <v>44256</v>
      </c>
      <c r="B59" s="55">
        <v>94845.75</v>
      </c>
      <c r="C59" s="55">
        <v>130066.25</v>
      </c>
      <c r="D59" s="55">
        <v>224912</v>
      </c>
      <c r="E59" s="55">
        <v>51092</v>
      </c>
      <c r="F59" s="55">
        <v>3510</v>
      </c>
      <c r="G59" s="55">
        <v>54602</v>
      </c>
      <c r="H59" s="55">
        <v>279514</v>
      </c>
      <c r="I59" s="55">
        <v>155311</v>
      </c>
      <c r="J59" s="55">
        <v>2117360.9479999999</v>
      </c>
      <c r="K59" s="55">
        <v>9218.25</v>
      </c>
      <c r="L59" s="55">
        <v>2126579.1979999999</v>
      </c>
      <c r="M59" s="55">
        <v>128</v>
      </c>
      <c r="N59" s="55">
        <v>1062572.7679999999</v>
      </c>
      <c r="O59" s="55">
        <v>1054788.18</v>
      </c>
      <c r="P59" s="55">
        <v>1078</v>
      </c>
      <c r="Q59" s="55">
        <v>8140.25</v>
      </c>
      <c r="R59" s="55">
        <v>0</v>
      </c>
      <c r="S59" s="32">
        <f t="shared" ref="S59" si="62">(N59+P59)/SUM(N59:Q59)</f>
        <v>0.50016983566863615</v>
      </c>
      <c r="T59" s="32">
        <f t="shared" ref="T59" si="63">(O59+Q59)/SUM(N59:Q59)</f>
        <v>0.4998301643313639</v>
      </c>
      <c r="U59" s="32">
        <f t="shared" si="2"/>
        <v>0.52211248810435251</v>
      </c>
      <c r="V59" s="32">
        <f t="shared" si="3"/>
        <v>0.47788751189564743</v>
      </c>
    </row>
    <row r="60" spans="1:22" ht="19.95" customHeight="1" x14ac:dyDescent="0.3">
      <c r="A60" s="64">
        <v>44287</v>
      </c>
      <c r="B60" s="55">
        <v>95618.25</v>
      </c>
      <c r="C60" s="55">
        <v>137954</v>
      </c>
      <c r="D60" s="55">
        <v>233572.25</v>
      </c>
      <c r="E60" s="55">
        <v>50909</v>
      </c>
      <c r="F60" s="55">
        <v>1924</v>
      </c>
      <c r="G60" s="55">
        <v>52833</v>
      </c>
      <c r="H60" s="55">
        <v>286405.25</v>
      </c>
      <c r="I60" s="55">
        <v>159688</v>
      </c>
      <c r="J60" s="55">
        <v>2203808.4309999999</v>
      </c>
      <c r="K60" s="55">
        <v>13328</v>
      </c>
      <c r="L60" s="55">
        <v>2217136.4309999999</v>
      </c>
      <c r="M60" s="55">
        <v>134</v>
      </c>
      <c r="N60" s="55">
        <v>1055539.307</v>
      </c>
      <c r="O60" s="55">
        <v>1148269.1240000001</v>
      </c>
      <c r="P60" s="55">
        <v>2021</v>
      </c>
      <c r="Q60" s="55">
        <v>11307</v>
      </c>
      <c r="R60" s="55">
        <v>0</v>
      </c>
      <c r="S60" s="32">
        <f t="shared" ref="S60" si="64">(N60+P60)/SUM(N60:Q60)</f>
        <v>0.47699378902136674</v>
      </c>
      <c r="T60" s="32">
        <f t="shared" ref="T60" si="65">(O60+Q60)/SUM(N60:Q60)</f>
        <v>0.52300621097863331</v>
      </c>
      <c r="U60" s="32">
        <f t="shared" si="2"/>
        <v>0.51160811472555057</v>
      </c>
      <c r="V60" s="32">
        <f t="shared" si="3"/>
        <v>0.48839188527444938</v>
      </c>
    </row>
    <row r="61" spans="1:22" ht="19.95" customHeight="1" x14ac:dyDescent="0.3">
      <c r="A61" s="64">
        <v>44317</v>
      </c>
      <c r="B61" s="55">
        <v>99717.25</v>
      </c>
      <c r="C61" s="55">
        <v>144916.25</v>
      </c>
      <c r="D61" s="55">
        <v>244633.5</v>
      </c>
      <c r="E61" s="55">
        <v>67970</v>
      </c>
      <c r="F61" s="55">
        <v>2338</v>
      </c>
      <c r="G61" s="55">
        <v>70308</v>
      </c>
      <c r="H61" s="55">
        <v>314941.5</v>
      </c>
      <c r="I61" s="55">
        <v>176081</v>
      </c>
      <c r="J61" s="55">
        <v>2291665.1949999998</v>
      </c>
      <c r="K61" s="55">
        <v>8563</v>
      </c>
      <c r="L61" s="55">
        <v>2300228.1949999998</v>
      </c>
      <c r="M61" s="55">
        <v>139</v>
      </c>
      <c r="N61" s="55">
        <v>1094286.784</v>
      </c>
      <c r="O61" s="55">
        <v>1197378.4110000001</v>
      </c>
      <c r="P61" s="55">
        <v>586</v>
      </c>
      <c r="Q61" s="55">
        <v>7977</v>
      </c>
      <c r="R61" s="55">
        <v>0</v>
      </c>
      <c r="S61" s="32">
        <f t="shared" ref="S61" si="66">(N61+P61)/SUM(N61:Q61)</f>
        <v>0.47598442031965432</v>
      </c>
      <c r="T61" s="32">
        <f t="shared" ref="T61" si="67">(O61+Q61)/SUM(N61:Q61)</f>
        <v>0.52401557968034551</v>
      </c>
      <c r="U61" s="32">
        <f t="shared" si="2"/>
        <v>0.53243935778549345</v>
      </c>
      <c r="V61" s="32">
        <f t="shared" si="3"/>
        <v>0.46756064221450649</v>
      </c>
    </row>
    <row r="62" spans="1:22" ht="19.95" customHeight="1" x14ac:dyDescent="0.3">
      <c r="A62" s="64">
        <v>44348</v>
      </c>
      <c r="B62" s="55">
        <v>78853</v>
      </c>
      <c r="C62" s="55">
        <v>138737.25</v>
      </c>
      <c r="D62" s="55">
        <v>217590.25</v>
      </c>
      <c r="E62" s="55">
        <v>61368.75</v>
      </c>
      <c r="F62" s="55">
        <v>2387</v>
      </c>
      <c r="G62" s="55">
        <v>63755.75</v>
      </c>
      <c r="H62" s="55">
        <v>281346</v>
      </c>
      <c r="I62" s="55">
        <v>156857</v>
      </c>
      <c r="J62" s="55">
        <v>2001291.2849999999</v>
      </c>
      <c r="K62" s="55">
        <v>7915</v>
      </c>
      <c r="L62" s="55">
        <v>2009206.2849999999</v>
      </c>
      <c r="M62" s="55">
        <v>133</v>
      </c>
      <c r="N62" s="55">
        <v>865270.72199999995</v>
      </c>
      <c r="O62" s="55">
        <v>1136020.5630000001</v>
      </c>
      <c r="P62" s="55">
        <v>1038</v>
      </c>
      <c r="Q62" s="55">
        <v>6877</v>
      </c>
      <c r="R62" s="55">
        <v>0</v>
      </c>
      <c r="S62" s="32">
        <f>(N62+P62)/SUM(N62:Q62)</f>
        <v>0.43116962577090479</v>
      </c>
      <c r="T62" s="32">
        <f t="shared" ref="T62" si="68">(O62+Q62)/SUM(N62:Q62)</f>
        <v>0.5688303742290951</v>
      </c>
      <c r="U62" s="32">
        <f t="shared" si="2"/>
        <v>0.4983961030190584</v>
      </c>
      <c r="V62" s="32">
        <f t="shared" si="3"/>
        <v>0.50160389698094165</v>
      </c>
    </row>
    <row r="63" spans="1:22" ht="19.95" customHeight="1" x14ac:dyDescent="0.3">
      <c r="A63" s="64">
        <v>44378</v>
      </c>
      <c r="B63" s="55">
        <v>81067.5</v>
      </c>
      <c r="C63" s="55">
        <v>142962.75</v>
      </c>
      <c r="D63" s="55">
        <v>224030.25</v>
      </c>
      <c r="E63" s="55">
        <v>66842</v>
      </c>
      <c r="F63" s="55">
        <v>2254</v>
      </c>
      <c r="G63" s="55">
        <v>69096</v>
      </c>
      <c r="H63" s="55">
        <v>293126.25</v>
      </c>
      <c r="I63" s="55">
        <v>164227</v>
      </c>
      <c r="J63" s="55">
        <v>2075378.706</v>
      </c>
      <c r="K63" s="55">
        <v>8977</v>
      </c>
      <c r="L63" s="55">
        <v>2084355.706</v>
      </c>
      <c r="M63" s="55">
        <v>126</v>
      </c>
      <c r="N63" s="55">
        <v>888743.60199999996</v>
      </c>
      <c r="O63" s="55">
        <v>1186635.1040000001</v>
      </c>
      <c r="P63" s="55">
        <v>1007</v>
      </c>
      <c r="Q63" s="55">
        <v>7970</v>
      </c>
      <c r="R63" s="55">
        <v>0</v>
      </c>
      <c r="S63" s="32">
        <f t="shared" ref="S63" si="69">(N63+P63)/SUM(N63:Q63)</f>
        <v>0.42687080685833761</v>
      </c>
      <c r="T63" s="32">
        <f t="shared" ref="T63" si="70">(O63+Q63)/SUM(N63:Q63)</f>
        <v>0.57312919314166233</v>
      </c>
      <c r="U63" s="32">
        <f t="shared" si="2"/>
        <v>0.50459315738525634</v>
      </c>
      <c r="V63" s="32">
        <f t="shared" si="3"/>
        <v>0.49540684261474366</v>
      </c>
    </row>
    <row r="64" spans="1:22" ht="19.95" customHeight="1" x14ac:dyDescent="0.3">
      <c r="A64" s="64">
        <v>44409</v>
      </c>
      <c r="B64" s="55">
        <v>85256.25</v>
      </c>
      <c r="C64" s="55">
        <v>144226</v>
      </c>
      <c r="D64" s="55">
        <v>229482.25</v>
      </c>
      <c r="E64" s="55">
        <v>75925</v>
      </c>
      <c r="F64" s="55">
        <v>1616</v>
      </c>
      <c r="G64" s="55">
        <v>77541</v>
      </c>
      <c r="H64" s="55">
        <v>307023.25</v>
      </c>
      <c r="I64" s="55">
        <v>172094</v>
      </c>
      <c r="J64" s="55">
        <v>2106210.773</v>
      </c>
      <c r="K64" s="55">
        <v>13216</v>
      </c>
      <c r="L64" s="55">
        <v>2119426.773</v>
      </c>
      <c r="M64" s="55">
        <v>135</v>
      </c>
      <c r="N64" s="55">
        <v>928552.45299999998</v>
      </c>
      <c r="O64" s="55">
        <v>1177658.32</v>
      </c>
      <c r="P64" s="55">
        <v>702</v>
      </c>
      <c r="Q64" s="55">
        <v>12514</v>
      </c>
      <c r="R64" s="55">
        <v>0</v>
      </c>
      <c r="S64" s="32">
        <f t="shared" ref="S64:S65" si="71">(N64+P64)/SUM(N64:Q64)</f>
        <v>0.43844612365855018</v>
      </c>
      <c r="T64" s="32">
        <f t="shared" ref="T64:T65" si="72">(O64+Q64)/SUM(N64:Q64)</f>
        <v>0.56155387634144982</v>
      </c>
      <c r="U64" s="32">
        <f t="shared" ref="U64:U65" si="73">(B64+E64)/H64</f>
        <v>0.52498060000341995</v>
      </c>
      <c r="V64" s="32">
        <f t="shared" ref="V64:V65" si="74">(C64+F64)/H64</f>
        <v>0.47501939999658005</v>
      </c>
    </row>
    <row r="65" spans="1:22" ht="19.95" customHeight="1" x14ac:dyDescent="0.3">
      <c r="A65" s="64">
        <v>44440</v>
      </c>
      <c r="B65" s="55">
        <v>80696.5</v>
      </c>
      <c r="C65" s="55">
        <v>152196.5</v>
      </c>
      <c r="D65" s="55">
        <v>232893</v>
      </c>
      <c r="E65" s="55">
        <v>70927.75</v>
      </c>
      <c r="F65" s="55">
        <v>2395</v>
      </c>
      <c r="G65" s="55">
        <v>73322.75</v>
      </c>
      <c r="H65" s="55">
        <v>306215.75</v>
      </c>
      <c r="I65" s="55">
        <v>170998</v>
      </c>
      <c r="J65" s="55">
        <v>2069978.693</v>
      </c>
      <c r="K65" s="55">
        <v>4331.53</v>
      </c>
      <c r="L65" s="55">
        <v>2074310.223</v>
      </c>
      <c r="M65" s="55">
        <v>131</v>
      </c>
      <c r="N65" s="55">
        <v>864438.04</v>
      </c>
      <c r="O65" s="55">
        <v>1205540.6529999999</v>
      </c>
      <c r="P65" s="55">
        <v>1431.81</v>
      </c>
      <c r="Q65" s="55">
        <v>2899.72</v>
      </c>
      <c r="R65" s="55">
        <v>0</v>
      </c>
      <c r="S65" s="32">
        <f t="shared" si="71"/>
        <v>0.41742543636878182</v>
      </c>
      <c r="T65" s="32">
        <f t="shared" si="72"/>
        <v>0.58257456363121818</v>
      </c>
      <c r="U65" s="32">
        <f t="shared" si="73"/>
        <v>0.49515496835156259</v>
      </c>
      <c r="V65" s="32">
        <f t="shared" si="74"/>
        <v>0.50484503164843741</v>
      </c>
    </row>
    <row r="66" spans="1:22" ht="19.95" customHeight="1" x14ac:dyDescent="0.3">
      <c r="A66" s="64">
        <v>44470</v>
      </c>
      <c r="B66" s="55">
        <v>88710.25</v>
      </c>
      <c r="C66" s="55">
        <v>148211.5</v>
      </c>
      <c r="D66" s="55">
        <v>236921.75</v>
      </c>
      <c r="E66" s="55">
        <v>79084.75</v>
      </c>
      <c r="F66" s="55">
        <v>2475</v>
      </c>
      <c r="G66" s="55">
        <v>81559.75</v>
      </c>
      <c r="H66" s="55">
        <v>318481.5</v>
      </c>
      <c r="I66" s="55">
        <v>176964</v>
      </c>
      <c r="J66" s="55">
        <v>2145149.2459999998</v>
      </c>
      <c r="K66" s="55">
        <v>11123.48</v>
      </c>
      <c r="L66" s="55">
        <v>2156272.7259999998</v>
      </c>
      <c r="M66" s="55">
        <v>133</v>
      </c>
      <c r="N66" s="55">
        <v>977098.65899999999</v>
      </c>
      <c r="O66" s="55">
        <v>1168050.5870000001</v>
      </c>
      <c r="P66" s="55">
        <v>1214.9000000000001</v>
      </c>
      <c r="Q66" s="55">
        <v>9908.58</v>
      </c>
      <c r="R66" s="55">
        <v>0</v>
      </c>
      <c r="S66" s="32">
        <f t="shared" ref="S66" si="75">(N66+P66)/SUM(N66:Q66)</f>
        <v>0.45370585418238041</v>
      </c>
      <c r="T66" s="32">
        <f t="shared" ref="T66" si="76">(O66+Q66)/SUM(N66:Q66)</f>
        <v>0.54629414581761959</v>
      </c>
      <c r="U66" s="32">
        <f t="shared" ref="U66" si="77">(B66+E66)/H66</f>
        <v>0.52685948791374071</v>
      </c>
      <c r="V66" s="32">
        <f t="shared" ref="V66" si="78">(C66+F66)/H66</f>
        <v>0.47314051208625935</v>
      </c>
    </row>
    <row r="67" spans="1:22" ht="19.95" customHeight="1" x14ac:dyDescent="0.3">
      <c r="A67" s="64">
        <v>44501</v>
      </c>
      <c r="B67" s="55">
        <v>84001.75</v>
      </c>
      <c r="C67" s="55">
        <v>141616.75</v>
      </c>
      <c r="D67" s="55">
        <v>225618.5</v>
      </c>
      <c r="E67" s="55">
        <v>60745.5</v>
      </c>
      <c r="F67" s="55">
        <v>4395</v>
      </c>
      <c r="G67" s="55">
        <v>65140.5</v>
      </c>
      <c r="H67" s="55">
        <v>290759</v>
      </c>
      <c r="I67" s="55">
        <v>161993</v>
      </c>
      <c r="J67" s="55">
        <v>2096362.875</v>
      </c>
      <c r="K67" s="55">
        <v>16682.71</v>
      </c>
      <c r="L67" s="55">
        <v>2113045.585</v>
      </c>
      <c r="M67" s="55">
        <v>123</v>
      </c>
      <c r="N67" s="55">
        <v>925053.10900000005</v>
      </c>
      <c r="O67" s="55">
        <v>1171309.7660000001</v>
      </c>
      <c r="P67" s="55">
        <v>4614.08</v>
      </c>
      <c r="Q67" s="55">
        <v>12068.63</v>
      </c>
      <c r="R67" s="55">
        <v>0</v>
      </c>
      <c r="S67" s="32">
        <f t="shared" ref="S67" si="79">(N67+P67)/SUM(N67:Q67)</f>
        <v>0.43996551498911463</v>
      </c>
      <c r="T67" s="32">
        <f t="shared" ref="T67" si="80">(O67+Q67)/SUM(N67:Q67)</f>
        <v>0.56003448501088537</v>
      </c>
      <c r="U67" s="32">
        <f t="shared" ref="U67" si="81">(B67+E67)/H67</f>
        <v>0.49782551872856901</v>
      </c>
      <c r="V67" s="32">
        <f t="shared" ref="V67" si="82">(C67+F67)/H67</f>
        <v>0.50217448127143094</v>
      </c>
    </row>
    <row r="68" spans="1:22" ht="19.95" customHeight="1" x14ac:dyDescent="0.3">
      <c r="A68" s="64">
        <v>44531</v>
      </c>
      <c r="B68" s="55">
        <v>88667</v>
      </c>
      <c r="C68" s="55">
        <v>157589.75</v>
      </c>
      <c r="D68" s="55">
        <v>246256.75</v>
      </c>
      <c r="E68" s="55">
        <v>74265.25</v>
      </c>
      <c r="F68" s="55">
        <v>5005</v>
      </c>
      <c r="G68" s="55">
        <v>79270.25</v>
      </c>
      <c r="H68" s="55">
        <v>325527</v>
      </c>
      <c r="I68" s="55">
        <v>180284</v>
      </c>
      <c r="J68" s="55">
        <v>2252147.2889999999</v>
      </c>
      <c r="K68" s="55">
        <v>39787.75</v>
      </c>
      <c r="L68" s="55">
        <v>2291935.0389999999</v>
      </c>
      <c r="M68" s="55">
        <v>120</v>
      </c>
      <c r="N68" s="55">
        <v>998862.93599999999</v>
      </c>
      <c r="O68" s="55">
        <v>1253284.3529999999</v>
      </c>
      <c r="P68" s="55">
        <v>725</v>
      </c>
      <c r="Q68" s="55">
        <v>39062.75</v>
      </c>
      <c r="R68" s="55">
        <v>0</v>
      </c>
      <c r="S68" s="32">
        <f t="shared" ref="S68" si="83">(N68+P68)/SUM(N68:Q68)</f>
        <v>0.43613275201557755</v>
      </c>
      <c r="T68" s="32">
        <f t="shared" ref="T68" si="84">(O68+Q68)/SUM(N68:Q68)</f>
        <v>0.56386724798442245</v>
      </c>
      <c r="U68" s="32">
        <f t="shared" ref="U68" si="85">(B68+E68)/H68</f>
        <v>0.50051839017961641</v>
      </c>
      <c r="V68" s="32">
        <f t="shared" ref="V68" si="86">(C68+F68)/H68</f>
        <v>0.49948160982038359</v>
      </c>
    </row>
    <row r="69" spans="1:22" ht="19.95" customHeight="1" x14ac:dyDescent="0.3">
      <c r="A69" s="64">
        <v>44562</v>
      </c>
      <c r="B69" s="55">
        <v>69589.25</v>
      </c>
      <c r="C69" s="55">
        <v>127596.75</v>
      </c>
      <c r="D69" s="55">
        <v>197186</v>
      </c>
      <c r="E69" s="55">
        <v>61714.75</v>
      </c>
      <c r="F69" s="55">
        <v>3119</v>
      </c>
      <c r="G69" s="55">
        <v>64833.75</v>
      </c>
      <c r="H69" s="55">
        <v>262019.75</v>
      </c>
      <c r="I69" s="55">
        <v>144572</v>
      </c>
      <c r="J69" s="55">
        <v>1775478.7949999999</v>
      </c>
      <c r="K69" s="55">
        <v>9165</v>
      </c>
      <c r="L69" s="55">
        <v>1784643.7949999999</v>
      </c>
      <c r="M69" s="55">
        <v>107</v>
      </c>
      <c r="N69" s="55">
        <v>781869.50699999998</v>
      </c>
      <c r="O69" s="55">
        <v>993609.28799999994</v>
      </c>
      <c r="P69" s="55">
        <v>456</v>
      </c>
      <c r="Q69" s="55">
        <v>8709</v>
      </c>
      <c r="R69" s="55">
        <v>0</v>
      </c>
      <c r="S69" s="32">
        <f t="shared" ref="S69" si="87">(N69+P69)/SUM(N69:Q69)</f>
        <v>0.43836507273430442</v>
      </c>
      <c r="T69" s="32">
        <f t="shared" ref="T69" si="88">(O69+Q69)/SUM(N69:Q69)</f>
        <v>0.56163492726569564</v>
      </c>
      <c r="U69" s="32">
        <f t="shared" ref="U69" si="89">(B69+E69)/H69</f>
        <v>0.50112252988562889</v>
      </c>
      <c r="V69" s="32">
        <f t="shared" ref="V69" si="90">(C69+F69)/H69</f>
        <v>0.49887747011437117</v>
      </c>
    </row>
    <row r="70" spans="1:22" ht="19.95" customHeight="1" x14ac:dyDescent="0.3">
      <c r="A70" s="64">
        <v>44593</v>
      </c>
      <c r="B70" s="55">
        <v>88582</v>
      </c>
      <c r="C70" s="55">
        <v>143475.5</v>
      </c>
      <c r="D70" s="55">
        <v>232057.5</v>
      </c>
      <c r="E70" s="55">
        <v>58880.5</v>
      </c>
      <c r="F70" s="55">
        <v>5263</v>
      </c>
      <c r="G70" s="55">
        <v>64143.5</v>
      </c>
      <c r="H70" s="55">
        <v>296201</v>
      </c>
      <c r="I70" s="55">
        <v>162674</v>
      </c>
      <c r="J70" s="55">
        <v>2116188.9010000001</v>
      </c>
      <c r="K70" s="55">
        <v>8665</v>
      </c>
      <c r="L70" s="55">
        <v>2124853.9010000001</v>
      </c>
      <c r="M70" s="55">
        <v>113</v>
      </c>
      <c r="N70" s="55">
        <v>996630.11100000003</v>
      </c>
      <c r="O70" s="55">
        <v>1119558.79</v>
      </c>
      <c r="P70" s="55">
        <v>1108</v>
      </c>
      <c r="Q70" s="55">
        <v>7557</v>
      </c>
      <c r="R70" s="55">
        <v>0</v>
      </c>
      <c r="S70" s="32">
        <f t="shared" ref="S70" si="91">(N70+P70)/SUM(N70:Q70)</f>
        <v>0.46955610008313697</v>
      </c>
      <c r="T70" s="32">
        <f t="shared" ref="T70" si="92">(O70+Q70)/SUM(N70:Q70)</f>
        <v>0.53044389991686303</v>
      </c>
      <c r="U70" s="32">
        <f t="shared" ref="U70" si="93">(B70+E70)/H70</f>
        <v>0.49784605723815922</v>
      </c>
      <c r="V70" s="32">
        <f t="shared" ref="V70" si="94">(C70+F70)/H70</f>
        <v>0.50215394276184078</v>
      </c>
    </row>
    <row r="71" spans="1:22" ht="19.95" customHeight="1" x14ac:dyDescent="0.3">
      <c r="A71" s="64">
        <v>44621</v>
      </c>
      <c r="B71" s="55">
        <v>95803</v>
      </c>
      <c r="C71" s="55">
        <v>148932</v>
      </c>
      <c r="D71" s="55">
        <v>244735</v>
      </c>
      <c r="E71" s="55">
        <v>66771</v>
      </c>
      <c r="F71" s="55">
        <v>3192</v>
      </c>
      <c r="G71" s="55">
        <v>69963</v>
      </c>
      <c r="H71" s="55">
        <v>314698</v>
      </c>
      <c r="I71" s="55">
        <v>173746</v>
      </c>
      <c r="J71" s="55">
        <v>2262272.162</v>
      </c>
      <c r="K71" s="55">
        <v>22903</v>
      </c>
      <c r="L71" s="55">
        <v>2285175.162</v>
      </c>
      <c r="M71" s="55">
        <v>115</v>
      </c>
      <c r="N71" s="55">
        <v>1079777.8799999999</v>
      </c>
      <c r="O71" s="55">
        <v>1182494.2819999999</v>
      </c>
      <c r="P71" s="55">
        <v>949</v>
      </c>
      <c r="Q71" s="55">
        <v>21954</v>
      </c>
      <c r="R71" s="55">
        <v>0</v>
      </c>
      <c r="S71" s="32">
        <f t="shared" ref="S71" si="95">(N71+P71)/SUM(N71:Q71)</f>
        <v>0.4729295582987787</v>
      </c>
      <c r="T71" s="32">
        <f t="shared" ref="T71" si="96">(O71+Q71)/SUM(N71:Q71)</f>
        <v>0.52707044170122141</v>
      </c>
      <c r="U71" s="32">
        <f t="shared" ref="U71" si="97">(B71+E71)/H71</f>
        <v>0.51660321959465905</v>
      </c>
      <c r="V71" s="32">
        <f t="shared" ref="V71" si="98">(C71+F71)/H71</f>
        <v>0.48339678040534101</v>
      </c>
    </row>
    <row r="72" spans="1:22" ht="19.95" customHeight="1" x14ac:dyDescent="0.3">
      <c r="A72" s="64">
        <v>44652</v>
      </c>
      <c r="B72" s="55">
        <v>99588.75</v>
      </c>
      <c r="C72" s="55">
        <v>142639.25</v>
      </c>
      <c r="D72" s="55">
        <v>242228</v>
      </c>
      <c r="E72" s="55">
        <v>78724</v>
      </c>
      <c r="F72" s="55">
        <v>2292</v>
      </c>
      <c r="G72" s="55">
        <v>81016</v>
      </c>
      <c r="H72" s="55">
        <v>323244</v>
      </c>
      <c r="I72" s="55">
        <v>180611</v>
      </c>
      <c r="J72" s="55">
        <v>2291605.7620000001</v>
      </c>
      <c r="K72" s="55">
        <v>6300</v>
      </c>
      <c r="L72" s="55">
        <v>2297905.7620000001</v>
      </c>
      <c r="M72" s="55">
        <v>112</v>
      </c>
      <c r="N72" s="55">
        <v>1098624.723</v>
      </c>
      <c r="O72" s="55">
        <v>1192981.0390000001</v>
      </c>
      <c r="P72" s="55">
        <v>1120</v>
      </c>
      <c r="Q72" s="55">
        <v>5180</v>
      </c>
      <c r="R72" s="55">
        <v>0</v>
      </c>
      <c r="S72" s="32">
        <f t="shared" ref="S72" si="99">(N72+P72)/SUM(N72:Q72)</f>
        <v>0.47858565011074633</v>
      </c>
      <c r="T72" s="32">
        <f t="shared" ref="T72" si="100">(O72+Q72)/SUM(N72:Q72)</f>
        <v>0.52141434988925361</v>
      </c>
      <c r="U72" s="32">
        <f t="shared" ref="U72" si="101">(B72+E72)/H72</f>
        <v>0.5516351424929774</v>
      </c>
      <c r="V72" s="32">
        <f t="shared" ref="V72" si="102">(C72+F72)/H72</f>
        <v>0.44836485750702254</v>
      </c>
    </row>
    <row r="73" spans="1:22" ht="19.95" customHeight="1" x14ac:dyDescent="0.3">
      <c r="A73" s="64">
        <v>44682</v>
      </c>
      <c r="B73" s="56">
        <v>97704.75</v>
      </c>
      <c r="C73" s="56">
        <v>168023.25</v>
      </c>
      <c r="D73" s="56">
        <v>265728</v>
      </c>
      <c r="E73" s="56">
        <v>71083</v>
      </c>
      <c r="F73" s="56">
        <v>4800</v>
      </c>
      <c r="G73" s="56">
        <v>75883</v>
      </c>
      <c r="H73" s="56">
        <v>341611</v>
      </c>
      <c r="I73" s="56">
        <v>189761</v>
      </c>
      <c r="J73" s="56">
        <v>2440884.3220000002</v>
      </c>
      <c r="K73" s="56">
        <v>12558</v>
      </c>
      <c r="L73" s="56">
        <v>2453442.3220000002</v>
      </c>
      <c r="M73" s="56">
        <v>131</v>
      </c>
      <c r="N73" s="56">
        <v>1089695.46</v>
      </c>
      <c r="O73" s="56">
        <v>1351188.862</v>
      </c>
      <c r="P73" s="56">
        <v>1337</v>
      </c>
      <c r="Q73" s="56">
        <v>11221</v>
      </c>
      <c r="R73" s="56">
        <v>0</v>
      </c>
      <c r="S73" s="32">
        <f t="shared" ref="S73" si="103">(N73+P73)/SUM(N73:Q73)</f>
        <v>0.44469456249968453</v>
      </c>
      <c r="T73" s="32">
        <f t="shared" ref="T73" si="104">(O73+Q73)/SUM(N73:Q73)</f>
        <v>0.55530543750031558</v>
      </c>
      <c r="U73" s="32">
        <f t="shared" ref="U73" si="105">(B73+E73)/H73</f>
        <v>0.49409342790483912</v>
      </c>
      <c r="V73" s="32">
        <f t="shared" ref="V73" si="106">(C73+F73)/H73</f>
        <v>0.50590657209516088</v>
      </c>
    </row>
    <row r="74" spans="1:22" ht="19.95" customHeight="1" x14ac:dyDescent="0.3">
      <c r="A74" s="64">
        <v>44713</v>
      </c>
      <c r="B74" s="56">
        <v>86097.75</v>
      </c>
      <c r="C74" s="56">
        <v>151380</v>
      </c>
      <c r="D74" s="56">
        <v>237477.75</v>
      </c>
      <c r="E74" s="56">
        <v>73625.75</v>
      </c>
      <c r="F74" s="56">
        <v>5146</v>
      </c>
      <c r="G74" s="56">
        <v>78771.75</v>
      </c>
      <c r="H74" s="56">
        <v>316249.5</v>
      </c>
      <c r="I74" s="56">
        <v>175600</v>
      </c>
      <c r="J74" s="56">
        <v>2221148.0260000001</v>
      </c>
      <c r="K74" s="56">
        <v>19025</v>
      </c>
      <c r="L74" s="56">
        <v>2240173.0260000001</v>
      </c>
      <c r="M74" s="56">
        <v>125</v>
      </c>
      <c r="N74" s="56">
        <v>956243.63500000001</v>
      </c>
      <c r="O74" s="56">
        <v>1264904.3910000001</v>
      </c>
      <c r="P74" s="56">
        <v>1493</v>
      </c>
      <c r="Q74" s="56">
        <v>17532</v>
      </c>
      <c r="R74" s="56">
        <v>0</v>
      </c>
      <c r="S74" s="32">
        <f t="shared" ref="S74:S75" si="107">(N74+P74)/SUM(N74:Q74)</f>
        <v>0.42752797390392289</v>
      </c>
      <c r="T74" s="32">
        <f t="shared" ref="T74:T75" si="108">(O74+Q74)/SUM(N74:Q74)</f>
        <v>0.57247202609607706</v>
      </c>
      <c r="U74" s="32">
        <f t="shared" ref="U74:U75" si="109">(B74+E74)/H74</f>
        <v>0.50505534396101814</v>
      </c>
      <c r="V74" s="32">
        <f t="shared" ref="V74:V75" si="110">(C74+F74)/H74</f>
        <v>0.49494465603898186</v>
      </c>
    </row>
    <row r="75" spans="1:22" ht="19.95" customHeight="1" x14ac:dyDescent="0.3">
      <c r="A75" s="64">
        <v>44743</v>
      </c>
      <c r="B75" s="56">
        <v>85169.5</v>
      </c>
      <c r="C75" s="56">
        <v>149828.75</v>
      </c>
      <c r="D75" s="56">
        <v>234998.25</v>
      </c>
      <c r="E75" s="56">
        <v>78364.5</v>
      </c>
      <c r="F75" s="56">
        <v>4327.75</v>
      </c>
      <c r="G75" s="56">
        <v>82692.25</v>
      </c>
      <c r="H75" s="56">
        <v>317690.5</v>
      </c>
      <c r="I75" s="56">
        <v>176441</v>
      </c>
      <c r="J75" s="56">
        <v>2193993.14</v>
      </c>
      <c r="K75" s="56">
        <v>7402</v>
      </c>
      <c r="L75" s="56">
        <v>2201395.14</v>
      </c>
      <c r="M75" s="56">
        <v>130</v>
      </c>
      <c r="N75" s="56">
        <v>927521.31900000002</v>
      </c>
      <c r="O75" s="56">
        <v>1266471.821</v>
      </c>
      <c r="P75" s="56">
        <v>583</v>
      </c>
      <c r="Q75" s="56">
        <v>6819</v>
      </c>
      <c r="R75" s="56">
        <v>0</v>
      </c>
      <c r="S75" s="32">
        <f t="shared" si="107"/>
        <v>0.42159824110450245</v>
      </c>
      <c r="T75" s="32">
        <f t="shared" si="108"/>
        <v>0.5784017588954975</v>
      </c>
      <c r="U75" s="32">
        <f t="shared" si="109"/>
        <v>0.51475886121870185</v>
      </c>
      <c r="V75" s="32">
        <f t="shared" si="110"/>
        <v>0.48524113878129815</v>
      </c>
    </row>
    <row r="76" spans="1:22" ht="19.95" customHeight="1" x14ac:dyDescent="0.3">
      <c r="A76" s="64">
        <v>44774</v>
      </c>
      <c r="B76" s="55">
        <v>95745</v>
      </c>
      <c r="C76" s="55">
        <v>160673.25</v>
      </c>
      <c r="D76" s="55">
        <v>256418.25</v>
      </c>
      <c r="E76" s="55">
        <v>80410.25</v>
      </c>
      <c r="F76" s="55">
        <v>4097</v>
      </c>
      <c r="G76" s="55">
        <v>84507.25</v>
      </c>
      <c r="H76" s="55">
        <v>340925.5</v>
      </c>
      <c r="I76" s="55">
        <v>189652</v>
      </c>
      <c r="J76" s="55">
        <v>2342123.3539999998</v>
      </c>
      <c r="K76" s="55">
        <v>12763.41</v>
      </c>
      <c r="L76" s="55">
        <v>2354886.764</v>
      </c>
      <c r="M76" s="55">
        <v>133</v>
      </c>
      <c r="N76" s="55">
        <v>1029683.4179999999</v>
      </c>
      <c r="O76" s="55">
        <v>1312439.936</v>
      </c>
      <c r="P76" s="55">
        <v>2635</v>
      </c>
      <c r="Q76" s="55">
        <v>10128.41</v>
      </c>
      <c r="R76" s="55">
        <v>0</v>
      </c>
      <c r="S76" s="32">
        <f t="shared" ref="S76" si="111">(N76+P76)/SUM(N76:Q76)</f>
        <v>0.43837284823262951</v>
      </c>
      <c r="T76" s="32">
        <f t="shared" ref="T76" si="112">(O76+Q76)/SUM(N76:Q76)</f>
        <v>0.56162715176737044</v>
      </c>
      <c r="U76" s="32">
        <f t="shared" ref="U76" si="113">(B76+E76)/H76</f>
        <v>0.51669719630828437</v>
      </c>
      <c r="V76" s="32">
        <f t="shared" ref="V76" si="114">(C76+F76)/H76</f>
        <v>0.48330280369171563</v>
      </c>
    </row>
    <row r="77" spans="1:22" ht="19.95" customHeight="1" x14ac:dyDescent="0.3">
      <c r="A77" s="64"/>
      <c r="N77" s="55"/>
      <c r="O77" s="55"/>
      <c r="P77" s="55"/>
      <c r="Q77" s="55"/>
      <c r="R77" s="55"/>
      <c r="S77" s="32"/>
      <c r="T77" s="32"/>
      <c r="U77" s="32"/>
      <c r="V77" s="32"/>
    </row>
    <row r="78" spans="1:22" ht="19.95" customHeight="1" x14ac:dyDescent="0.3">
      <c r="A78" s="64"/>
      <c r="N78" s="55"/>
      <c r="O78" s="55"/>
      <c r="P78" s="55"/>
      <c r="Q78" s="55"/>
      <c r="R78" s="55"/>
      <c r="S78" s="32"/>
      <c r="T78" s="32"/>
      <c r="U78" s="32"/>
      <c r="V78" s="32"/>
    </row>
    <row r="79" spans="1:22" ht="19.95" customHeight="1" x14ac:dyDescent="0.3">
      <c r="A79" s="64"/>
      <c r="N79" s="55"/>
      <c r="O79" s="55"/>
      <c r="P79" s="55"/>
      <c r="Q79" s="55"/>
      <c r="R79" s="55"/>
      <c r="S79" s="32"/>
      <c r="T79" s="32"/>
      <c r="U79" s="32"/>
      <c r="V79" s="32"/>
    </row>
    <row r="80" spans="1:22" ht="19.95" customHeight="1" x14ac:dyDescent="0.3">
      <c r="A80" s="64"/>
      <c r="N80" s="55"/>
      <c r="O80" s="55"/>
      <c r="P80" s="55"/>
      <c r="Q80" s="55"/>
      <c r="R80" s="55"/>
      <c r="S80" s="32"/>
      <c r="T80" s="32"/>
      <c r="U80" s="32"/>
      <c r="V80" s="32"/>
    </row>
    <row r="81" spans="1:22" ht="19.95" customHeight="1" x14ac:dyDescent="0.3">
      <c r="A81" s="64"/>
      <c r="N81" s="55"/>
      <c r="O81" s="55"/>
      <c r="P81" s="55"/>
      <c r="Q81" s="55"/>
      <c r="R81" s="55"/>
      <c r="S81" s="32"/>
      <c r="T81" s="32"/>
      <c r="U81" s="32"/>
      <c r="V81" s="32"/>
    </row>
    <row r="82" spans="1:22" ht="19.95" customHeight="1" x14ac:dyDescent="0.3">
      <c r="A82" s="64"/>
      <c r="K82" s="3"/>
      <c r="L82" s="3"/>
      <c r="M82" s="3"/>
    </row>
    <row r="83" spans="1:22" ht="19.95" customHeight="1" x14ac:dyDescent="0.3">
      <c r="A83" s="64"/>
      <c r="N83" s="55"/>
      <c r="O83" s="55"/>
      <c r="P83" s="55"/>
      <c r="Q83" s="55"/>
      <c r="R83" s="55"/>
      <c r="S83" s="55"/>
      <c r="T83" s="32"/>
      <c r="U83" s="32"/>
      <c r="V83" s="55"/>
    </row>
    <row r="84" spans="1:22" ht="19.95" customHeight="1" x14ac:dyDescent="0.3">
      <c r="A84" s="64"/>
      <c r="N84" s="55"/>
      <c r="O84" s="55"/>
      <c r="P84" s="55"/>
      <c r="Q84" s="55"/>
      <c r="R84" s="55"/>
      <c r="S84" s="32"/>
      <c r="T84" s="32"/>
      <c r="U84" s="32"/>
      <c r="V84" s="32"/>
    </row>
    <row r="85" spans="1:22" ht="19.95" customHeight="1" x14ac:dyDescent="0.3">
      <c r="A85" s="64"/>
      <c r="N85" s="55"/>
      <c r="O85" s="55"/>
      <c r="P85" s="55"/>
      <c r="Q85" s="55"/>
      <c r="R85" s="55"/>
      <c r="S85" s="32"/>
      <c r="T85" s="32"/>
      <c r="U85" s="32"/>
      <c r="V85" s="32"/>
    </row>
    <row r="86" spans="1:22" ht="19.95" customHeight="1" x14ac:dyDescent="0.3">
      <c r="A86" s="64"/>
      <c r="N86" s="55"/>
      <c r="O86" s="55"/>
      <c r="P86" s="55"/>
      <c r="Q86" s="55"/>
      <c r="R86" s="55"/>
      <c r="S86" s="32"/>
      <c r="T86" s="32"/>
      <c r="U86" s="32"/>
      <c r="V86" s="32"/>
    </row>
    <row r="87" spans="1:22" ht="19.95" customHeight="1" x14ac:dyDescent="0.3">
      <c r="A87" s="64"/>
      <c r="N87" s="55"/>
      <c r="O87" s="55"/>
      <c r="P87" s="55"/>
      <c r="Q87" s="55"/>
      <c r="R87" s="55"/>
      <c r="S87" s="32"/>
      <c r="T87" s="32"/>
      <c r="U87" s="32"/>
      <c r="V87" s="32"/>
    </row>
    <row r="88" spans="1:22" ht="19.95" customHeight="1" x14ac:dyDescent="0.3">
      <c r="A88" s="64"/>
      <c r="N88" s="55"/>
      <c r="O88" s="55"/>
      <c r="P88" s="55"/>
      <c r="Q88" s="55"/>
      <c r="R88" s="55"/>
      <c r="S88" s="32"/>
      <c r="T88" s="32"/>
      <c r="U88" s="32"/>
      <c r="V88" s="32"/>
    </row>
    <row r="89" spans="1:22" ht="19.95" customHeight="1" x14ac:dyDescent="0.3">
      <c r="A89" s="64"/>
      <c r="N89" s="55"/>
      <c r="O89" s="55"/>
      <c r="P89" s="55"/>
      <c r="Q89" s="55"/>
      <c r="R89" s="55"/>
      <c r="S89" s="32"/>
      <c r="T89" s="32"/>
      <c r="U89" s="32"/>
      <c r="V89" s="32"/>
    </row>
    <row r="90" spans="1:22" ht="19.95" customHeight="1" x14ac:dyDescent="0.3">
      <c r="A90" s="64"/>
      <c r="N90" s="55"/>
      <c r="O90" s="55"/>
      <c r="P90" s="55"/>
      <c r="Q90" s="55"/>
      <c r="R90" s="55"/>
      <c r="S90" s="32"/>
      <c r="T90" s="32"/>
      <c r="U90" s="32"/>
      <c r="V90" s="32"/>
    </row>
    <row r="91" spans="1:22" ht="19.95" customHeight="1" x14ac:dyDescent="0.3">
      <c r="A91" s="64"/>
      <c r="N91" s="55"/>
      <c r="O91" s="55"/>
      <c r="P91" s="55"/>
      <c r="Q91" s="55"/>
      <c r="R91" s="55"/>
      <c r="S91" s="32"/>
      <c r="T91" s="32"/>
      <c r="U91" s="32"/>
      <c r="V91" s="32"/>
    </row>
    <row r="92" spans="1:22" ht="19.95" customHeight="1" x14ac:dyDescent="0.3">
      <c r="A92" s="64"/>
      <c r="N92" s="55"/>
      <c r="O92" s="55"/>
      <c r="P92" s="55"/>
      <c r="Q92" s="55"/>
      <c r="R92" s="55"/>
      <c r="S92" s="32"/>
      <c r="T92" s="32"/>
      <c r="U92" s="32"/>
      <c r="V92" s="32"/>
    </row>
    <row r="93" spans="1:22" ht="19.95" customHeight="1" x14ac:dyDescent="0.3">
      <c r="A93" s="64"/>
      <c r="N93" s="55"/>
      <c r="O93" s="55"/>
      <c r="P93" s="55"/>
      <c r="Q93" s="55"/>
      <c r="R93" s="55"/>
      <c r="S93" s="32"/>
      <c r="T93" s="32"/>
      <c r="U93" s="32"/>
      <c r="V93" s="32"/>
    </row>
    <row r="94" spans="1:22" ht="19.95" customHeight="1" x14ac:dyDescent="0.3">
      <c r="A94" s="64"/>
      <c r="N94" s="55"/>
      <c r="O94" s="55"/>
      <c r="P94" s="55"/>
      <c r="Q94" s="55"/>
      <c r="R94" s="55"/>
      <c r="S94" s="32"/>
      <c r="T94" s="32"/>
      <c r="U94" s="32"/>
      <c r="V94" s="32"/>
    </row>
    <row r="95" spans="1:22" ht="19.95" customHeight="1" x14ac:dyDescent="0.3">
      <c r="A95" s="64"/>
      <c r="N95" s="55"/>
      <c r="O95" s="55"/>
      <c r="P95" s="55"/>
      <c r="Q95" s="55"/>
      <c r="R95" s="55"/>
      <c r="S95" s="32"/>
      <c r="T95" s="32"/>
      <c r="U95" s="32"/>
      <c r="V95" s="32"/>
    </row>
    <row r="96" spans="1:22" ht="19.95" customHeight="1" x14ac:dyDescent="0.3">
      <c r="A96" s="64"/>
      <c r="N96" s="55"/>
      <c r="O96" s="55"/>
      <c r="P96" s="55"/>
      <c r="Q96" s="55"/>
      <c r="R96" s="55"/>
      <c r="S96" s="32"/>
      <c r="T96" s="32"/>
      <c r="U96" s="32"/>
      <c r="V96" s="32"/>
    </row>
    <row r="97" spans="1:22" ht="19.95" customHeight="1" x14ac:dyDescent="0.3">
      <c r="A97" s="64"/>
      <c r="N97" s="55"/>
      <c r="O97" s="55"/>
      <c r="P97" s="55"/>
      <c r="Q97" s="55"/>
      <c r="R97" s="55"/>
      <c r="S97" s="32"/>
      <c r="T97" s="32"/>
      <c r="U97" s="32"/>
      <c r="V97" s="32"/>
    </row>
    <row r="98" spans="1:22" ht="19.95" customHeight="1" x14ac:dyDescent="0.3">
      <c r="A98" s="64"/>
      <c r="N98" s="55"/>
      <c r="O98" s="55"/>
      <c r="P98" s="55"/>
      <c r="Q98" s="55"/>
      <c r="R98" s="55"/>
      <c r="S98" s="32"/>
      <c r="T98" s="32"/>
      <c r="U98" s="32"/>
      <c r="V98" s="32"/>
    </row>
    <row r="99" spans="1:22" ht="19.95" customHeight="1" x14ac:dyDescent="0.3">
      <c r="A99" s="64"/>
      <c r="N99" s="55"/>
      <c r="O99" s="55"/>
      <c r="P99" s="55"/>
      <c r="Q99" s="55"/>
      <c r="R99" s="55"/>
      <c r="S99" s="32"/>
      <c r="T99" s="32"/>
      <c r="U99" s="32"/>
      <c r="V99" s="32"/>
    </row>
    <row r="100" spans="1:22" ht="19.95" customHeight="1" x14ac:dyDescent="0.3">
      <c r="A100" s="64"/>
      <c r="N100" s="55"/>
      <c r="O100" s="55"/>
      <c r="P100" s="55"/>
      <c r="Q100" s="55"/>
      <c r="R100" s="55"/>
      <c r="S100" s="32"/>
      <c r="T100" s="32"/>
      <c r="U100" s="32"/>
      <c r="V100" s="32"/>
    </row>
    <row r="101" spans="1:22" ht="19.95" customHeight="1" x14ac:dyDescent="0.3">
      <c r="A101" s="64"/>
      <c r="N101" s="55"/>
      <c r="O101" s="55"/>
      <c r="P101" s="55"/>
      <c r="Q101" s="55"/>
      <c r="R101" s="55"/>
      <c r="S101" s="32"/>
      <c r="T101" s="32"/>
      <c r="U101" s="32"/>
      <c r="V101" s="32"/>
    </row>
    <row r="102" spans="1:22" ht="19.95" customHeight="1" x14ac:dyDescent="0.3">
      <c r="A102" s="64"/>
      <c r="N102" s="55"/>
      <c r="O102" s="55"/>
      <c r="P102" s="55"/>
      <c r="Q102" s="55"/>
      <c r="R102" s="55"/>
      <c r="S102" s="32"/>
      <c r="T102" s="32"/>
      <c r="U102" s="32"/>
      <c r="V102" s="32"/>
    </row>
    <row r="103" spans="1:22" ht="19.95" customHeight="1" x14ac:dyDescent="0.3">
      <c r="A103" s="64"/>
      <c r="N103" s="55"/>
      <c r="O103" s="55"/>
      <c r="P103" s="55"/>
      <c r="Q103" s="55"/>
      <c r="R103" s="55"/>
      <c r="S103" s="32"/>
      <c r="T103" s="32"/>
      <c r="U103" s="32"/>
      <c r="V103" s="32"/>
    </row>
    <row r="104" spans="1:22" ht="19.95" customHeight="1" x14ac:dyDescent="0.3">
      <c r="A104" s="64"/>
      <c r="N104" s="55"/>
      <c r="O104" s="55"/>
      <c r="P104" s="55"/>
      <c r="Q104" s="55"/>
      <c r="R104" s="55"/>
      <c r="S104" s="32"/>
      <c r="T104" s="32"/>
      <c r="U104" s="32"/>
      <c r="V104" s="32"/>
    </row>
    <row r="105" spans="1:22" ht="19.95" customHeight="1" x14ac:dyDescent="0.3">
      <c r="A105" s="64"/>
      <c r="N105" s="55"/>
      <c r="O105" s="55"/>
      <c r="P105" s="55"/>
      <c r="Q105" s="55"/>
      <c r="R105" s="55"/>
      <c r="S105" s="32"/>
      <c r="T105" s="32"/>
      <c r="U105" s="32"/>
      <c r="V105" s="32"/>
    </row>
    <row r="106" spans="1:22" ht="19.95" customHeight="1" x14ac:dyDescent="0.3">
      <c r="A106" s="64"/>
      <c r="N106" s="55"/>
      <c r="O106" s="55"/>
      <c r="P106" s="55"/>
      <c r="Q106" s="55"/>
      <c r="R106" s="55"/>
      <c r="S106" s="32"/>
      <c r="T106" s="32"/>
      <c r="U106" s="32"/>
      <c r="V106" s="32"/>
    </row>
    <row r="107" spans="1:22" ht="19.95" customHeight="1" x14ac:dyDescent="0.3">
      <c r="A107" s="64"/>
      <c r="N107" s="55"/>
      <c r="O107" s="55"/>
      <c r="P107" s="55"/>
      <c r="Q107" s="55"/>
      <c r="R107" s="55"/>
      <c r="S107" s="32"/>
      <c r="T107" s="32"/>
      <c r="U107" s="32"/>
      <c r="V107" s="32"/>
    </row>
    <row r="108" spans="1:22" ht="19.95" customHeight="1" x14ac:dyDescent="0.3">
      <c r="A108" s="64"/>
      <c r="N108" s="55"/>
      <c r="O108" s="55"/>
      <c r="P108" s="55"/>
      <c r="Q108" s="55"/>
      <c r="R108" s="55"/>
      <c r="S108" s="32"/>
      <c r="T108" s="32"/>
      <c r="U108" s="32"/>
      <c r="V108" s="32"/>
    </row>
    <row r="109" spans="1:22" ht="19.95" customHeight="1" x14ac:dyDescent="0.3">
      <c r="A109" s="64"/>
      <c r="N109" s="55"/>
      <c r="O109" s="55"/>
      <c r="P109" s="55"/>
      <c r="Q109" s="55"/>
      <c r="R109" s="55"/>
      <c r="S109" s="32"/>
      <c r="T109" s="32"/>
      <c r="U109" s="32"/>
      <c r="V109" s="32"/>
    </row>
    <row r="110" spans="1:22" ht="19.95" customHeight="1" x14ac:dyDescent="0.3">
      <c r="A110" s="64"/>
      <c r="N110" s="55"/>
      <c r="O110" s="55"/>
      <c r="P110" s="55"/>
      <c r="Q110" s="55"/>
      <c r="R110" s="55"/>
      <c r="S110" s="32"/>
      <c r="T110" s="32"/>
      <c r="U110" s="32"/>
      <c r="V110" s="32"/>
    </row>
    <row r="111" spans="1:22" ht="19.95" customHeight="1" x14ac:dyDescent="0.3">
      <c r="A111" s="64"/>
      <c r="N111" s="55"/>
      <c r="O111" s="55"/>
      <c r="P111" s="55"/>
      <c r="Q111" s="55"/>
      <c r="R111" s="55"/>
      <c r="S111" s="32"/>
      <c r="T111" s="32"/>
      <c r="U111" s="32"/>
      <c r="V111" s="32"/>
    </row>
    <row r="112" spans="1:22" ht="19.95" customHeight="1" x14ac:dyDescent="0.3">
      <c r="A112" s="64"/>
      <c r="N112" s="55"/>
      <c r="O112" s="55"/>
      <c r="P112" s="55"/>
      <c r="Q112" s="55"/>
      <c r="R112" s="55"/>
      <c r="S112" s="32"/>
      <c r="T112" s="32"/>
      <c r="U112" s="32"/>
      <c r="V112" s="32"/>
    </row>
    <row r="113" spans="1:22" ht="19.95" customHeight="1" x14ac:dyDescent="0.3">
      <c r="A113" s="64"/>
      <c r="N113" s="55"/>
      <c r="O113" s="55"/>
      <c r="P113" s="55"/>
      <c r="Q113" s="55"/>
      <c r="R113" s="55"/>
      <c r="S113" s="32"/>
      <c r="T113" s="32"/>
      <c r="U113" s="32"/>
      <c r="V113" s="32"/>
    </row>
    <row r="114" spans="1:22" ht="19.95" customHeight="1" x14ac:dyDescent="0.3">
      <c r="A114" s="64"/>
      <c r="N114" s="55"/>
      <c r="O114" s="55"/>
      <c r="P114" s="55"/>
      <c r="Q114" s="55"/>
      <c r="R114" s="55"/>
      <c r="S114" s="32"/>
      <c r="T114" s="32"/>
      <c r="U114" s="32"/>
      <c r="V114" s="32"/>
    </row>
    <row r="115" spans="1:22" ht="19.95" customHeight="1" x14ac:dyDescent="0.3">
      <c r="A115" s="64"/>
      <c r="N115" s="55"/>
      <c r="O115" s="55"/>
      <c r="P115" s="55"/>
      <c r="Q115" s="55"/>
      <c r="R115" s="55"/>
      <c r="S115" s="32"/>
      <c r="T115" s="32"/>
      <c r="U115" s="32"/>
      <c r="V115" s="32"/>
    </row>
    <row r="116" spans="1:22" ht="19.95" customHeight="1" x14ac:dyDescent="0.3">
      <c r="A116" s="64"/>
      <c r="N116" s="55"/>
      <c r="O116" s="55"/>
      <c r="P116" s="55"/>
      <c r="Q116" s="55"/>
      <c r="R116" s="55"/>
      <c r="S116" s="32"/>
      <c r="T116" s="32"/>
      <c r="U116" s="32"/>
      <c r="V116" s="32"/>
    </row>
    <row r="117" spans="1:22" ht="19.95" customHeight="1" x14ac:dyDescent="0.3">
      <c r="A117" s="64"/>
      <c r="N117" s="55"/>
      <c r="O117" s="55"/>
      <c r="P117" s="55"/>
      <c r="Q117" s="55"/>
      <c r="R117" s="55"/>
      <c r="S117" s="32"/>
      <c r="T117" s="32"/>
      <c r="U117" s="32"/>
      <c r="V117" s="32"/>
    </row>
    <row r="118" spans="1:22" ht="19.95" customHeight="1" x14ac:dyDescent="0.3">
      <c r="A118" s="64"/>
      <c r="N118" s="55"/>
      <c r="O118" s="55"/>
      <c r="P118" s="55"/>
      <c r="Q118" s="55"/>
      <c r="R118" s="55"/>
      <c r="S118" s="32"/>
      <c r="T118" s="32"/>
      <c r="U118" s="32"/>
      <c r="V118" s="32"/>
    </row>
    <row r="119" spans="1:22" ht="19.95" customHeight="1" x14ac:dyDescent="0.3">
      <c r="A119" s="64"/>
      <c r="N119" s="55"/>
      <c r="O119" s="55"/>
      <c r="P119" s="55"/>
      <c r="Q119" s="55"/>
      <c r="R119" s="55"/>
      <c r="S119" s="32"/>
      <c r="T119" s="32"/>
      <c r="U119" s="32"/>
      <c r="V119" s="32"/>
    </row>
    <row r="120" spans="1:22" ht="19.95" customHeight="1" x14ac:dyDescent="0.3">
      <c r="A120" s="64"/>
      <c r="N120" s="55"/>
      <c r="O120" s="55"/>
      <c r="P120" s="55"/>
      <c r="Q120" s="55"/>
      <c r="R120" s="55"/>
      <c r="S120" s="32"/>
      <c r="T120" s="32"/>
      <c r="U120" s="32"/>
      <c r="V120" s="32"/>
    </row>
    <row r="121" spans="1:22" ht="19.95" customHeight="1" x14ac:dyDescent="0.3">
      <c r="A121" s="64"/>
      <c r="N121" s="55"/>
      <c r="O121" s="55"/>
      <c r="P121" s="55"/>
      <c r="Q121" s="55"/>
      <c r="R121" s="55"/>
      <c r="S121" s="32"/>
      <c r="T121" s="32"/>
      <c r="U121" s="32"/>
      <c r="V121" s="32"/>
    </row>
    <row r="122" spans="1:22" ht="19.95" customHeight="1" x14ac:dyDescent="0.3">
      <c r="A122" s="64"/>
      <c r="N122" s="55"/>
      <c r="O122" s="55"/>
      <c r="P122" s="55"/>
      <c r="Q122" s="55"/>
      <c r="R122" s="55"/>
      <c r="S122" s="32"/>
      <c r="T122" s="32"/>
      <c r="U122" s="32"/>
      <c r="V122" s="32"/>
    </row>
    <row r="123" spans="1:22" ht="19.95" customHeight="1" x14ac:dyDescent="0.3">
      <c r="A123" s="64"/>
      <c r="N123" s="55"/>
      <c r="O123" s="55"/>
      <c r="P123" s="55"/>
      <c r="Q123" s="55"/>
      <c r="R123" s="55"/>
      <c r="S123" s="32"/>
      <c r="T123" s="32"/>
      <c r="U123" s="32"/>
      <c r="V123" s="32"/>
    </row>
    <row r="124" spans="1:22" ht="19.95" customHeight="1" x14ac:dyDescent="0.3">
      <c r="A124" s="64"/>
      <c r="N124" s="55"/>
      <c r="O124" s="55"/>
      <c r="P124" s="55"/>
      <c r="Q124" s="55"/>
      <c r="R124" s="55"/>
      <c r="S124" s="32"/>
      <c r="T124" s="32"/>
      <c r="U124" s="32"/>
      <c r="V124" s="32"/>
    </row>
    <row r="125" spans="1:22" ht="19.95" customHeight="1" x14ac:dyDescent="0.3">
      <c r="A125" s="64"/>
      <c r="N125" s="55"/>
      <c r="O125" s="55"/>
      <c r="P125" s="55"/>
      <c r="Q125" s="55"/>
      <c r="R125" s="55"/>
      <c r="S125" s="32"/>
      <c r="T125" s="32"/>
      <c r="U125" s="32"/>
      <c r="V125" s="32"/>
    </row>
    <row r="126" spans="1:22" ht="19.95" customHeight="1" x14ac:dyDescent="0.3">
      <c r="A126" s="64"/>
      <c r="N126" s="55"/>
      <c r="O126" s="55"/>
      <c r="P126" s="55"/>
      <c r="Q126" s="55"/>
      <c r="R126" s="55"/>
      <c r="S126" s="32"/>
      <c r="T126" s="32"/>
      <c r="U126" s="32"/>
      <c r="V126" s="32"/>
    </row>
    <row r="127" spans="1:22" ht="19.95" customHeight="1" x14ac:dyDescent="0.3">
      <c r="A127" s="64"/>
      <c r="N127" s="55"/>
      <c r="O127" s="55"/>
      <c r="P127" s="55"/>
      <c r="Q127" s="55"/>
      <c r="R127" s="55"/>
      <c r="S127" s="32"/>
      <c r="T127" s="32"/>
      <c r="U127" s="32"/>
      <c r="V127" s="32"/>
    </row>
    <row r="128" spans="1:22" ht="19.95" customHeight="1" x14ac:dyDescent="0.3">
      <c r="A128" s="64"/>
      <c r="N128" s="55"/>
      <c r="O128" s="55"/>
      <c r="P128" s="55"/>
      <c r="Q128" s="55"/>
      <c r="R128" s="55"/>
      <c r="S128" s="32"/>
      <c r="T128" s="32"/>
      <c r="U128" s="32"/>
      <c r="V128" s="32"/>
    </row>
    <row r="129" spans="1:22" ht="19.95" customHeight="1" x14ac:dyDescent="0.3">
      <c r="A129" s="64"/>
      <c r="N129" s="55"/>
      <c r="O129" s="55"/>
      <c r="P129" s="55"/>
      <c r="Q129" s="55"/>
      <c r="R129" s="55"/>
      <c r="S129" s="32"/>
      <c r="T129" s="32"/>
      <c r="U129" s="32"/>
      <c r="V129" s="32"/>
    </row>
    <row r="130" spans="1:22" ht="19.95" customHeight="1" x14ac:dyDescent="0.3">
      <c r="A130" s="64"/>
      <c r="N130" s="55"/>
      <c r="O130" s="55"/>
      <c r="P130" s="55"/>
      <c r="Q130" s="55"/>
      <c r="R130" s="55"/>
      <c r="S130" s="32"/>
      <c r="T130" s="32"/>
      <c r="U130" s="32"/>
      <c r="V130" s="32"/>
    </row>
    <row r="131" spans="1:22" ht="19.95" customHeight="1" x14ac:dyDescent="0.3">
      <c r="A131" s="64"/>
      <c r="N131" s="55"/>
      <c r="O131" s="55"/>
      <c r="P131" s="55"/>
      <c r="Q131" s="55"/>
      <c r="R131" s="55"/>
      <c r="S131" s="32"/>
      <c r="T131" s="32"/>
      <c r="U131" s="32"/>
      <c r="V131" s="32"/>
    </row>
    <row r="132" spans="1:22" ht="19.95" customHeight="1" x14ac:dyDescent="0.3">
      <c r="A132" s="64"/>
      <c r="N132" s="55"/>
      <c r="O132" s="55"/>
      <c r="P132" s="55"/>
      <c r="Q132" s="55"/>
      <c r="R132" s="55"/>
      <c r="S132" s="32"/>
      <c r="T132" s="32"/>
      <c r="U132" s="32"/>
      <c r="V132" s="32"/>
    </row>
    <row r="133" spans="1:22" ht="19.95" customHeight="1" x14ac:dyDescent="0.3">
      <c r="A133" s="64"/>
      <c r="N133" s="55"/>
      <c r="O133" s="55"/>
      <c r="P133" s="55"/>
      <c r="Q133" s="55"/>
      <c r="R133" s="55"/>
      <c r="S133" s="32"/>
      <c r="T133" s="32"/>
      <c r="U133" s="32"/>
      <c r="V133" s="32"/>
    </row>
    <row r="134" spans="1:22" ht="19.95" customHeight="1" x14ac:dyDescent="0.3">
      <c r="A134" s="64"/>
      <c r="N134" s="55"/>
      <c r="O134" s="55"/>
      <c r="P134" s="55"/>
      <c r="Q134" s="55"/>
      <c r="R134" s="55"/>
      <c r="S134" s="32"/>
      <c r="T134" s="32"/>
      <c r="U134" s="32"/>
      <c r="V134" s="32"/>
    </row>
    <row r="135" spans="1:22" ht="19.95" customHeight="1" x14ac:dyDescent="0.3">
      <c r="A135" s="64"/>
      <c r="N135" s="55"/>
      <c r="O135" s="55"/>
      <c r="P135" s="55"/>
      <c r="Q135" s="55"/>
      <c r="R135" s="55"/>
      <c r="S135" s="32"/>
      <c r="T135" s="32"/>
      <c r="U135" s="32"/>
      <c r="V135" s="32"/>
    </row>
    <row r="136" spans="1:22" ht="19.95" customHeight="1" x14ac:dyDescent="0.3">
      <c r="A136" s="64"/>
      <c r="N136" s="55"/>
      <c r="O136" s="55"/>
      <c r="P136" s="55"/>
      <c r="Q136" s="55"/>
      <c r="R136" s="55"/>
      <c r="S136" s="32"/>
      <c r="T136" s="32"/>
      <c r="U136" s="32"/>
      <c r="V136" s="32"/>
    </row>
    <row r="137" spans="1:22" ht="19.95" customHeight="1" x14ac:dyDescent="0.3">
      <c r="A137" s="64"/>
      <c r="N137" s="55"/>
      <c r="O137" s="55"/>
      <c r="P137" s="55"/>
      <c r="Q137" s="55"/>
      <c r="R137" s="55"/>
      <c r="S137" s="32"/>
      <c r="T137" s="32"/>
      <c r="U137" s="32"/>
      <c r="V137" s="32"/>
    </row>
    <row r="138" spans="1:22" ht="19.95" customHeight="1" x14ac:dyDescent="0.3">
      <c r="A138" s="64"/>
      <c r="N138" s="55"/>
      <c r="O138" s="55"/>
      <c r="P138" s="55"/>
      <c r="Q138" s="55"/>
      <c r="R138" s="55"/>
      <c r="S138" s="32"/>
      <c r="T138" s="32"/>
      <c r="U138" s="32"/>
      <c r="V138" s="32"/>
    </row>
    <row r="139" spans="1:22" ht="19.95" customHeight="1" x14ac:dyDescent="0.3">
      <c r="A139" s="64"/>
      <c r="N139" s="55"/>
      <c r="O139" s="55"/>
      <c r="P139" s="55"/>
      <c r="Q139" s="55"/>
      <c r="R139" s="55"/>
      <c r="S139" s="32"/>
      <c r="T139" s="32"/>
      <c r="U139" s="32"/>
      <c r="V139" s="32"/>
    </row>
    <row r="140" spans="1:22" ht="19.95" customHeight="1" x14ac:dyDescent="0.3">
      <c r="A140" s="64"/>
      <c r="N140" s="55"/>
      <c r="O140" s="55"/>
      <c r="P140" s="55"/>
      <c r="Q140" s="55"/>
      <c r="R140" s="55"/>
      <c r="S140" s="32"/>
      <c r="T140" s="32"/>
      <c r="U140" s="32"/>
      <c r="V140" s="32"/>
    </row>
    <row r="141" spans="1:22" ht="19.95" customHeight="1" x14ac:dyDescent="0.3">
      <c r="A141" s="64"/>
      <c r="N141" s="55"/>
      <c r="O141" s="55"/>
      <c r="P141" s="55"/>
      <c r="Q141" s="55"/>
      <c r="R141" s="55"/>
      <c r="S141" s="32"/>
      <c r="T141" s="32"/>
      <c r="U141" s="32"/>
      <c r="V141" s="32"/>
    </row>
    <row r="142" spans="1:22" ht="19.95" customHeight="1" x14ac:dyDescent="0.3">
      <c r="A142" s="64"/>
      <c r="N142" s="55"/>
      <c r="O142" s="55"/>
      <c r="P142" s="55"/>
      <c r="Q142" s="55"/>
      <c r="R142" s="55"/>
      <c r="S142" s="32"/>
      <c r="T142" s="32"/>
      <c r="U142" s="32"/>
      <c r="V142" s="32"/>
    </row>
    <row r="143" spans="1:22" ht="19.95" customHeight="1" x14ac:dyDescent="0.3">
      <c r="A143" s="64"/>
      <c r="N143" s="55"/>
      <c r="O143" s="55"/>
      <c r="P143" s="55"/>
      <c r="Q143" s="55"/>
      <c r="R143" s="55"/>
      <c r="S143" s="32"/>
      <c r="T143" s="32"/>
      <c r="U143" s="32"/>
      <c r="V143" s="32"/>
    </row>
    <row r="144" spans="1:22" ht="19.95" customHeight="1" x14ac:dyDescent="0.3">
      <c r="A144" s="64"/>
      <c r="N144" s="55"/>
      <c r="O144" s="55"/>
      <c r="P144" s="55"/>
      <c r="Q144" s="55"/>
      <c r="R144" s="55"/>
      <c r="S144" s="32"/>
      <c r="T144" s="32"/>
      <c r="U144" s="32"/>
      <c r="V144" s="32"/>
    </row>
    <row r="145" spans="1:22" ht="19.95" customHeight="1" x14ac:dyDescent="0.3">
      <c r="A145" s="64"/>
      <c r="N145" s="55"/>
      <c r="O145" s="55"/>
      <c r="P145" s="55"/>
      <c r="Q145" s="55"/>
      <c r="R145" s="55"/>
      <c r="S145" s="32"/>
      <c r="T145" s="32"/>
      <c r="U145" s="32"/>
      <c r="V145" s="32"/>
    </row>
    <row r="146" spans="1:22" ht="19.95" customHeight="1" x14ac:dyDescent="0.3">
      <c r="A146" s="64"/>
      <c r="N146" s="55"/>
      <c r="O146" s="55"/>
      <c r="P146" s="55"/>
      <c r="Q146" s="55"/>
      <c r="R146" s="55"/>
      <c r="S146" s="32"/>
      <c r="T146" s="32"/>
      <c r="U146" s="32"/>
      <c r="V146" s="32"/>
    </row>
    <row r="147" spans="1:22" ht="19.95" customHeight="1" x14ac:dyDescent="0.3">
      <c r="A147" s="64"/>
      <c r="N147" s="55"/>
      <c r="O147" s="55"/>
      <c r="P147" s="55"/>
      <c r="Q147" s="55"/>
      <c r="R147" s="55"/>
      <c r="S147" s="32"/>
      <c r="T147" s="32"/>
      <c r="U147" s="32"/>
      <c r="V147" s="32"/>
    </row>
    <row r="148" spans="1:22" ht="19.95" customHeight="1" x14ac:dyDescent="0.3">
      <c r="A148" s="64"/>
      <c r="N148" s="55"/>
      <c r="O148" s="55"/>
      <c r="P148" s="55"/>
      <c r="Q148" s="55"/>
      <c r="R148" s="55"/>
      <c r="S148" s="32"/>
      <c r="T148" s="32"/>
      <c r="U148" s="32"/>
      <c r="V148" s="32"/>
    </row>
    <row r="149" spans="1:22" ht="19.95" customHeight="1" x14ac:dyDescent="0.3">
      <c r="A149" s="64"/>
      <c r="N149" s="55"/>
      <c r="O149" s="55"/>
      <c r="P149" s="55"/>
      <c r="Q149" s="55"/>
      <c r="R149" s="55"/>
      <c r="S149" s="32"/>
      <c r="T149" s="32"/>
      <c r="U149" s="32"/>
      <c r="V149" s="32"/>
    </row>
    <row r="150" spans="1:22" ht="19.95" customHeight="1" x14ac:dyDescent="0.3">
      <c r="A150" s="64"/>
      <c r="N150" s="55"/>
      <c r="O150" s="55"/>
      <c r="P150" s="55"/>
      <c r="Q150" s="55"/>
      <c r="R150" s="55"/>
      <c r="S150" s="32"/>
      <c r="T150" s="32"/>
      <c r="U150" s="32"/>
      <c r="V150" s="32"/>
    </row>
    <row r="151" spans="1:22" ht="19.95" customHeight="1" x14ac:dyDescent="0.3">
      <c r="A151" s="64"/>
      <c r="N151" s="55"/>
      <c r="O151" s="55"/>
      <c r="P151" s="55"/>
      <c r="Q151" s="55"/>
      <c r="R151" s="55"/>
      <c r="S151" s="32"/>
      <c r="T151" s="32"/>
      <c r="U151" s="32"/>
      <c r="V151" s="32"/>
    </row>
    <row r="152" spans="1:22" ht="19.95" customHeight="1" x14ac:dyDescent="0.3">
      <c r="A152" s="64"/>
      <c r="N152" s="55"/>
      <c r="O152" s="55"/>
      <c r="P152" s="55"/>
      <c r="Q152" s="55"/>
      <c r="R152" s="55"/>
      <c r="S152" s="32"/>
      <c r="T152" s="32"/>
      <c r="U152" s="32"/>
      <c r="V152" s="32"/>
    </row>
    <row r="153" spans="1:22" ht="19.95" customHeight="1" x14ac:dyDescent="0.3">
      <c r="A153" s="64"/>
      <c r="N153" s="55"/>
      <c r="O153" s="55"/>
      <c r="P153" s="55"/>
      <c r="Q153" s="55"/>
      <c r="R153" s="55"/>
      <c r="S153" s="32"/>
      <c r="T153" s="32"/>
      <c r="U153" s="32"/>
      <c r="V153" s="32"/>
    </row>
    <row r="154" spans="1:22" ht="19.95" customHeight="1" x14ac:dyDescent="0.3">
      <c r="A154" s="64"/>
      <c r="N154" s="55"/>
      <c r="O154" s="55"/>
      <c r="P154" s="55"/>
      <c r="Q154" s="55"/>
      <c r="R154" s="55"/>
      <c r="S154" s="32"/>
      <c r="T154" s="32"/>
      <c r="U154" s="32"/>
      <c r="V154" s="32"/>
    </row>
    <row r="155" spans="1:22" ht="19.95" customHeight="1" x14ac:dyDescent="0.3">
      <c r="A155" s="64"/>
      <c r="N155" s="55"/>
      <c r="O155" s="55"/>
      <c r="P155" s="55"/>
      <c r="Q155" s="55"/>
      <c r="R155" s="55"/>
      <c r="S155" s="32"/>
      <c r="T155" s="32"/>
      <c r="U155" s="32"/>
      <c r="V155" s="32"/>
    </row>
    <row r="156" spans="1:22" ht="19.95" customHeight="1" x14ac:dyDescent="0.3">
      <c r="A156" s="64"/>
      <c r="N156" s="55"/>
      <c r="O156" s="55"/>
      <c r="P156" s="55"/>
      <c r="Q156" s="55"/>
      <c r="R156" s="55"/>
      <c r="S156" s="32"/>
      <c r="T156" s="32"/>
      <c r="U156" s="32"/>
      <c r="V156" s="32"/>
    </row>
    <row r="157" spans="1:22" ht="19.95" customHeight="1" x14ac:dyDescent="0.3">
      <c r="A157" s="64"/>
      <c r="N157" s="55"/>
      <c r="O157" s="55"/>
      <c r="P157" s="55"/>
      <c r="Q157" s="55"/>
      <c r="R157" s="55"/>
      <c r="S157" s="32"/>
      <c r="T157" s="32"/>
      <c r="U157" s="32"/>
      <c r="V157" s="32"/>
    </row>
    <row r="158" spans="1:22" ht="19.95" customHeight="1" x14ac:dyDescent="0.3">
      <c r="A158" s="64"/>
      <c r="N158" s="55"/>
      <c r="O158" s="55"/>
      <c r="P158" s="55"/>
      <c r="Q158" s="55"/>
      <c r="R158" s="55"/>
      <c r="S158" s="32"/>
      <c r="T158" s="32"/>
      <c r="U158" s="32"/>
      <c r="V158" s="32"/>
    </row>
    <row r="159" spans="1:22" ht="19.95" customHeight="1" x14ac:dyDescent="0.3">
      <c r="A159" s="64"/>
      <c r="N159" s="55"/>
      <c r="O159" s="55"/>
      <c r="P159" s="55"/>
      <c r="Q159" s="55"/>
      <c r="R159" s="55"/>
      <c r="S159" s="32"/>
      <c r="T159" s="32"/>
      <c r="U159" s="32"/>
      <c r="V159" s="32"/>
    </row>
    <row r="160" spans="1:22" ht="19.95" customHeight="1" x14ac:dyDescent="0.3">
      <c r="A160" s="64"/>
      <c r="N160" s="55"/>
      <c r="O160" s="55"/>
      <c r="P160" s="55"/>
      <c r="Q160" s="55"/>
      <c r="R160" s="55"/>
      <c r="S160" s="32"/>
      <c r="T160" s="32"/>
      <c r="U160" s="32"/>
      <c r="V160" s="32"/>
    </row>
    <row r="161" spans="1:22" ht="19.95" customHeight="1" x14ac:dyDescent="0.3">
      <c r="A161" s="64"/>
      <c r="N161" s="55"/>
      <c r="O161" s="55"/>
      <c r="P161" s="55"/>
      <c r="Q161" s="55"/>
      <c r="R161" s="55"/>
      <c r="S161" s="32"/>
      <c r="T161" s="32"/>
      <c r="U161" s="32"/>
      <c r="V161" s="32"/>
    </row>
    <row r="162" spans="1:22" ht="19.95" customHeight="1" x14ac:dyDescent="0.3">
      <c r="A162" s="64"/>
      <c r="N162" s="55"/>
      <c r="O162" s="55"/>
      <c r="P162" s="55"/>
      <c r="Q162" s="55"/>
      <c r="R162" s="55"/>
      <c r="S162" s="32"/>
      <c r="T162" s="32"/>
      <c r="U162" s="32"/>
      <c r="V162" s="32"/>
    </row>
    <row r="163" spans="1:22" ht="19.95" customHeight="1" x14ac:dyDescent="0.3">
      <c r="A163" s="64"/>
      <c r="N163" s="55"/>
      <c r="O163" s="55"/>
      <c r="P163" s="55"/>
      <c r="Q163" s="55"/>
      <c r="R163" s="55"/>
      <c r="S163" s="32"/>
      <c r="T163" s="32"/>
      <c r="U163" s="32"/>
      <c r="V163" s="32"/>
    </row>
    <row r="164" spans="1:22" ht="19.95" customHeight="1" x14ac:dyDescent="0.3">
      <c r="A164" s="64"/>
      <c r="N164" s="55"/>
      <c r="O164" s="55"/>
      <c r="P164" s="55"/>
      <c r="Q164" s="55"/>
      <c r="R164" s="55"/>
      <c r="S164" s="32"/>
      <c r="T164" s="32"/>
      <c r="U164" s="32"/>
      <c r="V164" s="32"/>
    </row>
    <row r="165" spans="1:22" ht="19.95" customHeight="1" x14ac:dyDescent="0.3">
      <c r="A165" s="64"/>
      <c r="N165" s="55"/>
      <c r="O165" s="55"/>
      <c r="P165" s="55"/>
      <c r="Q165" s="55"/>
      <c r="R165" s="55"/>
      <c r="S165" s="32"/>
      <c r="T165" s="32"/>
      <c r="U165" s="32"/>
      <c r="V165" s="32"/>
    </row>
    <row r="166" spans="1:22" ht="19.95" customHeight="1" x14ac:dyDescent="0.3">
      <c r="A166" s="64"/>
      <c r="N166" s="55"/>
      <c r="O166" s="55"/>
      <c r="P166" s="55"/>
      <c r="Q166" s="55"/>
      <c r="R166" s="55"/>
      <c r="S166" s="32"/>
      <c r="T166" s="32"/>
      <c r="U166" s="32"/>
      <c r="V166" s="32"/>
    </row>
    <row r="167" spans="1:22" ht="19.95" customHeight="1" x14ac:dyDescent="0.3">
      <c r="A167" s="64"/>
      <c r="N167" s="55"/>
      <c r="O167" s="55"/>
      <c r="P167" s="55"/>
      <c r="Q167" s="55"/>
      <c r="R167" s="55"/>
      <c r="S167" s="32"/>
      <c r="T167" s="32"/>
      <c r="U167" s="32"/>
      <c r="V167" s="32"/>
    </row>
    <row r="168" spans="1:22" ht="19.95" customHeight="1" x14ac:dyDescent="0.3">
      <c r="A168" s="64"/>
      <c r="N168" s="55"/>
      <c r="O168" s="55"/>
      <c r="P168" s="55"/>
      <c r="Q168" s="55"/>
      <c r="R168" s="55"/>
      <c r="S168" s="32"/>
      <c r="T168" s="32"/>
      <c r="U168" s="32"/>
      <c r="V168" s="32"/>
    </row>
    <row r="169" spans="1:22" ht="19.95" customHeight="1" x14ac:dyDescent="0.3">
      <c r="A169" s="64"/>
      <c r="N169" s="55"/>
      <c r="O169" s="55"/>
      <c r="P169" s="55"/>
      <c r="Q169" s="55"/>
      <c r="R169" s="55"/>
      <c r="S169" s="32"/>
      <c r="T169" s="32"/>
      <c r="U169" s="32"/>
      <c r="V169" s="32"/>
    </row>
    <row r="170" spans="1:22" ht="19.95" customHeight="1" x14ac:dyDescent="0.3">
      <c r="A170" s="64"/>
      <c r="N170" s="55"/>
      <c r="O170" s="55"/>
      <c r="P170" s="55"/>
      <c r="Q170" s="55"/>
      <c r="R170" s="55"/>
      <c r="S170" s="32"/>
      <c r="T170" s="32"/>
      <c r="U170" s="32"/>
      <c r="V170" s="32"/>
    </row>
    <row r="171" spans="1:22" ht="19.95" customHeight="1" x14ac:dyDescent="0.3">
      <c r="A171" s="64"/>
      <c r="N171" s="55"/>
      <c r="O171" s="55"/>
      <c r="P171" s="55"/>
      <c r="Q171" s="55"/>
      <c r="R171" s="55"/>
      <c r="S171" s="32"/>
      <c r="T171" s="32"/>
      <c r="U171" s="32"/>
      <c r="V171" s="32"/>
    </row>
    <row r="172" spans="1:22" ht="19.95" customHeight="1" x14ac:dyDescent="0.3">
      <c r="A172" s="64"/>
      <c r="N172" s="55"/>
      <c r="O172" s="55"/>
      <c r="P172" s="55"/>
      <c r="Q172" s="55"/>
      <c r="R172" s="55"/>
      <c r="S172" s="32"/>
      <c r="T172" s="32"/>
      <c r="U172" s="32"/>
      <c r="V172" s="32"/>
    </row>
    <row r="173" spans="1:22" ht="19.95" customHeight="1" x14ac:dyDescent="0.3">
      <c r="A173" s="64"/>
      <c r="N173" s="55"/>
      <c r="O173" s="55"/>
      <c r="P173" s="55"/>
      <c r="Q173" s="55"/>
      <c r="R173" s="55"/>
      <c r="S173" s="32"/>
      <c r="T173" s="32"/>
      <c r="U173" s="32"/>
      <c r="V173" s="32"/>
    </row>
    <row r="174" spans="1:22" ht="19.95" customHeight="1" x14ac:dyDescent="0.3">
      <c r="A174" s="64"/>
      <c r="N174" s="55"/>
      <c r="O174" s="55"/>
      <c r="P174" s="55"/>
      <c r="Q174" s="55"/>
      <c r="R174" s="55"/>
      <c r="S174" s="32"/>
      <c r="T174" s="32"/>
      <c r="U174" s="32"/>
      <c r="V174" s="32"/>
    </row>
    <row r="175" spans="1:22" ht="19.95" customHeight="1" x14ac:dyDescent="0.3">
      <c r="A175" s="64"/>
      <c r="N175" s="55"/>
      <c r="O175" s="55"/>
      <c r="P175" s="55"/>
      <c r="Q175" s="55"/>
      <c r="R175" s="55"/>
      <c r="S175" s="32"/>
      <c r="T175" s="32"/>
      <c r="U175" s="32"/>
      <c r="V175" s="32"/>
    </row>
    <row r="176" spans="1:22" ht="19.95" customHeight="1" x14ac:dyDescent="0.3">
      <c r="A176" s="64"/>
      <c r="N176" s="55"/>
      <c r="O176" s="55"/>
      <c r="P176" s="55"/>
      <c r="Q176" s="55"/>
      <c r="R176" s="55"/>
      <c r="S176" s="32"/>
      <c r="T176" s="32"/>
      <c r="U176" s="32"/>
      <c r="V176" s="32"/>
    </row>
    <row r="177" spans="1:22" ht="19.95" customHeight="1" x14ac:dyDescent="0.3">
      <c r="A177" s="64"/>
      <c r="N177" s="55"/>
      <c r="O177" s="55"/>
      <c r="P177" s="55"/>
      <c r="Q177" s="55"/>
      <c r="R177" s="55"/>
      <c r="S177" s="32"/>
      <c r="T177" s="32"/>
      <c r="U177" s="32"/>
      <c r="V177" s="32"/>
    </row>
    <row r="178" spans="1:22" ht="19.95" customHeight="1" x14ac:dyDescent="0.3">
      <c r="A178" s="64"/>
      <c r="N178" s="55"/>
      <c r="O178" s="55"/>
      <c r="P178" s="55"/>
      <c r="Q178" s="55"/>
      <c r="R178" s="55"/>
      <c r="S178" s="32"/>
      <c r="T178" s="32"/>
      <c r="U178" s="32"/>
      <c r="V178" s="32"/>
    </row>
    <row r="179" spans="1:22" ht="19.95" customHeight="1" x14ac:dyDescent="0.3">
      <c r="A179" s="64"/>
      <c r="N179" s="55"/>
      <c r="O179" s="55"/>
      <c r="P179" s="55"/>
      <c r="Q179" s="55"/>
      <c r="R179" s="55"/>
      <c r="S179" s="32"/>
      <c r="T179" s="32"/>
      <c r="U179" s="32"/>
      <c r="V179" s="32"/>
    </row>
    <row r="180" spans="1:22" ht="19.95" customHeight="1" x14ac:dyDescent="0.3">
      <c r="A180" s="64"/>
      <c r="N180" s="55"/>
      <c r="O180" s="55"/>
      <c r="P180" s="55"/>
      <c r="Q180" s="55"/>
      <c r="R180" s="55"/>
      <c r="S180" s="32"/>
      <c r="T180" s="32"/>
      <c r="U180" s="32"/>
      <c r="V180" s="32"/>
    </row>
    <row r="181" spans="1:22" ht="19.95" customHeight="1" x14ac:dyDescent="0.3">
      <c r="A181" s="64"/>
      <c r="N181" s="55"/>
      <c r="O181" s="55"/>
      <c r="P181" s="55"/>
      <c r="Q181" s="55"/>
      <c r="R181" s="55"/>
      <c r="S181" s="32"/>
      <c r="T181" s="32"/>
      <c r="U181" s="32"/>
      <c r="V181" s="32"/>
    </row>
    <row r="182" spans="1:22" ht="19.95" customHeight="1" x14ac:dyDescent="0.3">
      <c r="A182" s="64"/>
      <c r="N182" s="55"/>
      <c r="O182" s="55"/>
      <c r="P182" s="55"/>
      <c r="Q182" s="55"/>
      <c r="R182" s="55"/>
      <c r="S182" s="32"/>
      <c r="T182" s="32"/>
      <c r="U182" s="32"/>
      <c r="V182" s="32"/>
    </row>
    <row r="183" spans="1:22" ht="19.95" customHeight="1" x14ac:dyDescent="0.3">
      <c r="A183" s="64"/>
      <c r="N183" s="55"/>
      <c r="O183" s="55"/>
      <c r="P183" s="55"/>
      <c r="Q183" s="55"/>
      <c r="R183" s="55"/>
      <c r="S183" s="32"/>
      <c r="T183" s="32"/>
      <c r="U183" s="32"/>
      <c r="V183" s="32"/>
    </row>
    <row r="184" spans="1:22" ht="19.95" customHeight="1" x14ac:dyDescent="0.3">
      <c r="A184" s="64"/>
      <c r="N184" s="55"/>
      <c r="O184" s="55"/>
      <c r="P184" s="55"/>
      <c r="Q184" s="55"/>
      <c r="R184" s="55"/>
      <c r="S184" s="32"/>
      <c r="T184" s="32"/>
      <c r="U184" s="32"/>
      <c r="V184" s="32"/>
    </row>
    <row r="185" spans="1:22" ht="19.95" customHeight="1" x14ac:dyDescent="0.3">
      <c r="A185" s="64"/>
      <c r="N185" s="55"/>
      <c r="O185" s="55"/>
      <c r="P185" s="55"/>
      <c r="Q185" s="55"/>
      <c r="R185" s="55"/>
      <c r="S185" s="32"/>
      <c r="T185" s="32"/>
      <c r="U185" s="32"/>
      <c r="V185" s="32"/>
    </row>
    <row r="186" spans="1:22" ht="19.95" customHeight="1" x14ac:dyDescent="0.3">
      <c r="A186" s="64"/>
      <c r="N186" s="55"/>
      <c r="O186" s="55"/>
      <c r="P186" s="55"/>
      <c r="Q186" s="55"/>
      <c r="R186" s="55"/>
      <c r="S186" s="32"/>
      <c r="T186" s="32"/>
      <c r="U186" s="32"/>
      <c r="V186" s="32"/>
    </row>
    <row r="187" spans="1:22" ht="19.95" customHeight="1" x14ac:dyDescent="0.3">
      <c r="A187" s="64"/>
      <c r="N187" s="55"/>
      <c r="O187" s="55"/>
      <c r="P187" s="55"/>
      <c r="Q187" s="55"/>
      <c r="R187" s="55"/>
      <c r="S187" s="32"/>
      <c r="T187" s="32"/>
      <c r="U187" s="32"/>
      <c r="V187" s="32"/>
    </row>
    <row r="188" spans="1:22" ht="19.95" customHeight="1" x14ac:dyDescent="0.3">
      <c r="A188" s="64"/>
      <c r="N188" s="55"/>
      <c r="O188" s="55"/>
      <c r="P188" s="55"/>
      <c r="Q188" s="55"/>
      <c r="R188" s="55"/>
      <c r="S188" s="32"/>
      <c r="T188" s="32"/>
      <c r="U188" s="32"/>
      <c r="V188" s="32"/>
    </row>
    <row r="189" spans="1:22" ht="19.95" customHeight="1" x14ac:dyDescent="0.3">
      <c r="A189" s="64"/>
      <c r="N189" s="55"/>
      <c r="O189" s="55"/>
      <c r="P189" s="55"/>
      <c r="Q189" s="55"/>
      <c r="R189" s="55"/>
      <c r="S189" s="32"/>
      <c r="T189" s="32"/>
      <c r="U189" s="32"/>
      <c r="V189" s="32"/>
    </row>
    <row r="190" spans="1:22" ht="19.95" customHeight="1" x14ac:dyDescent="0.3">
      <c r="A190" s="64"/>
      <c r="N190" s="55"/>
      <c r="O190" s="55"/>
      <c r="P190" s="55"/>
      <c r="Q190" s="55"/>
      <c r="R190" s="55"/>
      <c r="S190" s="32"/>
      <c r="T190" s="32"/>
      <c r="U190" s="32"/>
      <c r="V190" s="32"/>
    </row>
    <row r="191" spans="1:22" ht="19.95" customHeight="1" x14ac:dyDescent="0.3">
      <c r="A191" s="64"/>
      <c r="N191" s="55"/>
      <c r="O191" s="55"/>
      <c r="P191" s="55"/>
      <c r="Q191" s="55"/>
      <c r="R191" s="55"/>
      <c r="S191" s="32"/>
      <c r="T191" s="32"/>
      <c r="U191" s="32"/>
      <c r="V191" s="32"/>
    </row>
    <row r="192" spans="1:22" ht="19.95" customHeight="1" x14ac:dyDescent="0.3">
      <c r="A192" s="64"/>
      <c r="N192" s="55"/>
      <c r="O192" s="55"/>
      <c r="P192" s="55"/>
      <c r="Q192" s="55"/>
      <c r="R192" s="55"/>
      <c r="S192" s="32"/>
      <c r="T192" s="32"/>
      <c r="U192" s="32"/>
      <c r="V192" s="32"/>
    </row>
    <row r="193" spans="1:22" ht="19.95" customHeight="1" x14ac:dyDescent="0.3">
      <c r="A193" s="64"/>
      <c r="N193" s="55"/>
      <c r="O193" s="55"/>
      <c r="P193" s="55"/>
      <c r="Q193" s="55"/>
      <c r="R193" s="55"/>
      <c r="S193" s="32"/>
      <c r="T193" s="32"/>
      <c r="U193" s="32"/>
      <c r="V193" s="32"/>
    </row>
    <row r="194" spans="1:22" ht="19.95" customHeight="1" x14ac:dyDescent="0.3">
      <c r="A194" s="64"/>
      <c r="N194" s="55"/>
      <c r="O194" s="55"/>
      <c r="P194" s="55"/>
      <c r="Q194" s="55"/>
      <c r="R194" s="55"/>
      <c r="S194" s="32"/>
      <c r="T194" s="32"/>
      <c r="U194" s="32"/>
      <c r="V194" s="32"/>
    </row>
    <row r="195" spans="1:22" ht="19.95" customHeight="1" x14ac:dyDescent="0.3">
      <c r="A195" s="64"/>
      <c r="N195" s="55"/>
      <c r="O195" s="55"/>
      <c r="P195" s="55"/>
      <c r="Q195" s="55"/>
      <c r="R195" s="55"/>
      <c r="S195" s="32"/>
      <c r="T195" s="32"/>
      <c r="U195" s="32"/>
      <c r="V195" s="32"/>
    </row>
    <row r="196" spans="1:22" ht="19.95" customHeight="1" x14ac:dyDescent="0.3">
      <c r="A196" s="64"/>
      <c r="N196" s="55"/>
      <c r="O196" s="55"/>
      <c r="P196" s="55"/>
      <c r="Q196" s="55"/>
      <c r="R196" s="55"/>
      <c r="S196" s="32"/>
      <c r="T196" s="32"/>
      <c r="U196" s="32"/>
      <c r="V196" s="32"/>
    </row>
    <row r="197" spans="1:22" ht="19.95" customHeight="1" x14ac:dyDescent="0.3">
      <c r="A197" s="64"/>
      <c r="N197" s="55"/>
      <c r="O197" s="55"/>
      <c r="P197" s="55"/>
      <c r="Q197" s="55"/>
      <c r="R197" s="55"/>
      <c r="S197" s="32"/>
      <c r="T197" s="32"/>
      <c r="U197" s="32"/>
      <c r="V197" s="32"/>
    </row>
    <row r="198" spans="1:22" ht="19.95" customHeight="1" x14ac:dyDescent="0.3">
      <c r="A198" s="64"/>
      <c r="N198" s="55"/>
      <c r="O198" s="55"/>
      <c r="P198" s="55"/>
      <c r="Q198" s="55"/>
      <c r="R198" s="55"/>
      <c r="S198" s="32"/>
      <c r="T198" s="32"/>
      <c r="U198" s="32"/>
      <c r="V198" s="32"/>
    </row>
    <row r="199" spans="1:22" ht="19.95" customHeight="1" x14ac:dyDescent="0.3">
      <c r="A199" s="64"/>
      <c r="N199" s="55"/>
      <c r="O199" s="55"/>
      <c r="P199" s="55"/>
      <c r="Q199" s="55"/>
      <c r="R199" s="55"/>
      <c r="S199" s="32"/>
      <c r="T199" s="32"/>
      <c r="U199" s="32"/>
      <c r="V199" s="32"/>
    </row>
    <row r="200" spans="1:22" ht="19.95" customHeight="1" x14ac:dyDescent="0.3">
      <c r="A200" s="64"/>
      <c r="N200" s="55"/>
      <c r="O200" s="55"/>
      <c r="P200" s="55"/>
      <c r="Q200" s="55"/>
      <c r="R200" s="55"/>
      <c r="S200" s="32"/>
      <c r="T200" s="32"/>
      <c r="U200" s="32"/>
      <c r="V200" s="32"/>
    </row>
    <row r="201" spans="1:22" ht="19.95" customHeight="1" x14ac:dyDescent="0.3">
      <c r="A201" s="64"/>
      <c r="N201" s="55"/>
      <c r="O201" s="55"/>
      <c r="P201" s="55"/>
      <c r="Q201" s="55"/>
      <c r="R201" s="55"/>
      <c r="S201" s="32"/>
      <c r="T201" s="32"/>
      <c r="U201" s="32"/>
      <c r="V201" s="32"/>
    </row>
    <row r="202" spans="1:22" ht="19.95" customHeight="1" x14ac:dyDescent="0.3">
      <c r="A202" s="64"/>
      <c r="N202" s="55"/>
      <c r="O202" s="55"/>
      <c r="P202" s="55"/>
      <c r="Q202" s="55"/>
      <c r="R202" s="55"/>
      <c r="S202" s="32"/>
      <c r="T202" s="32"/>
      <c r="U202" s="32"/>
      <c r="V202" s="32"/>
    </row>
    <row r="203" spans="1:22" ht="19.95" customHeight="1" x14ac:dyDescent="0.3">
      <c r="A203" s="64"/>
      <c r="N203" s="55"/>
      <c r="O203" s="55"/>
      <c r="P203" s="55"/>
      <c r="Q203" s="55"/>
      <c r="R203" s="55"/>
      <c r="S203" s="32"/>
      <c r="T203" s="32"/>
      <c r="U203" s="32"/>
      <c r="V203" s="32"/>
    </row>
    <row r="204" spans="1:22" ht="19.95" customHeight="1" x14ac:dyDescent="0.3">
      <c r="A204" s="64"/>
      <c r="N204" s="55"/>
      <c r="O204" s="55"/>
      <c r="P204" s="55"/>
      <c r="Q204" s="55"/>
      <c r="R204" s="55"/>
      <c r="S204" s="32"/>
      <c r="T204" s="32"/>
      <c r="U204" s="32"/>
      <c r="V204" s="32"/>
    </row>
    <row r="205" spans="1:22" ht="19.95" customHeight="1" x14ac:dyDescent="0.3">
      <c r="A205" s="64"/>
      <c r="N205" s="55"/>
      <c r="O205" s="55"/>
      <c r="P205" s="55"/>
      <c r="Q205" s="55"/>
      <c r="R205" s="55"/>
      <c r="S205" s="32"/>
      <c r="T205" s="32"/>
      <c r="U205" s="32"/>
      <c r="V205" s="32"/>
    </row>
    <row r="206" spans="1:22" ht="19.95" customHeight="1" x14ac:dyDescent="0.3">
      <c r="A206" s="64"/>
      <c r="N206" s="55"/>
      <c r="O206" s="55"/>
      <c r="P206" s="55"/>
      <c r="Q206" s="55"/>
      <c r="R206" s="55"/>
      <c r="S206" s="32"/>
      <c r="T206" s="32"/>
      <c r="U206" s="32"/>
      <c r="V206" s="32"/>
    </row>
    <row r="207" spans="1:22" ht="19.95" customHeight="1" x14ac:dyDescent="0.3">
      <c r="A207" s="64"/>
      <c r="N207" s="55"/>
      <c r="O207" s="55"/>
      <c r="P207" s="55"/>
      <c r="Q207" s="55"/>
      <c r="R207" s="55"/>
      <c r="S207" s="32"/>
      <c r="T207" s="32"/>
      <c r="U207" s="32"/>
      <c r="V207" s="32"/>
    </row>
    <row r="208" spans="1:22" ht="19.95" customHeight="1" x14ac:dyDescent="0.3">
      <c r="A208" s="64"/>
      <c r="N208" s="55"/>
      <c r="O208" s="55"/>
      <c r="P208" s="55"/>
      <c r="Q208" s="55"/>
      <c r="R208" s="55"/>
      <c r="S208" s="32"/>
      <c r="T208" s="32"/>
      <c r="U208" s="32"/>
      <c r="V208" s="32"/>
    </row>
    <row r="209" spans="1:22" ht="19.95" customHeight="1" x14ac:dyDescent="0.3">
      <c r="A209" s="64"/>
      <c r="N209" s="55"/>
      <c r="O209" s="55"/>
      <c r="P209" s="55"/>
      <c r="Q209" s="55"/>
      <c r="R209" s="55"/>
      <c r="S209" s="32"/>
      <c r="T209" s="32"/>
      <c r="U209" s="32"/>
      <c r="V209" s="32"/>
    </row>
    <row r="210" spans="1:22" ht="19.95" customHeight="1" x14ac:dyDescent="0.3">
      <c r="A210" s="64"/>
      <c r="N210" s="55"/>
      <c r="O210" s="55"/>
      <c r="P210" s="55"/>
      <c r="Q210" s="55"/>
      <c r="R210" s="55"/>
      <c r="S210" s="32"/>
      <c r="T210" s="32"/>
      <c r="U210" s="32"/>
      <c r="V210" s="32"/>
    </row>
    <row r="211" spans="1:22" ht="19.95" customHeight="1" x14ac:dyDescent="0.3">
      <c r="A211" s="64"/>
      <c r="N211" s="55"/>
      <c r="O211" s="55"/>
      <c r="P211" s="55"/>
      <c r="Q211" s="55"/>
      <c r="R211" s="55"/>
      <c r="S211" s="32"/>
      <c r="T211" s="32"/>
      <c r="U211" s="32"/>
      <c r="V211" s="32"/>
    </row>
    <row r="212" spans="1:22" ht="19.95" customHeight="1" x14ac:dyDescent="0.3">
      <c r="A212" s="64"/>
      <c r="N212" s="55"/>
      <c r="O212" s="55"/>
      <c r="P212" s="55"/>
      <c r="Q212" s="55"/>
      <c r="R212" s="55"/>
      <c r="S212" s="32"/>
      <c r="T212" s="32"/>
      <c r="U212" s="32"/>
      <c r="V212" s="32"/>
    </row>
    <row r="213" spans="1:22" ht="19.95" customHeight="1" x14ac:dyDescent="0.3">
      <c r="A213" s="64"/>
      <c r="N213" s="55"/>
      <c r="O213" s="55"/>
      <c r="P213" s="55"/>
      <c r="Q213" s="55"/>
      <c r="R213" s="55"/>
      <c r="S213" s="32"/>
      <c r="T213" s="32"/>
      <c r="U213" s="32"/>
      <c r="V213" s="32"/>
    </row>
    <row r="214" spans="1:22" ht="19.95" customHeight="1" x14ac:dyDescent="0.3">
      <c r="A214" s="64"/>
      <c r="N214" s="55"/>
      <c r="O214" s="55"/>
      <c r="P214" s="55"/>
      <c r="Q214" s="55"/>
      <c r="R214" s="55"/>
      <c r="S214" s="32"/>
      <c r="T214" s="32"/>
      <c r="U214" s="32"/>
      <c r="V214" s="32"/>
    </row>
    <row r="215" spans="1:22" ht="19.95" customHeight="1" x14ac:dyDescent="0.3">
      <c r="A215" s="64"/>
      <c r="N215" s="55"/>
      <c r="O215" s="55"/>
      <c r="P215" s="55"/>
      <c r="Q215" s="55"/>
      <c r="R215" s="55"/>
      <c r="S215" s="32"/>
      <c r="T215" s="32"/>
      <c r="U215" s="32"/>
      <c r="V215" s="32"/>
    </row>
    <row r="216" spans="1:22" ht="19.95" customHeight="1" x14ac:dyDescent="0.3">
      <c r="A216" s="64"/>
      <c r="N216" s="55"/>
      <c r="O216" s="55"/>
      <c r="P216" s="55"/>
      <c r="Q216" s="55"/>
      <c r="R216" s="55"/>
      <c r="S216" s="32"/>
      <c r="T216" s="32"/>
      <c r="U216" s="32"/>
      <c r="V216" s="32"/>
    </row>
    <row r="217" spans="1:22" ht="19.95" customHeight="1" x14ac:dyDescent="0.3">
      <c r="A217" s="64"/>
      <c r="N217" s="55"/>
      <c r="O217" s="55"/>
      <c r="P217" s="55"/>
      <c r="Q217" s="55"/>
      <c r="R217" s="55"/>
      <c r="S217" s="32"/>
      <c r="T217" s="32"/>
      <c r="U217" s="32"/>
      <c r="V217" s="32"/>
    </row>
    <row r="218" spans="1:22" ht="19.95" customHeight="1" x14ac:dyDescent="0.3">
      <c r="A218" s="64"/>
      <c r="N218" s="55"/>
      <c r="O218" s="55"/>
      <c r="P218" s="55"/>
      <c r="Q218" s="55"/>
      <c r="R218" s="55"/>
      <c r="S218" s="32"/>
      <c r="T218" s="32"/>
      <c r="U218" s="32"/>
      <c r="V218" s="32"/>
    </row>
    <row r="219" spans="1:22" ht="19.95" customHeight="1" x14ac:dyDescent="0.3">
      <c r="A219" s="64"/>
      <c r="N219" s="55"/>
      <c r="O219" s="55"/>
      <c r="P219" s="55"/>
      <c r="Q219" s="55"/>
      <c r="R219" s="55"/>
      <c r="S219" s="32"/>
      <c r="T219" s="32"/>
      <c r="U219" s="32"/>
      <c r="V219" s="32"/>
    </row>
    <row r="220" spans="1:22" ht="19.95" customHeight="1" x14ac:dyDescent="0.3">
      <c r="A220" s="64"/>
      <c r="N220" s="55"/>
      <c r="O220" s="55"/>
      <c r="P220" s="55"/>
      <c r="Q220" s="55"/>
      <c r="R220" s="55"/>
      <c r="S220" s="32"/>
      <c r="T220" s="32"/>
      <c r="U220" s="32"/>
      <c r="V220" s="32"/>
    </row>
    <row r="221" spans="1:22" ht="19.95" customHeight="1" x14ac:dyDescent="0.3">
      <c r="A221" s="64"/>
      <c r="N221" s="55"/>
      <c r="O221" s="55"/>
      <c r="P221" s="55"/>
      <c r="Q221" s="55"/>
      <c r="R221" s="55"/>
      <c r="S221" s="32"/>
      <c r="T221" s="32"/>
      <c r="U221" s="32"/>
      <c r="V221" s="32"/>
    </row>
    <row r="222" spans="1:22" ht="19.95" customHeight="1" x14ac:dyDescent="0.3">
      <c r="A222" s="64"/>
      <c r="N222" s="55"/>
      <c r="O222" s="55"/>
      <c r="P222" s="55"/>
      <c r="Q222" s="55"/>
      <c r="R222" s="55"/>
      <c r="S222" s="32"/>
      <c r="T222" s="32"/>
      <c r="U222" s="32"/>
      <c r="V222" s="32"/>
    </row>
    <row r="223" spans="1:22" ht="19.95" customHeight="1" x14ac:dyDescent="0.3">
      <c r="A223" s="64"/>
      <c r="N223" s="55"/>
      <c r="O223" s="55"/>
      <c r="P223" s="55"/>
      <c r="Q223" s="55"/>
      <c r="R223" s="55"/>
      <c r="S223" s="32"/>
      <c r="T223" s="32"/>
      <c r="U223" s="32"/>
      <c r="V223" s="32"/>
    </row>
    <row r="224" spans="1:22" ht="19.95" customHeight="1" x14ac:dyDescent="0.3">
      <c r="A224" s="64"/>
      <c r="N224" s="55"/>
      <c r="O224" s="55"/>
      <c r="P224" s="55"/>
      <c r="Q224" s="55"/>
      <c r="R224" s="55"/>
      <c r="S224" s="32"/>
      <c r="T224" s="32"/>
      <c r="U224" s="32"/>
      <c r="V224" s="32"/>
    </row>
    <row r="225" spans="1:22" ht="19.95" customHeight="1" x14ac:dyDescent="0.3">
      <c r="A225" s="64"/>
      <c r="N225" s="55"/>
      <c r="O225" s="55"/>
      <c r="P225" s="55"/>
      <c r="Q225" s="55"/>
      <c r="R225" s="55"/>
      <c r="S225" s="32"/>
      <c r="T225" s="32"/>
      <c r="U225" s="32"/>
      <c r="V225" s="32"/>
    </row>
    <row r="226" spans="1:22" ht="19.95" customHeight="1" x14ac:dyDescent="0.3">
      <c r="A226" s="64"/>
      <c r="N226" s="55"/>
      <c r="O226" s="55"/>
      <c r="P226" s="55"/>
      <c r="Q226" s="55"/>
      <c r="R226" s="55"/>
      <c r="S226" s="32"/>
      <c r="T226" s="32"/>
      <c r="U226" s="32"/>
      <c r="V226" s="32"/>
    </row>
    <row r="227" spans="1:22" ht="19.95" customHeight="1" x14ac:dyDescent="0.3">
      <c r="A227" s="64"/>
      <c r="N227" s="55"/>
      <c r="O227" s="55"/>
      <c r="P227" s="55"/>
      <c r="Q227" s="55"/>
      <c r="R227" s="55"/>
      <c r="S227" s="32"/>
      <c r="T227" s="32"/>
      <c r="U227" s="32"/>
      <c r="V227" s="32"/>
    </row>
    <row r="228" spans="1:22" ht="19.95" customHeight="1" x14ac:dyDescent="0.3">
      <c r="A228" s="64"/>
      <c r="N228" s="55"/>
      <c r="O228" s="55"/>
      <c r="P228" s="55"/>
      <c r="Q228" s="55"/>
      <c r="R228" s="55"/>
      <c r="S228" s="32"/>
      <c r="T228" s="32"/>
      <c r="U228" s="32"/>
      <c r="V228" s="32"/>
    </row>
    <row r="229" spans="1:22" ht="19.95" customHeight="1" x14ac:dyDescent="0.3">
      <c r="A229" s="64"/>
      <c r="N229" s="55"/>
      <c r="O229" s="55"/>
      <c r="P229" s="55"/>
      <c r="Q229" s="55"/>
      <c r="R229" s="55"/>
      <c r="S229" s="32"/>
      <c r="T229" s="32"/>
      <c r="U229" s="32"/>
      <c r="V229" s="32"/>
    </row>
    <row r="230" spans="1:22" ht="19.95" customHeight="1" x14ac:dyDescent="0.3">
      <c r="A230" s="64"/>
      <c r="N230" s="55"/>
      <c r="O230" s="55"/>
      <c r="P230" s="55"/>
      <c r="Q230" s="55"/>
      <c r="R230" s="55"/>
      <c r="S230" s="32"/>
      <c r="T230" s="32"/>
      <c r="U230" s="32"/>
      <c r="V230" s="32"/>
    </row>
    <row r="231" spans="1:22" ht="19.95" customHeight="1" x14ac:dyDescent="0.3">
      <c r="A231" s="64"/>
      <c r="N231" s="55"/>
      <c r="O231" s="55"/>
      <c r="P231" s="55"/>
      <c r="Q231" s="55"/>
      <c r="R231" s="55"/>
      <c r="S231" s="32"/>
      <c r="T231" s="32"/>
      <c r="U231" s="32"/>
      <c r="V231" s="32"/>
    </row>
    <row r="232" spans="1:22" ht="19.95" customHeight="1" x14ac:dyDescent="0.3">
      <c r="A232" s="64"/>
      <c r="N232" s="55"/>
      <c r="O232" s="55"/>
      <c r="P232" s="55"/>
      <c r="Q232" s="55"/>
      <c r="R232" s="55"/>
      <c r="S232" s="32"/>
      <c r="T232" s="32"/>
      <c r="U232" s="32"/>
      <c r="V232" s="32"/>
    </row>
    <row r="233" spans="1:22" ht="19.95" customHeight="1" x14ac:dyDescent="0.3">
      <c r="A233" s="64"/>
      <c r="N233" s="55"/>
      <c r="O233" s="55"/>
      <c r="P233" s="55"/>
      <c r="Q233" s="55"/>
      <c r="R233" s="55"/>
      <c r="S233" s="32"/>
      <c r="T233" s="32"/>
      <c r="U233" s="32"/>
      <c r="V233" s="32"/>
    </row>
    <row r="234" spans="1:22" ht="19.95" customHeight="1" x14ac:dyDescent="0.3">
      <c r="A234" s="64"/>
      <c r="N234" s="55"/>
      <c r="O234" s="55"/>
      <c r="P234" s="55"/>
      <c r="Q234" s="55"/>
      <c r="R234" s="55"/>
      <c r="S234" s="32"/>
      <c r="T234" s="32"/>
      <c r="U234" s="32"/>
      <c r="V234" s="32"/>
    </row>
    <row r="235" spans="1:22" ht="19.95" customHeight="1" x14ac:dyDescent="0.3">
      <c r="A235" s="64"/>
      <c r="N235" s="55"/>
      <c r="O235" s="55"/>
      <c r="P235" s="55"/>
      <c r="Q235" s="55"/>
      <c r="R235" s="55"/>
      <c r="S235" s="32"/>
      <c r="T235" s="32"/>
      <c r="U235" s="32"/>
      <c r="V235" s="32"/>
    </row>
    <row r="236" spans="1:22" ht="19.95" customHeight="1" x14ac:dyDescent="0.3">
      <c r="A236" s="64"/>
      <c r="N236" s="55"/>
      <c r="O236" s="55"/>
      <c r="P236" s="55"/>
      <c r="Q236" s="55"/>
      <c r="R236" s="55"/>
      <c r="S236" s="32"/>
      <c r="T236" s="32"/>
      <c r="U236" s="32"/>
      <c r="V236" s="32"/>
    </row>
    <row r="237" spans="1:22" ht="19.95" customHeight="1" x14ac:dyDescent="0.3">
      <c r="A237" s="64"/>
      <c r="N237" s="55"/>
      <c r="O237" s="55"/>
      <c r="P237" s="55"/>
      <c r="Q237" s="55"/>
      <c r="R237" s="55"/>
      <c r="S237" s="32"/>
      <c r="T237" s="32"/>
      <c r="U237" s="32"/>
      <c r="V237" s="32"/>
    </row>
    <row r="238" spans="1:22" ht="19.95" customHeight="1" x14ac:dyDescent="0.3">
      <c r="A238" s="64"/>
      <c r="N238" s="55"/>
      <c r="O238" s="55"/>
      <c r="P238" s="55"/>
      <c r="Q238" s="55"/>
      <c r="R238" s="55"/>
      <c r="S238" s="32"/>
      <c r="T238" s="32"/>
      <c r="U238" s="32"/>
      <c r="V238" s="32"/>
    </row>
    <row r="239" spans="1:22" ht="19.95" customHeight="1" x14ac:dyDescent="0.3">
      <c r="A239" s="64"/>
      <c r="N239" s="55"/>
      <c r="O239" s="55"/>
      <c r="P239" s="55"/>
      <c r="Q239" s="55"/>
      <c r="R239" s="55"/>
      <c r="S239" s="32"/>
      <c r="T239" s="32"/>
      <c r="U239" s="32"/>
      <c r="V239" s="32"/>
    </row>
    <row r="240" spans="1:22" ht="19.95" customHeight="1" x14ac:dyDescent="0.3">
      <c r="A240" s="64"/>
      <c r="N240" s="55"/>
      <c r="O240" s="55"/>
      <c r="P240" s="55"/>
      <c r="Q240" s="55"/>
      <c r="R240" s="55"/>
      <c r="S240" s="32"/>
      <c r="T240" s="32"/>
      <c r="U240" s="32"/>
      <c r="V240" s="32"/>
    </row>
    <row r="241" spans="1:22" ht="19.95" customHeight="1" x14ac:dyDescent="0.3">
      <c r="A241" s="64"/>
      <c r="N241" s="55"/>
      <c r="O241" s="55"/>
      <c r="P241" s="55"/>
      <c r="Q241" s="55"/>
      <c r="R241" s="55"/>
      <c r="S241" s="32"/>
      <c r="T241" s="32"/>
      <c r="U241" s="32"/>
      <c r="V241" s="32"/>
    </row>
    <row r="242" spans="1:22" ht="19.95" customHeight="1" x14ac:dyDescent="0.3">
      <c r="A242" s="64"/>
      <c r="N242" s="55"/>
      <c r="O242" s="55"/>
      <c r="P242" s="55"/>
      <c r="Q242" s="55"/>
      <c r="R242" s="55"/>
      <c r="S242" s="32"/>
      <c r="T242" s="32"/>
      <c r="U242" s="32"/>
      <c r="V242" s="32"/>
    </row>
    <row r="243" spans="1:22" ht="19.95" customHeight="1" x14ac:dyDescent="0.3">
      <c r="A243" s="64"/>
      <c r="N243" s="55"/>
      <c r="O243" s="55"/>
      <c r="P243" s="55"/>
      <c r="Q243" s="55"/>
      <c r="R243" s="55"/>
      <c r="S243" s="32"/>
      <c r="T243" s="32"/>
      <c r="U243" s="32"/>
      <c r="V243" s="32"/>
    </row>
    <row r="244" spans="1:22" ht="19.95" customHeight="1" x14ac:dyDescent="0.3">
      <c r="A244" s="64"/>
      <c r="N244" s="55"/>
      <c r="O244" s="55"/>
      <c r="P244" s="55"/>
      <c r="Q244" s="55"/>
      <c r="R244" s="55"/>
      <c r="S244" s="32"/>
      <c r="T244" s="32"/>
      <c r="U244" s="32"/>
      <c r="V244" s="32"/>
    </row>
    <row r="245" spans="1:22" ht="19.95" customHeight="1" x14ac:dyDescent="0.3">
      <c r="A245" s="64"/>
      <c r="N245" s="55"/>
      <c r="O245" s="55"/>
      <c r="P245" s="55"/>
      <c r="Q245" s="55"/>
      <c r="R245" s="55"/>
      <c r="S245" s="32"/>
      <c r="T245" s="32"/>
      <c r="U245" s="32"/>
      <c r="V245" s="32"/>
    </row>
    <row r="246" spans="1:22" ht="19.95" customHeight="1" x14ac:dyDescent="0.3">
      <c r="A246" s="64"/>
      <c r="N246" s="55"/>
      <c r="O246" s="55"/>
      <c r="P246" s="55"/>
      <c r="Q246" s="55"/>
      <c r="R246" s="55"/>
      <c r="S246" s="32"/>
      <c r="T246" s="32"/>
      <c r="U246" s="32"/>
      <c r="V246" s="32"/>
    </row>
    <row r="247" spans="1:22" ht="19.95" customHeight="1" x14ac:dyDescent="0.3">
      <c r="A247" s="64"/>
      <c r="N247" s="55"/>
      <c r="O247" s="55"/>
      <c r="P247" s="55"/>
      <c r="Q247" s="55"/>
      <c r="R247" s="55"/>
      <c r="S247" s="32"/>
      <c r="T247" s="32"/>
      <c r="U247" s="32"/>
      <c r="V247" s="32"/>
    </row>
    <row r="248" spans="1:22" ht="19.95" customHeight="1" x14ac:dyDescent="0.3">
      <c r="A248" s="64"/>
      <c r="N248" s="55"/>
      <c r="O248" s="55"/>
      <c r="P248" s="55"/>
      <c r="Q248" s="55"/>
      <c r="R248" s="55"/>
      <c r="S248" s="32"/>
      <c r="T248" s="32"/>
      <c r="U248" s="32"/>
      <c r="V248" s="32"/>
    </row>
    <row r="249" spans="1:22" ht="19.95" customHeight="1" x14ac:dyDescent="0.3">
      <c r="A249" s="64"/>
      <c r="N249" s="55"/>
      <c r="O249" s="55"/>
      <c r="P249" s="55"/>
      <c r="Q249" s="55"/>
      <c r="R249" s="55"/>
      <c r="S249" s="32"/>
      <c r="T249" s="32"/>
      <c r="U249" s="32"/>
      <c r="V249" s="32"/>
    </row>
    <row r="250" spans="1:22" ht="19.95" customHeight="1" x14ac:dyDescent="0.3">
      <c r="A250" s="64"/>
      <c r="N250" s="55"/>
      <c r="O250" s="55"/>
      <c r="P250" s="55"/>
      <c r="Q250" s="55"/>
      <c r="R250" s="55"/>
      <c r="S250" s="32"/>
      <c r="T250" s="32"/>
      <c r="U250" s="32"/>
      <c r="V250" s="32"/>
    </row>
    <row r="251" spans="1:22" ht="19.95" customHeight="1" x14ac:dyDescent="0.3">
      <c r="A251" s="64"/>
      <c r="N251" s="55"/>
      <c r="O251" s="55"/>
      <c r="P251" s="55"/>
      <c r="Q251" s="55"/>
      <c r="R251" s="55"/>
      <c r="S251" s="32"/>
      <c r="T251" s="32"/>
      <c r="U251" s="32"/>
      <c r="V251" s="32"/>
    </row>
    <row r="252" spans="1:22" ht="19.95" customHeight="1" x14ac:dyDescent="0.3">
      <c r="A252" s="64"/>
      <c r="N252" s="55"/>
      <c r="O252" s="55"/>
      <c r="P252" s="55"/>
      <c r="Q252" s="55"/>
      <c r="R252" s="55"/>
      <c r="S252" s="32"/>
      <c r="T252" s="32"/>
      <c r="U252" s="32"/>
      <c r="V252" s="32"/>
    </row>
    <row r="253" spans="1:22" ht="19.95" customHeight="1" x14ac:dyDescent="0.3">
      <c r="A253" s="64"/>
      <c r="N253" s="55"/>
      <c r="O253" s="55"/>
      <c r="P253" s="55"/>
      <c r="Q253" s="55"/>
      <c r="R253" s="55"/>
      <c r="S253" s="32"/>
      <c r="T253" s="32"/>
      <c r="U253" s="32"/>
      <c r="V253" s="32"/>
    </row>
    <row r="254" spans="1:22" ht="19.95" customHeight="1" x14ac:dyDescent="0.3">
      <c r="A254" s="64"/>
      <c r="N254" s="55"/>
      <c r="O254" s="55"/>
      <c r="P254" s="55"/>
      <c r="Q254" s="55"/>
      <c r="R254" s="55"/>
      <c r="S254" s="32"/>
      <c r="T254" s="32"/>
      <c r="U254" s="32"/>
      <c r="V254" s="32"/>
    </row>
    <row r="255" spans="1:22" ht="19.95" customHeight="1" x14ac:dyDescent="0.3">
      <c r="A255" s="64"/>
      <c r="N255" s="55"/>
      <c r="O255" s="55"/>
      <c r="P255" s="55"/>
      <c r="Q255" s="55"/>
      <c r="R255" s="55"/>
      <c r="S255" s="32"/>
      <c r="T255" s="32"/>
      <c r="U255" s="32"/>
      <c r="V255" s="32"/>
    </row>
    <row r="256" spans="1:22" ht="19.95" customHeight="1" x14ac:dyDescent="0.3">
      <c r="A256" s="64"/>
      <c r="N256" s="55"/>
      <c r="O256" s="55"/>
      <c r="P256" s="55"/>
      <c r="Q256" s="55"/>
      <c r="R256" s="55"/>
      <c r="S256" s="32"/>
      <c r="T256" s="32"/>
      <c r="U256" s="32"/>
      <c r="V256" s="32"/>
    </row>
    <row r="257" spans="1:22" ht="19.95" customHeight="1" x14ac:dyDescent="0.3">
      <c r="A257" s="64"/>
      <c r="N257" s="55"/>
      <c r="O257" s="55"/>
      <c r="P257" s="55"/>
      <c r="Q257" s="55"/>
      <c r="R257" s="55"/>
      <c r="S257" s="32"/>
      <c r="T257" s="32"/>
      <c r="U257" s="32"/>
      <c r="V257" s="32"/>
    </row>
    <row r="258" spans="1:22" ht="19.95" customHeight="1" x14ac:dyDescent="0.3">
      <c r="A258" s="64"/>
      <c r="N258" s="55"/>
      <c r="O258" s="55"/>
      <c r="P258" s="55"/>
      <c r="Q258" s="55"/>
      <c r="R258" s="55"/>
      <c r="S258" s="32"/>
      <c r="T258" s="32"/>
      <c r="U258" s="32"/>
      <c r="V258" s="32"/>
    </row>
    <row r="259" spans="1:22" ht="19.95" customHeight="1" x14ac:dyDescent="0.3">
      <c r="A259" s="64"/>
      <c r="N259" s="55"/>
      <c r="O259" s="55"/>
      <c r="P259" s="55"/>
      <c r="Q259" s="55"/>
      <c r="R259" s="55"/>
      <c r="S259" s="32"/>
      <c r="T259" s="32"/>
      <c r="U259" s="32"/>
      <c r="V259" s="32"/>
    </row>
    <row r="260" spans="1:22" ht="19.95" customHeight="1" x14ac:dyDescent="0.3">
      <c r="A260" s="64"/>
      <c r="N260" s="55"/>
      <c r="O260" s="55"/>
      <c r="P260" s="55"/>
      <c r="Q260" s="55"/>
      <c r="R260" s="55"/>
      <c r="S260" s="32"/>
      <c r="T260" s="32"/>
      <c r="U260" s="32"/>
      <c r="V260" s="32"/>
    </row>
    <row r="261" spans="1:22" ht="19.95" customHeight="1" x14ac:dyDescent="0.3">
      <c r="A261" s="64"/>
      <c r="N261" s="55"/>
      <c r="O261" s="55"/>
      <c r="P261" s="55"/>
      <c r="Q261" s="55"/>
      <c r="R261" s="55"/>
      <c r="S261" s="32"/>
      <c r="T261" s="32"/>
      <c r="U261" s="32"/>
      <c r="V261" s="32"/>
    </row>
    <row r="262" spans="1:22" ht="19.95" customHeight="1" x14ac:dyDescent="0.3">
      <c r="A262" s="64"/>
      <c r="N262" s="55"/>
      <c r="O262" s="55"/>
      <c r="P262" s="55"/>
      <c r="Q262" s="55"/>
      <c r="R262" s="55"/>
      <c r="S262" s="32"/>
      <c r="T262" s="32"/>
      <c r="U262" s="32"/>
      <c r="V262" s="32"/>
    </row>
    <row r="263" spans="1:22" ht="19.95" customHeight="1" x14ac:dyDescent="0.3">
      <c r="A263" s="64"/>
      <c r="N263" s="55"/>
      <c r="O263" s="55"/>
      <c r="P263" s="55"/>
      <c r="Q263" s="55"/>
      <c r="R263" s="55"/>
      <c r="S263" s="32"/>
      <c r="T263" s="32"/>
      <c r="U263" s="32"/>
      <c r="V263" s="32"/>
    </row>
    <row r="264" spans="1:22" ht="19.95" customHeight="1" x14ac:dyDescent="0.3">
      <c r="A264" s="64"/>
      <c r="N264" s="55"/>
      <c r="O264" s="55"/>
      <c r="P264" s="55"/>
      <c r="Q264" s="55"/>
      <c r="R264" s="55"/>
      <c r="S264" s="32"/>
      <c r="T264" s="32"/>
      <c r="U264" s="32"/>
      <c r="V264" s="32"/>
    </row>
    <row r="265" spans="1:22" ht="19.95" customHeight="1" x14ac:dyDescent="0.3">
      <c r="A265" s="64"/>
      <c r="N265" s="55"/>
      <c r="O265" s="55"/>
      <c r="P265" s="55"/>
      <c r="Q265" s="55"/>
      <c r="R265" s="55"/>
      <c r="S265" s="32"/>
      <c r="T265" s="32"/>
      <c r="U265" s="32"/>
      <c r="V265" s="32"/>
    </row>
    <row r="266" spans="1:22" ht="19.95" customHeight="1" x14ac:dyDescent="0.3">
      <c r="A266" s="64"/>
      <c r="N266" s="55"/>
      <c r="O266" s="55"/>
      <c r="P266" s="55"/>
      <c r="Q266" s="55"/>
      <c r="R266" s="55"/>
      <c r="S266" s="32"/>
      <c r="T266" s="32"/>
      <c r="U266" s="32"/>
      <c r="V266" s="32"/>
    </row>
    <row r="267" spans="1:22" ht="19.95" customHeight="1" x14ac:dyDescent="0.3">
      <c r="A267" s="64"/>
      <c r="N267" s="55"/>
      <c r="O267" s="55"/>
      <c r="P267" s="55"/>
      <c r="Q267" s="55"/>
      <c r="R267" s="55"/>
      <c r="S267" s="32"/>
      <c r="T267" s="32"/>
      <c r="U267" s="32"/>
      <c r="V267" s="32"/>
    </row>
    <row r="268" spans="1:22" ht="19.95" customHeight="1" x14ac:dyDescent="0.3">
      <c r="A268" s="64"/>
      <c r="N268" s="55"/>
      <c r="O268" s="55"/>
      <c r="P268" s="55"/>
      <c r="Q268" s="55"/>
      <c r="R268" s="55"/>
      <c r="S268" s="32"/>
      <c r="T268" s="32"/>
      <c r="U268" s="32"/>
      <c r="V268" s="32"/>
    </row>
    <row r="269" spans="1:22" ht="19.95" customHeight="1" x14ac:dyDescent="0.3">
      <c r="A269" s="64"/>
      <c r="N269" s="55"/>
      <c r="O269" s="55"/>
      <c r="P269" s="55"/>
      <c r="Q269" s="55"/>
      <c r="R269" s="55"/>
      <c r="S269" s="32"/>
      <c r="T269" s="32"/>
      <c r="U269" s="32"/>
      <c r="V269" s="32"/>
    </row>
    <row r="270" spans="1:22" ht="19.95" customHeight="1" x14ac:dyDescent="0.3">
      <c r="A270" s="64"/>
      <c r="N270" s="55"/>
      <c r="O270" s="55"/>
      <c r="P270" s="55"/>
      <c r="Q270" s="55"/>
      <c r="R270" s="55"/>
      <c r="S270" s="32"/>
      <c r="T270" s="32"/>
      <c r="U270" s="32"/>
      <c r="V270" s="32"/>
    </row>
    <row r="271" spans="1:22" ht="19.95" customHeight="1" x14ac:dyDescent="0.3">
      <c r="A271" s="64"/>
      <c r="N271" s="55"/>
      <c r="O271" s="55"/>
      <c r="P271" s="55"/>
      <c r="Q271" s="55"/>
      <c r="R271" s="55"/>
      <c r="S271" s="32"/>
      <c r="T271" s="32"/>
      <c r="U271" s="32"/>
      <c r="V271" s="32"/>
    </row>
    <row r="272" spans="1:22" ht="19.95" customHeight="1" x14ac:dyDescent="0.3">
      <c r="A272" s="64"/>
      <c r="N272" s="55"/>
      <c r="O272" s="55"/>
      <c r="P272" s="55"/>
      <c r="Q272" s="55"/>
      <c r="R272" s="55"/>
      <c r="S272" s="32"/>
      <c r="T272" s="32"/>
      <c r="U272" s="32"/>
      <c r="V272" s="32"/>
    </row>
    <row r="273" spans="1:22" ht="19.95" customHeight="1" x14ac:dyDescent="0.3">
      <c r="A273" s="64"/>
      <c r="N273" s="55"/>
      <c r="O273" s="55"/>
      <c r="P273" s="55"/>
      <c r="Q273" s="55"/>
      <c r="R273" s="55"/>
      <c r="S273" s="32"/>
      <c r="T273" s="32"/>
      <c r="U273" s="32"/>
      <c r="V273" s="32"/>
    </row>
    <row r="274" spans="1:22" ht="19.95" customHeight="1" x14ac:dyDescent="0.3">
      <c r="A274" s="64"/>
      <c r="N274" s="55"/>
      <c r="O274" s="55"/>
      <c r="P274" s="55"/>
      <c r="Q274" s="55"/>
      <c r="R274" s="55"/>
      <c r="S274" s="32"/>
      <c r="T274" s="32"/>
      <c r="U274" s="32"/>
      <c r="V274" s="32"/>
    </row>
    <row r="275" spans="1:22" ht="19.95" customHeight="1" x14ac:dyDescent="0.3">
      <c r="A275" s="64"/>
      <c r="N275" s="55"/>
      <c r="O275" s="55"/>
      <c r="P275" s="55"/>
      <c r="Q275" s="55"/>
      <c r="R275" s="55"/>
      <c r="S275" s="32"/>
      <c r="T275" s="32"/>
      <c r="U275" s="32"/>
      <c r="V275" s="32"/>
    </row>
    <row r="276" spans="1:22" ht="19.95" customHeight="1" x14ac:dyDescent="0.3">
      <c r="A276" s="64"/>
      <c r="N276" s="55"/>
      <c r="O276" s="55"/>
      <c r="P276" s="55"/>
      <c r="Q276" s="55"/>
      <c r="R276" s="55"/>
      <c r="S276" s="32"/>
      <c r="T276" s="32"/>
      <c r="U276" s="32"/>
      <c r="V276" s="32"/>
    </row>
    <row r="277" spans="1:22" ht="19.95" customHeight="1" x14ac:dyDescent="0.3">
      <c r="A277" s="64"/>
      <c r="N277" s="55"/>
      <c r="O277" s="55"/>
      <c r="P277" s="55"/>
      <c r="Q277" s="55"/>
      <c r="R277" s="55"/>
      <c r="S277" s="32"/>
      <c r="T277" s="32"/>
      <c r="U277" s="32"/>
      <c r="V277" s="32"/>
    </row>
    <row r="278" spans="1:22" ht="19.95" customHeight="1" x14ac:dyDescent="0.3">
      <c r="A278" s="64"/>
      <c r="N278" s="55"/>
      <c r="O278" s="55"/>
      <c r="P278" s="55"/>
      <c r="Q278" s="55"/>
      <c r="R278" s="55"/>
      <c r="S278" s="32"/>
      <c r="T278" s="32"/>
      <c r="U278" s="32"/>
      <c r="V278" s="32"/>
    </row>
    <row r="279" spans="1:22" ht="19.95" customHeight="1" x14ac:dyDescent="0.3">
      <c r="A279" s="64"/>
      <c r="N279" s="55"/>
      <c r="O279" s="55"/>
      <c r="P279" s="55"/>
      <c r="Q279" s="55"/>
      <c r="R279" s="55"/>
      <c r="S279" s="32"/>
      <c r="T279" s="32"/>
      <c r="U279" s="32"/>
      <c r="V279" s="32"/>
    </row>
    <row r="280" spans="1:22" ht="19.95" customHeight="1" x14ac:dyDescent="0.3">
      <c r="A280" s="64"/>
      <c r="N280" s="55"/>
      <c r="O280" s="55"/>
      <c r="P280" s="55"/>
      <c r="Q280" s="55"/>
      <c r="R280" s="55"/>
      <c r="S280" s="32"/>
      <c r="T280" s="32"/>
      <c r="U280" s="32"/>
      <c r="V280" s="32"/>
    </row>
    <row r="281" spans="1:22" ht="19.95" customHeight="1" x14ac:dyDescent="0.3">
      <c r="A281" s="64"/>
      <c r="N281" s="55"/>
      <c r="O281" s="55"/>
      <c r="P281" s="55"/>
      <c r="Q281" s="55"/>
      <c r="R281" s="55"/>
      <c r="S281" s="32"/>
      <c r="T281" s="32"/>
      <c r="U281" s="32"/>
      <c r="V281" s="32"/>
    </row>
    <row r="282" spans="1:22" ht="19.95" customHeight="1" x14ac:dyDescent="0.3">
      <c r="A282" s="64"/>
      <c r="N282" s="55"/>
      <c r="O282" s="55"/>
      <c r="P282" s="55"/>
      <c r="Q282" s="55"/>
      <c r="R282" s="55"/>
      <c r="S282" s="32"/>
      <c r="T282" s="32"/>
      <c r="U282" s="32"/>
      <c r="V282" s="32"/>
    </row>
    <row r="283" spans="1:22" ht="19.95" customHeight="1" x14ac:dyDescent="0.3">
      <c r="A283" s="64"/>
      <c r="N283" s="55"/>
      <c r="O283" s="55"/>
      <c r="P283" s="55"/>
      <c r="Q283" s="55"/>
      <c r="R283" s="55"/>
      <c r="S283" s="32"/>
      <c r="T283" s="32"/>
      <c r="U283" s="32"/>
      <c r="V283" s="32"/>
    </row>
    <row r="284" spans="1:22" ht="19.95" customHeight="1" x14ac:dyDescent="0.3">
      <c r="A284" s="64"/>
      <c r="N284" s="55"/>
      <c r="O284" s="55"/>
      <c r="P284" s="55"/>
      <c r="Q284" s="55"/>
      <c r="R284" s="55"/>
      <c r="S284" s="32"/>
      <c r="T284" s="32"/>
      <c r="U284" s="32"/>
      <c r="V284" s="32"/>
    </row>
    <row r="285" spans="1:22" ht="19.95" customHeight="1" x14ac:dyDescent="0.3">
      <c r="A285" s="64"/>
      <c r="N285" s="55"/>
      <c r="O285" s="55"/>
      <c r="P285" s="55"/>
      <c r="Q285" s="55"/>
      <c r="R285" s="55"/>
      <c r="S285" s="32"/>
      <c r="T285" s="32"/>
      <c r="U285" s="32"/>
      <c r="V285" s="32"/>
    </row>
    <row r="286" spans="1:22" ht="19.95" customHeight="1" x14ac:dyDescent="0.3">
      <c r="A286" s="64"/>
      <c r="N286" s="55"/>
      <c r="O286" s="55"/>
      <c r="P286" s="55"/>
      <c r="Q286" s="55"/>
      <c r="R286" s="55"/>
      <c r="S286" s="32"/>
      <c r="T286" s="32"/>
      <c r="U286" s="32"/>
      <c r="V286" s="32"/>
    </row>
    <row r="287" spans="1:22" ht="19.95" customHeight="1" x14ac:dyDescent="0.3">
      <c r="A287" s="64"/>
      <c r="N287" s="55"/>
      <c r="O287" s="55"/>
      <c r="P287" s="55"/>
      <c r="Q287" s="55"/>
      <c r="R287" s="55"/>
      <c r="S287" s="32"/>
      <c r="T287" s="32"/>
      <c r="U287" s="32"/>
      <c r="V287" s="32"/>
    </row>
    <row r="288" spans="1:22" ht="19.95" customHeight="1" x14ac:dyDescent="0.3">
      <c r="A288" s="64"/>
      <c r="N288" s="55"/>
      <c r="O288" s="55"/>
      <c r="P288" s="55"/>
      <c r="Q288" s="55"/>
      <c r="R288" s="55"/>
      <c r="S288" s="32"/>
      <c r="T288" s="32"/>
      <c r="U288" s="32"/>
      <c r="V288" s="32"/>
    </row>
    <row r="289" spans="1:22" ht="19.95" customHeight="1" x14ac:dyDescent="0.3">
      <c r="A289" s="64"/>
      <c r="N289" s="55"/>
      <c r="O289" s="55"/>
      <c r="P289" s="55"/>
      <c r="Q289" s="55"/>
      <c r="R289" s="55"/>
      <c r="S289" s="32"/>
      <c r="T289" s="32"/>
      <c r="U289" s="32"/>
      <c r="V289" s="32"/>
    </row>
    <row r="290" spans="1:22" ht="19.95" customHeight="1" x14ac:dyDescent="0.3">
      <c r="A290" s="64"/>
      <c r="N290" s="55"/>
      <c r="O290" s="55"/>
      <c r="P290" s="55"/>
      <c r="Q290" s="55"/>
      <c r="R290" s="55"/>
      <c r="S290" s="32"/>
      <c r="T290" s="32"/>
      <c r="U290" s="32"/>
      <c r="V290" s="32"/>
    </row>
    <row r="291" spans="1:22" ht="19.95" customHeight="1" x14ac:dyDescent="0.3">
      <c r="A291" s="64"/>
      <c r="N291" s="55"/>
      <c r="O291" s="55"/>
      <c r="P291" s="55"/>
      <c r="Q291" s="55"/>
      <c r="R291" s="55"/>
      <c r="S291" s="32"/>
      <c r="T291" s="32"/>
      <c r="U291" s="32"/>
      <c r="V291" s="32"/>
    </row>
    <row r="292" spans="1:22" ht="19.95" customHeight="1" x14ac:dyDescent="0.3">
      <c r="A292" s="64"/>
      <c r="N292" s="55"/>
      <c r="O292" s="55"/>
      <c r="P292" s="55"/>
      <c r="Q292" s="55"/>
      <c r="R292" s="55"/>
      <c r="S292" s="32"/>
      <c r="T292" s="32"/>
      <c r="U292" s="32"/>
      <c r="V292" s="32"/>
    </row>
    <row r="293" spans="1:22" ht="19.95" customHeight="1" x14ac:dyDescent="0.3">
      <c r="A293" s="64"/>
      <c r="N293" s="55"/>
      <c r="O293" s="55"/>
      <c r="P293" s="55"/>
      <c r="Q293" s="55"/>
      <c r="R293" s="55"/>
      <c r="S293" s="32"/>
      <c r="T293" s="32"/>
      <c r="U293" s="32"/>
      <c r="V293" s="32"/>
    </row>
    <row r="294" spans="1:22" ht="19.95" customHeight="1" x14ac:dyDescent="0.3">
      <c r="A294" s="64"/>
      <c r="N294" s="55"/>
      <c r="O294" s="55"/>
      <c r="P294" s="55"/>
      <c r="Q294" s="55"/>
      <c r="R294" s="55"/>
      <c r="S294" s="32"/>
      <c r="T294" s="32"/>
      <c r="U294" s="32"/>
      <c r="V294" s="32"/>
    </row>
    <row r="295" spans="1:22" ht="19.95" customHeight="1" x14ac:dyDescent="0.3">
      <c r="A295" s="64"/>
      <c r="N295" s="55"/>
      <c r="O295" s="55"/>
      <c r="P295" s="55"/>
      <c r="Q295" s="55"/>
      <c r="R295" s="55"/>
      <c r="S295" s="32"/>
      <c r="T295" s="32"/>
      <c r="U295" s="32"/>
      <c r="V295" s="32"/>
    </row>
    <row r="296" spans="1:22" ht="19.95" customHeight="1" x14ac:dyDescent="0.3">
      <c r="A296" s="64"/>
      <c r="N296" s="55"/>
      <c r="O296" s="55"/>
      <c r="P296" s="55"/>
      <c r="Q296" s="55"/>
      <c r="R296" s="55"/>
      <c r="S296" s="32"/>
      <c r="T296" s="32"/>
      <c r="U296" s="32"/>
      <c r="V296" s="32"/>
    </row>
    <row r="297" spans="1:22" ht="19.95" customHeight="1" x14ac:dyDescent="0.3">
      <c r="A297" s="64"/>
      <c r="N297" s="55"/>
      <c r="O297" s="55"/>
      <c r="P297" s="55"/>
      <c r="Q297" s="55"/>
      <c r="R297" s="55"/>
      <c r="S297" s="32"/>
      <c r="T297" s="32"/>
      <c r="U297" s="32"/>
      <c r="V297" s="32"/>
    </row>
    <row r="298" spans="1:22" ht="19.95" customHeight="1" x14ac:dyDescent="0.3">
      <c r="A298" s="64"/>
      <c r="N298" s="55"/>
      <c r="O298" s="55"/>
      <c r="P298" s="55"/>
      <c r="Q298" s="55"/>
      <c r="R298" s="55"/>
      <c r="S298" s="32"/>
      <c r="T298" s="32"/>
      <c r="U298" s="32"/>
      <c r="V298" s="32"/>
    </row>
    <row r="299" spans="1:22" ht="19.95" customHeight="1" x14ac:dyDescent="0.3">
      <c r="A299" s="64"/>
      <c r="N299" s="55"/>
      <c r="O299" s="55"/>
      <c r="P299" s="55"/>
      <c r="Q299" s="55"/>
      <c r="R299" s="55"/>
      <c r="S299" s="32"/>
      <c r="T299" s="32"/>
      <c r="U299" s="32"/>
      <c r="V299" s="32"/>
    </row>
    <row r="300" spans="1:22" ht="19.95" customHeight="1" x14ac:dyDescent="0.3">
      <c r="A300" s="64"/>
      <c r="N300" s="55"/>
      <c r="O300" s="55"/>
      <c r="P300" s="55"/>
      <c r="Q300" s="55"/>
      <c r="R300" s="55"/>
      <c r="S300" s="32"/>
      <c r="T300" s="32"/>
      <c r="U300" s="32"/>
      <c r="V300" s="32"/>
    </row>
    <row r="301" spans="1:22" ht="19.95" customHeight="1" x14ac:dyDescent="0.3">
      <c r="A301" s="64"/>
      <c r="N301" s="55"/>
      <c r="O301" s="55"/>
      <c r="P301" s="55"/>
      <c r="Q301" s="55"/>
      <c r="R301" s="55"/>
      <c r="S301" s="32"/>
      <c r="T301" s="32"/>
      <c r="U301" s="32"/>
      <c r="V301" s="32"/>
    </row>
    <row r="302" spans="1:22" ht="19.95" customHeight="1" x14ac:dyDescent="0.3">
      <c r="A302" s="64"/>
      <c r="N302" s="55"/>
      <c r="O302" s="55"/>
      <c r="P302" s="55"/>
      <c r="Q302" s="55"/>
      <c r="R302" s="55"/>
      <c r="S302" s="32"/>
      <c r="T302" s="32"/>
      <c r="U302" s="32"/>
      <c r="V302" s="32"/>
    </row>
    <row r="303" spans="1:22" ht="19.95" customHeight="1" x14ac:dyDescent="0.3">
      <c r="A303" s="64"/>
      <c r="N303" s="55"/>
      <c r="O303" s="55"/>
      <c r="P303" s="55"/>
      <c r="Q303" s="55"/>
      <c r="R303" s="55"/>
      <c r="S303" s="32"/>
      <c r="T303" s="32"/>
      <c r="U303" s="32"/>
      <c r="V303" s="32"/>
    </row>
    <row r="304" spans="1:22" ht="19.95" customHeight="1" x14ac:dyDescent="0.3">
      <c r="A304" s="64"/>
      <c r="N304" s="55"/>
      <c r="O304" s="55"/>
      <c r="P304" s="55"/>
      <c r="Q304" s="55"/>
      <c r="R304" s="55"/>
      <c r="S304" s="32"/>
      <c r="T304" s="32"/>
      <c r="U304" s="32"/>
      <c r="V304" s="32"/>
    </row>
    <row r="305" spans="1:22" ht="19.95" customHeight="1" x14ac:dyDescent="0.3">
      <c r="A305" s="64"/>
      <c r="N305" s="55"/>
      <c r="O305" s="55"/>
      <c r="P305" s="55"/>
      <c r="Q305" s="55"/>
      <c r="R305" s="55"/>
      <c r="S305" s="32"/>
      <c r="T305" s="32"/>
      <c r="U305" s="32"/>
      <c r="V305" s="32"/>
    </row>
    <row r="306" spans="1:22" ht="19.95" customHeight="1" x14ac:dyDescent="0.3">
      <c r="A306" s="64"/>
      <c r="N306" s="55"/>
      <c r="O306" s="55"/>
      <c r="P306" s="55"/>
      <c r="Q306" s="55"/>
      <c r="R306" s="55"/>
      <c r="S306" s="32"/>
      <c r="T306" s="32"/>
      <c r="U306" s="32"/>
      <c r="V306" s="32"/>
    </row>
    <row r="307" spans="1:22" ht="19.95" customHeight="1" x14ac:dyDescent="0.3">
      <c r="A307" s="64"/>
      <c r="N307" s="55"/>
      <c r="O307" s="55"/>
      <c r="P307" s="55"/>
      <c r="Q307" s="55"/>
      <c r="R307" s="55"/>
      <c r="S307" s="32"/>
      <c r="T307" s="32"/>
      <c r="U307" s="32"/>
      <c r="V307" s="32"/>
    </row>
    <row r="308" spans="1:22" ht="19.95" customHeight="1" x14ac:dyDescent="0.3">
      <c r="A308" s="64"/>
      <c r="N308" s="55"/>
      <c r="O308" s="55"/>
      <c r="P308" s="55"/>
      <c r="Q308" s="55"/>
      <c r="R308" s="55"/>
      <c r="S308" s="32"/>
      <c r="T308" s="32"/>
      <c r="U308" s="32"/>
      <c r="V308" s="32"/>
    </row>
    <row r="309" spans="1:22" ht="19.95" customHeight="1" x14ac:dyDescent="0.3">
      <c r="A309" s="64"/>
      <c r="N309" s="55"/>
      <c r="O309" s="55"/>
      <c r="P309" s="55"/>
      <c r="Q309" s="55"/>
      <c r="R309" s="55"/>
      <c r="S309" s="32"/>
      <c r="T309" s="32"/>
      <c r="U309" s="32"/>
      <c r="V309" s="32"/>
    </row>
    <row r="310" spans="1:22" ht="19.95" customHeight="1" x14ac:dyDescent="0.3">
      <c r="A310" s="64"/>
      <c r="N310" s="55"/>
      <c r="O310" s="55"/>
      <c r="P310" s="55"/>
      <c r="Q310" s="55"/>
      <c r="R310" s="55"/>
      <c r="S310" s="32"/>
      <c r="T310" s="32"/>
      <c r="U310" s="32"/>
      <c r="V310" s="32"/>
    </row>
    <row r="311" spans="1:22" ht="19.95" customHeight="1" x14ac:dyDescent="0.3">
      <c r="A311" s="64"/>
      <c r="N311" s="55"/>
      <c r="O311" s="55"/>
      <c r="P311" s="55"/>
      <c r="Q311" s="55"/>
      <c r="R311" s="55"/>
      <c r="S311" s="32"/>
      <c r="T311" s="32"/>
      <c r="U311" s="32"/>
      <c r="V311" s="32"/>
    </row>
    <row r="312" spans="1:22" ht="19.95" customHeight="1" x14ac:dyDescent="0.3">
      <c r="A312" s="64"/>
      <c r="N312" s="55"/>
      <c r="O312" s="55"/>
      <c r="P312" s="55"/>
      <c r="Q312" s="55"/>
      <c r="R312" s="55"/>
      <c r="S312" s="32"/>
      <c r="T312" s="32"/>
      <c r="U312" s="32"/>
      <c r="V312" s="32"/>
    </row>
    <row r="313" spans="1:22" ht="19.95" customHeight="1" x14ac:dyDescent="0.3">
      <c r="A313" s="64"/>
      <c r="N313" s="55"/>
      <c r="O313" s="55"/>
      <c r="P313" s="55"/>
      <c r="Q313" s="55"/>
      <c r="R313" s="55"/>
      <c r="S313" s="32"/>
      <c r="T313" s="32"/>
      <c r="U313" s="32"/>
      <c r="V313" s="32"/>
    </row>
    <row r="314" spans="1:22" ht="19.95" customHeight="1" x14ac:dyDescent="0.3">
      <c r="A314" s="64"/>
      <c r="N314" s="55"/>
      <c r="O314" s="55"/>
      <c r="P314" s="55"/>
      <c r="Q314" s="55"/>
      <c r="R314" s="55"/>
      <c r="S314" s="32"/>
      <c r="T314" s="32"/>
      <c r="U314" s="32"/>
      <c r="V314" s="32"/>
    </row>
    <row r="315" spans="1:22" ht="19.95" customHeight="1" x14ac:dyDescent="0.3">
      <c r="A315" s="64"/>
      <c r="N315" s="55"/>
      <c r="O315" s="55"/>
      <c r="P315" s="55"/>
      <c r="Q315" s="55"/>
      <c r="R315" s="55"/>
      <c r="S315" s="32"/>
      <c r="T315" s="32"/>
      <c r="U315" s="32"/>
      <c r="V315" s="32"/>
    </row>
    <row r="316" spans="1:22" ht="19.95" customHeight="1" x14ac:dyDescent="0.3">
      <c r="A316" s="64"/>
      <c r="N316" s="55"/>
      <c r="O316" s="55"/>
      <c r="P316" s="55"/>
      <c r="Q316" s="55"/>
      <c r="R316" s="55"/>
      <c r="S316" s="32"/>
      <c r="T316" s="32"/>
      <c r="U316" s="32"/>
      <c r="V316" s="32"/>
    </row>
    <row r="317" spans="1:22" ht="19.95" customHeight="1" x14ac:dyDescent="0.3">
      <c r="A317" s="64"/>
      <c r="N317" s="55"/>
      <c r="O317" s="55"/>
      <c r="P317" s="55"/>
      <c r="Q317" s="55"/>
      <c r="R317" s="55"/>
      <c r="S317" s="32"/>
      <c r="T317" s="32"/>
      <c r="U317" s="32"/>
      <c r="V317" s="32"/>
    </row>
    <row r="318" spans="1:22" ht="19.95" customHeight="1" x14ac:dyDescent="0.3">
      <c r="A318" s="64"/>
      <c r="N318" s="55"/>
      <c r="O318" s="55"/>
      <c r="P318" s="55"/>
      <c r="Q318" s="55"/>
      <c r="R318" s="55"/>
      <c r="S318" s="32"/>
      <c r="T318" s="32"/>
      <c r="U318" s="32"/>
      <c r="V318" s="32"/>
    </row>
    <row r="319" spans="1:22" ht="19.95" customHeight="1" x14ac:dyDescent="0.3">
      <c r="A319" s="64"/>
      <c r="N319" s="55"/>
      <c r="O319" s="55"/>
      <c r="P319" s="55"/>
      <c r="Q319" s="55"/>
      <c r="R319" s="55"/>
      <c r="S319" s="32"/>
      <c r="T319" s="32"/>
      <c r="U319" s="32"/>
      <c r="V319" s="32"/>
    </row>
    <row r="320" spans="1:22" ht="19.95" customHeight="1" x14ac:dyDescent="0.3">
      <c r="A320" s="64"/>
      <c r="N320" s="55"/>
      <c r="O320" s="55"/>
      <c r="P320" s="55"/>
      <c r="Q320" s="55"/>
      <c r="R320" s="55"/>
      <c r="S320" s="32"/>
      <c r="T320" s="32"/>
      <c r="U320" s="32"/>
      <c r="V320" s="32"/>
    </row>
    <row r="321" spans="1:22" ht="19.95" customHeight="1" x14ac:dyDescent="0.3">
      <c r="A321" s="64"/>
      <c r="N321" s="55"/>
      <c r="O321" s="55"/>
      <c r="P321" s="55"/>
      <c r="Q321" s="55"/>
      <c r="R321" s="55"/>
      <c r="S321" s="32"/>
      <c r="T321" s="32"/>
      <c r="U321" s="32"/>
      <c r="V321" s="32"/>
    </row>
    <row r="322" spans="1:22" ht="19.95" customHeight="1" x14ac:dyDescent="0.3">
      <c r="A322" s="64"/>
      <c r="N322" s="55"/>
      <c r="O322" s="55"/>
      <c r="P322" s="55"/>
      <c r="Q322" s="55"/>
      <c r="R322" s="55"/>
      <c r="S322" s="32"/>
      <c r="T322" s="32"/>
      <c r="U322" s="32"/>
      <c r="V322" s="32"/>
    </row>
    <row r="323" spans="1:22" ht="19.95" customHeight="1" x14ac:dyDescent="0.3">
      <c r="A323" s="64"/>
      <c r="N323" s="55"/>
      <c r="O323" s="55"/>
      <c r="P323" s="55"/>
      <c r="Q323" s="55"/>
      <c r="R323" s="55"/>
      <c r="S323" s="32"/>
      <c r="T323" s="32"/>
      <c r="U323" s="32"/>
      <c r="V323" s="32"/>
    </row>
    <row r="324" spans="1:22" ht="19.95" customHeight="1" x14ac:dyDescent="0.3">
      <c r="A324" s="64"/>
      <c r="N324" s="55"/>
      <c r="O324" s="55"/>
      <c r="P324" s="55"/>
      <c r="Q324" s="55"/>
      <c r="R324" s="55"/>
      <c r="S324" s="32"/>
      <c r="T324" s="32"/>
      <c r="U324" s="32"/>
      <c r="V324" s="32"/>
    </row>
    <row r="325" spans="1:22" ht="19.95" customHeight="1" x14ac:dyDescent="0.3">
      <c r="A325" s="64"/>
      <c r="N325" s="55"/>
      <c r="O325" s="55"/>
      <c r="P325" s="55"/>
      <c r="Q325" s="55"/>
      <c r="R325" s="55"/>
      <c r="S325" s="32"/>
      <c r="T325" s="32"/>
      <c r="U325" s="32"/>
      <c r="V325" s="32"/>
    </row>
    <row r="326" spans="1:22" ht="19.95" customHeight="1" x14ac:dyDescent="0.3">
      <c r="A326" s="64"/>
      <c r="N326" s="55"/>
      <c r="O326" s="55"/>
      <c r="P326" s="55"/>
      <c r="Q326" s="55"/>
      <c r="R326" s="55"/>
      <c r="S326" s="32"/>
      <c r="T326" s="32"/>
      <c r="U326" s="32"/>
      <c r="V326" s="32"/>
    </row>
    <row r="327" spans="1:22" ht="19.95" customHeight="1" x14ac:dyDescent="0.3">
      <c r="A327" s="64"/>
      <c r="N327" s="55"/>
      <c r="O327" s="55"/>
      <c r="P327" s="55"/>
      <c r="Q327" s="55"/>
      <c r="R327" s="55"/>
      <c r="S327" s="32"/>
      <c r="T327" s="32"/>
      <c r="U327" s="32"/>
      <c r="V327" s="32"/>
    </row>
    <row r="328" spans="1:22" ht="19.95" customHeight="1" x14ac:dyDescent="0.3">
      <c r="A328" s="64"/>
      <c r="N328" s="55"/>
      <c r="O328" s="55"/>
      <c r="P328" s="55"/>
      <c r="Q328" s="55"/>
      <c r="R328" s="55"/>
      <c r="S328" s="32"/>
      <c r="T328" s="32"/>
      <c r="U328" s="32"/>
      <c r="V328" s="32"/>
    </row>
    <row r="329" spans="1:22" ht="19.95" customHeight="1" x14ac:dyDescent="0.3">
      <c r="A329" s="64"/>
      <c r="N329" s="55"/>
      <c r="O329" s="55"/>
      <c r="P329" s="55"/>
      <c r="Q329" s="55"/>
      <c r="R329" s="55"/>
      <c r="S329" s="32"/>
      <c r="T329" s="32"/>
      <c r="U329" s="32"/>
      <c r="V329" s="32"/>
    </row>
    <row r="330" spans="1:22" ht="19.95" customHeight="1" x14ac:dyDescent="0.3">
      <c r="A330" s="64"/>
      <c r="N330" s="55"/>
      <c r="O330" s="55"/>
      <c r="P330" s="55"/>
      <c r="Q330" s="55"/>
      <c r="R330" s="55"/>
      <c r="S330" s="32"/>
      <c r="T330" s="32"/>
      <c r="U330" s="32"/>
      <c r="V330" s="32"/>
    </row>
    <row r="331" spans="1:22" ht="19.95" customHeight="1" x14ac:dyDescent="0.3">
      <c r="A331" s="64"/>
      <c r="N331" s="55"/>
      <c r="O331" s="55"/>
      <c r="P331" s="55"/>
      <c r="Q331" s="55"/>
      <c r="R331" s="55"/>
      <c r="S331" s="32"/>
      <c r="T331" s="32"/>
      <c r="U331" s="32"/>
      <c r="V331" s="32"/>
    </row>
    <row r="332" spans="1:22" ht="19.95" customHeight="1" x14ac:dyDescent="0.3">
      <c r="A332" s="64"/>
      <c r="N332" s="55"/>
      <c r="O332" s="55"/>
      <c r="P332" s="55"/>
      <c r="Q332" s="55"/>
      <c r="R332" s="55"/>
      <c r="S332" s="32"/>
      <c r="T332" s="32"/>
      <c r="U332" s="32"/>
      <c r="V332" s="32"/>
    </row>
    <row r="333" spans="1:22" ht="19.95" customHeight="1" x14ac:dyDescent="0.3">
      <c r="A333" s="64"/>
      <c r="N333" s="55"/>
      <c r="O333" s="55"/>
      <c r="P333" s="55"/>
      <c r="Q333" s="55"/>
      <c r="R333" s="55"/>
      <c r="S333" s="32"/>
      <c r="T333" s="32"/>
      <c r="U333" s="32"/>
      <c r="V333" s="32"/>
    </row>
    <row r="334" spans="1:22" ht="19.95" customHeight="1" x14ac:dyDescent="0.3">
      <c r="A334" s="64"/>
      <c r="N334" s="55"/>
      <c r="O334" s="55"/>
      <c r="P334" s="55"/>
      <c r="Q334" s="55"/>
      <c r="R334" s="55"/>
      <c r="S334" s="32"/>
      <c r="T334" s="32"/>
      <c r="U334" s="32"/>
      <c r="V334" s="32"/>
    </row>
    <row r="335" spans="1:22" ht="19.95" customHeight="1" x14ac:dyDescent="0.3">
      <c r="A335" s="64"/>
      <c r="N335" s="55"/>
      <c r="O335" s="55"/>
      <c r="P335" s="55"/>
      <c r="Q335" s="55"/>
      <c r="R335" s="55"/>
      <c r="S335" s="32"/>
      <c r="T335" s="32"/>
      <c r="U335" s="32"/>
      <c r="V335" s="32"/>
    </row>
    <row r="336" spans="1:22" ht="19.95" customHeight="1" x14ac:dyDescent="0.3">
      <c r="A336" s="64"/>
      <c r="N336" s="55"/>
      <c r="O336" s="55"/>
      <c r="P336" s="55"/>
      <c r="Q336" s="55"/>
      <c r="R336" s="55"/>
      <c r="S336" s="32"/>
      <c r="T336" s="32"/>
      <c r="U336" s="32"/>
      <c r="V336" s="32"/>
    </row>
    <row r="337" spans="1:22" ht="19.95" customHeight="1" x14ac:dyDescent="0.3">
      <c r="A337" s="64"/>
      <c r="N337" s="55"/>
      <c r="O337" s="55"/>
      <c r="P337" s="55"/>
      <c r="Q337" s="55"/>
      <c r="R337" s="55"/>
      <c r="S337" s="32"/>
      <c r="T337" s="32"/>
      <c r="U337" s="32"/>
      <c r="V337" s="32"/>
    </row>
    <row r="338" spans="1:22" ht="19.95" customHeight="1" x14ac:dyDescent="0.3">
      <c r="A338" s="64"/>
      <c r="N338" s="55"/>
      <c r="O338" s="55"/>
      <c r="P338" s="55"/>
      <c r="Q338" s="55"/>
      <c r="R338" s="55"/>
      <c r="S338" s="32"/>
      <c r="T338" s="32"/>
      <c r="U338" s="32"/>
      <c r="V338" s="32"/>
    </row>
    <row r="339" spans="1:22" ht="19.95" customHeight="1" x14ac:dyDescent="0.3">
      <c r="A339" s="64"/>
      <c r="N339" s="55"/>
      <c r="O339" s="55"/>
      <c r="P339" s="55"/>
      <c r="Q339" s="55"/>
      <c r="R339" s="55"/>
      <c r="S339" s="32"/>
      <c r="T339" s="32"/>
      <c r="U339" s="32"/>
      <c r="V339" s="32"/>
    </row>
    <row r="340" spans="1:22" ht="19.95" customHeight="1" x14ac:dyDescent="0.3">
      <c r="A340" s="64"/>
      <c r="N340" s="55"/>
      <c r="O340" s="55"/>
      <c r="P340" s="55"/>
      <c r="Q340" s="55"/>
      <c r="R340" s="55"/>
      <c r="S340" s="32"/>
      <c r="T340" s="32"/>
      <c r="U340" s="32"/>
      <c r="V340" s="32"/>
    </row>
    <row r="341" spans="1:22" ht="19.95" customHeight="1" x14ac:dyDescent="0.3">
      <c r="A341" s="64"/>
      <c r="N341" s="55"/>
      <c r="O341" s="55"/>
      <c r="P341" s="55"/>
      <c r="Q341" s="55"/>
      <c r="R341" s="55"/>
      <c r="S341" s="32"/>
      <c r="T341" s="32"/>
      <c r="U341" s="32"/>
      <c r="V341" s="32"/>
    </row>
    <row r="342" spans="1:22" ht="19.95" customHeight="1" x14ac:dyDescent="0.3">
      <c r="A342" s="64"/>
      <c r="N342" s="55"/>
      <c r="O342" s="55"/>
      <c r="P342" s="55"/>
      <c r="Q342" s="55"/>
      <c r="R342" s="55"/>
      <c r="S342" s="32"/>
      <c r="T342" s="32"/>
      <c r="U342" s="32"/>
      <c r="V342" s="32"/>
    </row>
    <row r="343" spans="1:22" ht="19.95" customHeight="1" x14ac:dyDescent="0.3">
      <c r="A343" s="64"/>
      <c r="N343" s="55"/>
      <c r="O343" s="55"/>
      <c r="P343" s="55"/>
      <c r="Q343" s="55"/>
      <c r="R343" s="55"/>
      <c r="S343" s="32"/>
      <c r="T343" s="32"/>
      <c r="U343" s="32"/>
      <c r="V343" s="32"/>
    </row>
    <row r="344" spans="1:22" ht="19.95" customHeight="1" x14ac:dyDescent="0.3">
      <c r="A344" s="64"/>
      <c r="N344" s="55"/>
      <c r="O344" s="55"/>
      <c r="P344" s="55"/>
      <c r="Q344" s="55"/>
      <c r="R344" s="55"/>
      <c r="S344" s="32"/>
      <c r="T344" s="32"/>
      <c r="U344" s="32"/>
      <c r="V344" s="32"/>
    </row>
    <row r="345" spans="1:22" ht="19.95" customHeight="1" x14ac:dyDescent="0.3">
      <c r="A345" s="64"/>
      <c r="N345" s="55"/>
      <c r="O345" s="55"/>
      <c r="P345" s="55"/>
      <c r="Q345" s="55"/>
      <c r="R345" s="55"/>
      <c r="S345" s="32"/>
      <c r="T345" s="32"/>
      <c r="U345" s="32"/>
      <c r="V345" s="32"/>
    </row>
    <row r="346" spans="1:22" ht="19.95" customHeight="1" x14ac:dyDescent="0.3">
      <c r="A346" s="64"/>
      <c r="N346" s="55"/>
      <c r="O346" s="55"/>
      <c r="P346" s="55"/>
      <c r="Q346" s="55"/>
      <c r="R346" s="55"/>
      <c r="S346" s="32"/>
      <c r="T346" s="32"/>
      <c r="U346" s="32"/>
      <c r="V346" s="32"/>
    </row>
    <row r="347" spans="1:22" ht="19.95" customHeight="1" x14ac:dyDescent="0.3">
      <c r="A347" s="64"/>
      <c r="N347" s="55"/>
      <c r="O347" s="55"/>
      <c r="P347" s="55"/>
      <c r="Q347" s="55"/>
      <c r="R347" s="55"/>
      <c r="S347" s="32"/>
      <c r="T347" s="32"/>
      <c r="U347" s="32"/>
      <c r="V347" s="32"/>
    </row>
    <row r="348" spans="1:22" ht="19.95" customHeight="1" x14ac:dyDescent="0.3">
      <c r="A348" s="64"/>
      <c r="N348" s="55"/>
      <c r="O348" s="55"/>
      <c r="P348" s="55"/>
      <c r="Q348" s="55"/>
      <c r="R348" s="55"/>
      <c r="S348" s="32"/>
      <c r="T348" s="32"/>
      <c r="U348" s="32"/>
      <c r="V348" s="32"/>
    </row>
    <row r="349" spans="1:22" ht="19.95" customHeight="1" x14ac:dyDescent="0.3">
      <c r="A349" s="64"/>
      <c r="N349" s="55"/>
      <c r="O349" s="55"/>
      <c r="P349" s="55"/>
      <c r="Q349" s="55"/>
      <c r="R349" s="55"/>
      <c r="S349" s="32"/>
      <c r="T349" s="32"/>
      <c r="U349" s="32"/>
      <c r="V349" s="32"/>
    </row>
    <row r="350" spans="1:22" ht="19.95" customHeight="1" x14ac:dyDescent="0.3">
      <c r="A350" s="64"/>
      <c r="N350" s="55"/>
      <c r="O350" s="55"/>
      <c r="P350" s="55"/>
      <c r="Q350" s="55"/>
      <c r="R350" s="55"/>
      <c r="S350" s="32"/>
      <c r="T350" s="32"/>
      <c r="U350" s="32"/>
      <c r="V350" s="32"/>
    </row>
    <row r="351" spans="1:22" ht="19.95" customHeight="1" x14ac:dyDescent="0.3">
      <c r="A351" s="64"/>
      <c r="N351" s="55"/>
      <c r="O351" s="55"/>
      <c r="P351" s="55"/>
      <c r="Q351" s="55"/>
      <c r="R351" s="55"/>
      <c r="S351" s="32"/>
      <c r="T351" s="32"/>
      <c r="U351" s="32"/>
      <c r="V351" s="32"/>
    </row>
    <row r="352" spans="1:22" ht="19.95" customHeight="1" x14ac:dyDescent="0.3">
      <c r="A352" s="64"/>
      <c r="N352" s="55"/>
      <c r="O352" s="55"/>
      <c r="P352" s="55"/>
      <c r="Q352" s="55"/>
      <c r="R352" s="55"/>
      <c r="S352" s="32"/>
      <c r="T352" s="32"/>
      <c r="U352" s="32"/>
      <c r="V352" s="32"/>
    </row>
    <row r="353" spans="1:22" ht="19.95" customHeight="1" x14ac:dyDescent="0.3">
      <c r="A353" s="64"/>
      <c r="N353" s="55"/>
      <c r="O353" s="55"/>
      <c r="P353" s="55"/>
      <c r="Q353" s="55"/>
      <c r="R353" s="55"/>
      <c r="S353" s="32"/>
      <c r="T353" s="32"/>
      <c r="U353" s="32"/>
      <c r="V353" s="32"/>
    </row>
    <row r="354" spans="1:22" ht="19.95" customHeight="1" x14ac:dyDescent="0.3">
      <c r="A354" s="64"/>
      <c r="N354" s="55"/>
      <c r="O354" s="55"/>
      <c r="P354" s="55"/>
      <c r="Q354" s="55"/>
      <c r="R354" s="55"/>
      <c r="S354" s="32"/>
      <c r="T354" s="32"/>
      <c r="U354" s="32"/>
      <c r="V354" s="32"/>
    </row>
    <row r="355" spans="1:22" ht="19.95" customHeight="1" x14ac:dyDescent="0.3">
      <c r="A355" s="64"/>
      <c r="N355" s="55"/>
      <c r="O355" s="55"/>
      <c r="P355" s="55"/>
      <c r="Q355" s="55"/>
      <c r="R355" s="55"/>
      <c r="S355" s="32"/>
      <c r="T355" s="32"/>
      <c r="U355" s="32"/>
      <c r="V355" s="32"/>
    </row>
    <row r="356" spans="1:22" ht="19.95" customHeight="1" x14ac:dyDescent="0.3">
      <c r="A356" s="64"/>
      <c r="N356" s="55"/>
      <c r="O356" s="55"/>
      <c r="P356" s="55"/>
      <c r="Q356" s="55"/>
      <c r="R356" s="55"/>
      <c r="S356" s="32"/>
      <c r="T356" s="32"/>
      <c r="U356" s="32"/>
      <c r="V356" s="32"/>
    </row>
    <row r="357" spans="1:22" ht="19.95" customHeight="1" x14ac:dyDescent="0.3">
      <c r="A357" s="64"/>
      <c r="N357" s="55"/>
      <c r="O357" s="55"/>
      <c r="P357" s="55"/>
      <c r="Q357" s="55"/>
      <c r="R357" s="55"/>
      <c r="S357" s="32"/>
      <c r="T357" s="32"/>
      <c r="U357" s="32"/>
      <c r="V357" s="32"/>
    </row>
    <row r="358" spans="1:22" ht="19.95" customHeight="1" x14ac:dyDescent="0.3">
      <c r="A358" s="64"/>
      <c r="N358" s="55"/>
      <c r="O358" s="55"/>
      <c r="P358" s="55"/>
      <c r="Q358" s="55"/>
      <c r="R358" s="55"/>
      <c r="S358" s="32"/>
      <c r="T358" s="32"/>
      <c r="U358" s="32"/>
      <c r="V358" s="32"/>
    </row>
    <row r="359" spans="1:22" ht="19.95" customHeight="1" x14ac:dyDescent="0.3">
      <c r="A359" s="64"/>
      <c r="N359" s="55"/>
      <c r="O359" s="55"/>
      <c r="P359" s="55"/>
      <c r="Q359" s="55"/>
      <c r="R359" s="55"/>
      <c r="S359" s="32"/>
      <c r="T359" s="32"/>
      <c r="U359" s="32"/>
      <c r="V359" s="32"/>
    </row>
    <row r="360" spans="1:22" ht="19.95" customHeight="1" x14ac:dyDescent="0.3">
      <c r="A360" s="64"/>
      <c r="N360" s="55"/>
      <c r="O360" s="55"/>
      <c r="P360" s="55"/>
      <c r="Q360" s="55"/>
      <c r="R360" s="55"/>
      <c r="S360" s="32"/>
      <c r="T360" s="32"/>
      <c r="U360" s="32"/>
      <c r="V360" s="32"/>
    </row>
    <row r="361" spans="1:22" ht="19.95" customHeight="1" x14ac:dyDescent="0.3">
      <c r="A361" s="64"/>
      <c r="N361" s="55"/>
      <c r="O361" s="55"/>
      <c r="P361" s="55"/>
      <c r="Q361" s="55"/>
      <c r="R361" s="55"/>
      <c r="S361" s="32"/>
      <c r="T361" s="32"/>
      <c r="U361" s="32"/>
      <c r="V361" s="32"/>
    </row>
    <row r="362" spans="1:22" ht="19.95" customHeight="1" x14ac:dyDescent="0.3">
      <c r="A362" s="64"/>
      <c r="N362" s="55"/>
      <c r="O362" s="55"/>
      <c r="P362" s="55"/>
      <c r="Q362" s="55"/>
      <c r="R362" s="55"/>
      <c r="S362" s="32"/>
      <c r="T362" s="32"/>
      <c r="U362" s="32"/>
      <c r="V362" s="32"/>
    </row>
    <row r="363" spans="1:22" ht="19.95" customHeight="1" x14ac:dyDescent="0.3">
      <c r="A363" s="64"/>
      <c r="N363" s="55"/>
      <c r="O363" s="55"/>
      <c r="P363" s="55"/>
      <c r="Q363" s="55"/>
      <c r="R363" s="55"/>
      <c r="S363" s="32"/>
      <c r="T363" s="32"/>
      <c r="U363" s="32"/>
      <c r="V363" s="32"/>
    </row>
    <row r="364" spans="1:22" ht="19.95" customHeight="1" x14ac:dyDescent="0.3">
      <c r="A364" s="64"/>
      <c r="N364" s="55"/>
      <c r="O364" s="55"/>
      <c r="P364" s="55"/>
      <c r="Q364" s="55"/>
      <c r="R364" s="55"/>
      <c r="S364" s="32"/>
      <c r="T364" s="32"/>
      <c r="U364" s="32"/>
      <c r="V364" s="32"/>
    </row>
    <row r="365" spans="1:22" ht="19.95" customHeight="1" x14ac:dyDescent="0.3">
      <c r="A365" s="64"/>
      <c r="N365" s="55"/>
      <c r="O365" s="55"/>
      <c r="P365" s="55"/>
      <c r="Q365" s="55"/>
      <c r="R365" s="55"/>
      <c r="S365" s="32"/>
      <c r="T365" s="32"/>
      <c r="U365" s="32"/>
      <c r="V365" s="32"/>
    </row>
    <row r="366" spans="1:22" ht="19.95" customHeight="1" x14ac:dyDescent="0.3">
      <c r="A366" s="64"/>
      <c r="N366" s="55"/>
      <c r="O366" s="55"/>
      <c r="P366" s="55"/>
      <c r="Q366" s="55"/>
      <c r="R366" s="55"/>
      <c r="S366" s="32"/>
      <c r="T366" s="32"/>
      <c r="U366" s="32"/>
      <c r="V366" s="32"/>
    </row>
    <row r="367" spans="1:22" ht="19.95" customHeight="1" x14ac:dyDescent="0.3">
      <c r="A367" s="64"/>
      <c r="N367" s="55"/>
      <c r="O367" s="55"/>
      <c r="P367" s="55"/>
      <c r="Q367" s="55"/>
      <c r="R367" s="55"/>
      <c r="S367" s="32"/>
      <c r="T367" s="32"/>
      <c r="U367" s="32"/>
      <c r="V367" s="32"/>
    </row>
    <row r="368" spans="1:22" ht="19.95" customHeight="1" x14ac:dyDescent="0.3">
      <c r="A368" s="64"/>
      <c r="N368" s="55"/>
      <c r="O368" s="55"/>
      <c r="P368" s="55"/>
      <c r="Q368" s="55"/>
      <c r="R368" s="55"/>
      <c r="S368" s="32"/>
      <c r="T368" s="32"/>
      <c r="U368" s="32"/>
      <c r="V368" s="32"/>
    </row>
    <row r="369" spans="1:22" ht="19.95" customHeight="1" x14ac:dyDescent="0.3">
      <c r="A369" s="64"/>
      <c r="N369" s="55"/>
      <c r="O369" s="55"/>
      <c r="P369" s="55"/>
      <c r="Q369" s="55"/>
      <c r="R369" s="55"/>
      <c r="S369" s="32"/>
      <c r="T369" s="32"/>
      <c r="U369" s="32"/>
      <c r="V369" s="32"/>
    </row>
    <row r="370" spans="1:22" ht="19.95" customHeight="1" x14ac:dyDescent="0.3">
      <c r="A370" s="64"/>
      <c r="N370" s="55"/>
      <c r="O370" s="55"/>
      <c r="P370" s="55"/>
      <c r="Q370" s="55"/>
      <c r="R370" s="55"/>
      <c r="S370" s="32"/>
      <c r="T370" s="32"/>
      <c r="U370" s="32"/>
      <c r="V370" s="32"/>
    </row>
    <row r="371" spans="1:22" ht="19.95" customHeight="1" x14ac:dyDescent="0.3">
      <c r="A371" s="64"/>
      <c r="N371" s="55"/>
      <c r="O371" s="55"/>
      <c r="P371" s="55"/>
      <c r="Q371" s="55"/>
      <c r="R371" s="55"/>
      <c r="S371" s="32"/>
      <c r="T371" s="32"/>
      <c r="U371" s="32"/>
      <c r="V371" s="32"/>
    </row>
    <row r="372" spans="1:22" ht="19.95" customHeight="1" x14ac:dyDescent="0.3">
      <c r="A372" s="64"/>
      <c r="N372" s="55"/>
      <c r="O372" s="55"/>
      <c r="P372" s="55"/>
      <c r="Q372" s="55"/>
      <c r="R372" s="55"/>
      <c r="S372" s="32"/>
      <c r="T372" s="32"/>
      <c r="U372" s="32"/>
      <c r="V372" s="32"/>
    </row>
    <row r="373" spans="1:22" ht="19.95" customHeight="1" x14ac:dyDescent="0.3">
      <c r="A373" s="64"/>
      <c r="N373" s="55"/>
      <c r="O373" s="55"/>
      <c r="P373" s="55"/>
      <c r="Q373" s="55"/>
      <c r="R373" s="55"/>
      <c r="S373" s="32"/>
      <c r="T373" s="32"/>
      <c r="U373" s="32"/>
      <c r="V373" s="32"/>
    </row>
    <row r="374" spans="1:22" ht="19.95" customHeight="1" x14ac:dyDescent="0.3">
      <c r="A374" s="64"/>
      <c r="N374" s="55"/>
      <c r="O374" s="55"/>
      <c r="P374" s="55"/>
      <c r="Q374" s="55"/>
      <c r="R374" s="55"/>
      <c r="S374" s="32"/>
      <c r="T374" s="32"/>
      <c r="U374" s="32"/>
      <c r="V374" s="32"/>
    </row>
    <row r="375" spans="1:22" ht="19.95" customHeight="1" x14ac:dyDescent="0.3">
      <c r="A375" s="64"/>
      <c r="N375" s="55"/>
      <c r="O375" s="55"/>
      <c r="P375" s="55"/>
      <c r="Q375" s="55"/>
      <c r="R375" s="55"/>
      <c r="S375" s="32"/>
      <c r="T375" s="32"/>
      <c r="U375" s="32"/>
      <c r="V375" s="32"/>
    </row>
    <row r="376" spans="1:22" ht="19.95" customHeight="1" x14ac:dyDescent="0.3">
      <c r="A376" s="64"/>
      <c r="N376" s="55"/>
      <c r="O376" s="55"/>
      <c r="P376" s="55"/>
      <c r="Q376" s="55"/>
      <c r="R376" s="55"/>
      <c r="S376" s="32"/>
      <c r="T376" s="32"/>
      <c r="U376" s="32"/>
      <c r="V376" s="32"/>
    </row>
    <row r="377" spans="1:22" ht="19.95" customHeight="1" x14ac:dyDescent="0.3">
      <c r="A377" s="64"/>
      <c r="N377" s="55"/>
      <c r="O377" s="55"/>
      <c r="P377" s="55"/>
      <c r="Q377" s="55"/>
      <c r="R377" s="55"/>
      <c r="S377" s="32"/>
      <c r="T377" s="32"/>
      <c r="U377" s="32"/>
      <c r="V377" s="32"/>
    </row>
    <row r="378" spans="1:22" ht="19.95" customHeight="1" x14ac:dyDescent="0.3">
      <c r="A378" s="64"/>
      <c r="N378" s="55"/>
      <c r="O378" s="55"/>
      <c r="P378" s="55"/>
      <c r="Q378" s="55"/>
      <c r="R378" s="55"/>
      <c r="S378" s="32"/>
      <c r="T378" s="32"/>
      <c r="U378" s="32"/>
      <c r="V378" s="32"/>
    </row>
    <row r="379" spans="1:22" ht="19.95" customHeight="1" x14ac:dyDescent="0.3">
      <c r="A379" s="64"/>
      <c r="N379" s="55"/>
      <c r="O379" s="55"/>
      <c r="P379" s="55"/>
      <c r="Q379" s="55"/>
      <c r="R379" s="55"/>
      <c r="S379" s="32"/>
      <c r="T379" s="32"/>
      <c r="U379" s="32"/>
      <c r="V379" s="32"/>
    </row>
    <row r="380" spans="1:22" ht="19.95" customHeight="1" x14ac:dyDescent="0.3">
      <c r="A380" s="64"/>
      <c r="N380" s="55"/>
      <c r="O380" s="55"/>
      <c r="P380" s="55"/>
      <c r="Q380" s="55"/>
      <c r="R380" s="55"/>
      <c r="S380" s="32"/>
      <c r="T380" s="32"/>
      <c r="U380" s="32"/>
      <c r="V380" s="32"/>
    </row>
    <row r="381" spans="1:22" ht="19.95" customHeight="1" x14ac:dyDescent="0.3">
      <c r="A381" s="64"/>
      <c r="N381" s="55"/>
      <c r="O381" s="55"/>
      <c r="P381" s="55"/>
      <c r="Q381" s="55"/>
      <c r="R381" s="55"/>
      <c r="S381" s="32"/>
      <c r="T381" s="32"/>
      <c r="U381" s="32"/>
      <c r="V381" s="32"/>
    </row>
    <row r="382" spans="1:22" ht="19.95" customHeight="1" x14ac:dyDescent="0.3">
      <c r="A382" s="64"/>
      <c r="N382" s="55"/>
      <c r="O382" s="55"/>
      <c r="P382" s="55"/>
      <c r="Q382" s="55"/>
      <c r="R382" s="55"/>
      <c r="S382" s="32"/>
      <c r="T382" s="32"/>
      <c r="U382" s="32"/>
      <c r="V382" s="32"/>
    </row>
    <row r="383" spans="1:22" ht="19.95" customHeight="1" x14ac:dyDescent="0.3">
      <c r="A383" s="64"/>
      <c r="N383" s="55"/>
      <c r="O383" s="55"/>
      <c r="P383" s="55"/>
      <c r="Q383" s="55"/>
      <c r="R383" s="55"/>
      <c r="S383" s="32"/>
      <c r="T383" s="32"/>
      <c r="U383" s="32"/>
      <c r="V383" s="32"/>
    </row>
    <row r="384" spans="1:22" ht="19.95" customHeight="1" x14ac:dyDescent="0.3">
      <c r="A384" s="64"/>
      <c r="N384" s="55"/>
      <c r="O384" s="55"/>
      <c r="P384" s="55"/>
      <c r="Q384" s="55"/>
      <c r="R384" s="55"/>
      <c r="S384" s="32"/>
      <c r="T384" s="32"/>
      <c r="U384" s="32"/>
      <c r="V384" s="32"/>
    </row>
    <row r="385" spans="1:22" ht="19.95" customHeight="1" x14ac:dyDescent="0.3">
      <c r="A385" s="64"/>
      <c r="N385" s="55"/>
      <c r="O385" s="55"/>
      <c r="P385" s="55"/>
      <c r="Q385" s="55"/>
      <c r="R385" s="55"/>
      <c r="S385" s="32"/>
      <c r="T385" s="32"/>
      <c r="U385" s="32"/>
      <c r="V385" s="32"/>
    </row>
    <row r="386" spans="1:22" ht="19.95" customHeight="1" x14ac:dyDescent="0.3">
      <c r="A386" s="64"/>
      <c r="N386" s="55"/>
      <c r="O386" s="55"/>
      <c r="P386" s="55"/>
      <c r="Q386" s="55"/>
      <c r="R386" s="55"/>
      <c r="S386" s="32"/>
      <c r="T386" s="32"/>
      <c r="U386" s="32"/>
      <c r="V386" s="32"/>
    </row>
    <row r="387" spans="1:22" ht="19.95" customHeight="1" x14ac:dyDescent="0.3">
      <c r="A387" s="64"/>
      <c r="N387" s="55"/>
      <c r="O387" s="55"/>
      <c r="P387" s="55"/>
      <c r="Q387" s="55"/>
      <c r="R387" s="55"/>
      <c r="S387" s="32"/>
      <c r="T387" s="32"/>
      <c r="U387" s="32"/>
      <c r="V387" s="32"/>
    </row>
    <row r="388" spans="1:22" ht="19.95" customHeight="1" x14ac:dyDescent="0.3">
      <c r="A388" s="64"/>
      <c r="N388" s="55"/>
      <c r="O388" s="55"/>
      <c r="P388" s="55"/>
      <c r="Q388" s="55"/>
      <c r="R388" s="55"/>
      <c r="S388" s="32"/>
      <c r="T388" s="32"/>
      <c r="U388" s="32"/>
      <c r="V388" s="32"/>
    </row>
    <row r="389" spans="1:22" ht="19.95" customHeight="1" x14ac:dyDescent="0.3">
      <c r="A389" s="64"/>
      <c r="N389" s="55"/>
      <c r="O389" s="55"/>
      <c r="P389" s="55"/>
      <c r="Q389" s="55"/>
      <c r="R389" s="55"/>
      <c r="S389" s="32"/>
      <c r="T389" s="32"/>
      <c r="U389" s="32"/>
      <c r="V389" s="32"/>
    </row>
    <row r="390" spans="1:22" ht="19.95" customHeight="1" x14ac:dyDescent="0.3">
      <c r="A390" s="64"/>
      <c r="N390" s="55"/>
      <c r="O390" s="55"/>
      <c r="P390" s="55"/>
      <c r="Q390" s="55"/>
      <c r="R390" s="55"/>
      <c r="S390" s="32"/>
      <c r="T390" s="32"/>
      <c r="U390" s="32"/>
      <c r="V390" s="32"/>
    </row>
    <row r="391" spans="1:22" ht="19.95" customHeight="1" x14ac:dyDescent="0.3">
      <c r="A391" s="64"/>
      <c r="N391" s="55"/>
      <c r="O391" s="55"/>
      <c r="P391" s="55"/>
      <c r="Q391" s="55"/>
      <c r="R391" s="55"/>
      <c r="S391" s="32"/>
      <c r="T391" s="32"/>
      <c r="U391" s="32"/>
      <c r="V391" s="32"/>
    </row>
    <row r="392" spans="1:22" ht="19.95" customHeight="1" x14ac:dyDescent="0.3">
      <c r="A392" s="64"/>
      <c r="N392" s="55"/>
      <c r="O392" s="55"/>
      <c r="P392" s="55"/>
      <c r="Q392" s="55"/>
      <c r="R392" s="55"/>
      <c r="S392" s="32"/>
      <c r="T392" s="32"/>
      <c r="U392" s="32"/>
      <c r="V392" s="32"/>
    </row>
    <row r="393" spans="1:22" ht="19.95" customHeight="1" x14ac:dyDescent="0.3">
      <c r="A393" s="64"/>
      <c r="N393" s="55"/>
      <c r="O393" s="55"/>
      <c r="P393" s="55"/>
      <c r="Q393" s="55"/>
      <c r="R393" s="55"/>
      <c r="S393" s="32"/>
      <c r="T393" s="32"/>
      <c r="U393" s="32"/>
      <c r="V393" s="32"/>
    </row>
  </sheetData>
  <pageMargins left="0.7" right="0.7" top="0.75" bottom="0.75" header="0.3" footer="0.3"/>
  <pageSetup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7B200E27FAF24BB475FB02E027DC3C" ma:contentTypeVersion="0" ma:contentTypeDescription="Create a new document." ma:contentTypeScope="" ma:versionID="f3bf87ab74e9105e6d0ead7041de9d3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815319-7A4D-4E44-8565-E6A2B628F4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275185-8989-4B1B-ABFC-D66C66C27F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773A751-DAF3-44FF-B8B3-C7A2E8C6AEE0}">
  <ds:schemaRefs>
    <ds:schemaRef ds:uri="http://www.w3.org/XML/1998/namespace"/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TEU Volume</vt:lpstr>
      <vt:lpstr>Container Volume</vt:lpstr>
      <vt:lpstr>GC Tonnage</vt:lpstr>
      <vt:lpstr>Ship Calls</vt:lpstr>
      <vt:lpstr>TEU Volume Breakdown</vt:lpstr>
      <vt:lpstr>Container Volume by Mode</vt:lpstr>
      <vt:lpstr>Data</vt:lpstr>
    </vt:vector>
  </TitlesOfParts>
  <Company>Virginia Port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Port of Virginia Statistics</dc:title>
  <dc:creator>Virginia Port Authority</dc:creator>
  <cp:lastModifiedBy>Anja Sparenberg</cp:lastModifiedBy>
  <cp:lastPrinted>2017-02-15T13:51:15Z</cp:lastPrinted>
  <dcterms:created xsi:type="dcterms:W3CDTF">2009-01-30T14:51:35Z</dcterms:created>
  <dcterms:modified xsi:type="dcterms:W3CDTF">2022-09-16T18:20:41Z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0x010100057B200E27FAF24BB475FB02E027DC3C</vt:lpwstr>
  </property>
</Properties>
</file>