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avid\Documents\Paty\trabajo mincho\"/>
    </mc:Choice>
  </mc:AlternateContent>
  <xr:revisionPtr revIDLastSave="0" documentId="13_ncr:1_{065590FD-A300-4BD4-AB41-50869982B34B}" xr6:coauthVersionLast="47" xr6:coauthVersionMax="47" xr10:uidLastSave="{00000000-0000-0000-0000-000000000000}"/>
  <bookViews>
    <workbookView xWindow="-120" yWindow="-120" windowWidth="20730" windowHeight="11160" activeTab="7" xr2:uid="{BE02C7F8-5236-4E23-B3B8-E95E0D708CB0}"/>
  </bookViews>
  <sheets>
    <sheet name="Inversion inicial " sheetId="8" r:id="rId1"/>
    <sheet name="Costos " sheetId="2" r:id="rId2"/>
    <sheet name="Proyeccion financiera" sheetId="3" r:id="rId3"/>
    <sheet name="Flujo de caja " sheetId="6" r:id="rId4"/>
    <sheet name="Estado de resultados " sheetId="9" r:id="rId5"/>
    <sheet name="VPN " sheetId="4" r:id="rId6"/>
    <sheet name="TIR" sheetId="5" r:id="rId7"/>
    <sheet name="Consolidado " sheetId="7" r:id="rId8"/>
  </sheets>
  <externalReferences>
    <externalReference r:id="rId9"/>
  </externalReferenc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C6" i="9"/>
  <c r="D6" i="9"/>
  <c r="E6" i="9"/>
  <c r="F6" i="9"/>
  <c r="B6" i="9"/>
  <c r="C24" i="6"/>
  <c r="B4" i="9"/>
  <c r="C3" i="9"/>
  <c r="D3" i="9"/>
  <c r="E3" i="9"/>
  <c r="F3" i="9"/>
  <c r="B3" i="9"/>
  <c r="F24" i="6"/>
  <c r="E4" i="9"/>
  <c r="E5" i="9"/>
  <c r="E7" i="9"/>
  <c r="B5" i="9"/>
  <c r="B7" i="9"/>
  <c r="E24" i="6"/>
  <c r="D4" i="9"/>
  <c r="D5" i="9"/>
  <c r="D7" i="9"/>
  <c r="C17" i="6"/>
  <c r="C16" i="6"/>
  <c r="C8" i="6"/>
  <c r="C7" i="6"/>
  <c r="C5" i="6"/>
  <c r="C4" i="6"/>
  <c r="C19" i="6"/>
  <c r="G18" i="6"/>
  <c r="F18" i="6"/>
  <c r="E18" i="6"/>
  <c r="D18" i="6"/>
  <c r="C18" i="6"/>
  <c r="D30" i="3"/>
  <c r="E30" i="3"/>
  <c r="B31" i="3"/>
  <c r="D31" i="3"/>
  <c r="E31" i="3"/>
  <c r="B32" i="3"/>
  <c r="D32" i="3"/>
  <c r="E32" i="3"/>
  <c r="B33" i="3"/>
  <c r="D33" i="3"/>
  <c r="E33" i="3"/>
  <c r="B34" i="3"/>
  <c r="G17" i="6"/>
  <c r="F17" i="6"/>
  <c r="E17" i="6"/>
  <c r="D17" i="6"/>
  <c r="G15" i="6"/>
  <c r="F15" i="6"/>
  <c r="E15" i="6"/>
  <c r="D15" i="6"/>
  <c r="C15" i="6"/>
  <c r="G14" i="6"/>
  <c r="F14" i="6"/>
  <c r="E14" i="6"/>
  <c r="D14" i="6"/>
  <c r="C14" i="6"/>
  <c r="G12" i="6"/>
  <c r="F12" i="6"/>
  <c r="E12" i="6"/>
  <c r="D12" i="6"/>
  <c r="C12" i="6"/>
  <c r="G11" i="6"/>
  <c r="F11" i="6"/>
  <c r="E11" i="6"/>
  <c r="D11" i="6"/>
  <c r="C11" i="6"/>
  <c r="B27" i="3"/>
  <c r="B25" i="3"/>
  <c r="D25" i="3"/>
  <c r="E25" i="3"/>
  <c r="B26" i="3"/>
  <c r="D26" i="3"/>
  <c r="E26" i="3"/>
  <c r="B24" i="3"/>
  <c r="B18" i="3"/>
  <c r="D18" i="3"/>
  <c r="E18" i="3"/>
  <c r="B19" i="3"/>
  <c r="D19" i="3"/>
  <c r="E19" i="3"/>
  <c r="B20" i="3"/>
  <c r="B17" i="3"/>
  <c r="D9" i="3"/>
  <c r="E9" i="3"/>
  <c r="B10" i="3"/>
  <c r="D10" i="3"/>
  <c r="E10" i="3"/>
  <c r="B11" i="3"/>
  <c r="D11" i="3"/>
  <c r="E11" i="3"/>
  <c r="B12" i="3"/>
  <c r="D12" i="3"/>
  <c r="E12" i="3"/>
  <c r="B13" i="3"/>
  <c r="D2" i="3"/>
  <c r="E2" i="3"/>
  <c r="B3" i="3"/>
  <c r="D3" i="3"/>
  <c r="E3" i="3"/>
  <c r="B4" i="3"/>
  <c r="D4" i="3"/>
  <c r="E4" i="3"/>
  <c r="B5" i="3"/>
  <c r="D5" i="3"/>
  <c r="E5" i="3"/>
  <c r="B6" i="3"/>
  <c r="G9" i="6"/>
  <c r="F9" i="6"/>
  <c r="E9" i="6"/>
  <c r="D9" i="6"/>
  <c r="C9" i="6"/>
  <c r="G8" i="6"/>
  <c r="F8" i="6"/>
  <c r="E8" i="6"/>
  <c r="D8" i="6"/>
  <c r="G6" i="6"/>
  <c r="F6" i="6"/>
  <c r="E6" i="6"/>
  <c r="D6" i="6"/>
  <c r="C6" i="6"/>
  <c r="G5" i="6"/>
  <c r="F5" i="6"/>
  <c r="E34" i="3"/>
  <c r="E24" i="3"/>
  <c r="D24" i="3"/>
  <c r="E27" i="3"/>
  <c r="E23" i="3"/>
  <c r="E17" i="3"/>
  <c r="D17" i="3"/>
  <c r="E20" i="3"/>
  <c r="E16" i="3"/>
  <c r="E13" i="3"/>
  <c r="E6" i="3"/>
  <c r="F31" i="3"/>
  <c r="F32" i="3"/>
  <c r="F33" i="3"/>
  <c r="F34" i="3"/>
  <c r="F24" i="3"/>
  <c r="F25" i="3"/>
  <c r="F26" i="3"/>
  <c r="F27" i="3"/>
  <c r="F17" i="3"/>
  <c r="F18" i="3"/>
  <c r="F19" i="3"/>
  <c r="F20" i="3"/>
  <c r="F10" i="3"/>
  <c r="F11" i="3"/>
  <c r="F12" i="3"/>
  <c r="F13" i="3"/>
  <c r="F3" i="3"/>
  <c r="F4" i="3"/>
  <c r="F5" i="3"/>
  <c r="F6" i="3"/>
  <c r="M2" i="2"/>
  <c r="E5" i="6"/>
  <c r="D5" i="6"/>
  <c r="D23" i="3"/>
  <c r="D16" i="3"/>
  <c r="D34" i="3"/>
  <c r="D27" i="3"/>
  <c r="D20" i="3"/>
  <c r="D13" i="3"/>
  <c r="D6" i="3"/>
  <c r="C13" i="6"/>
  <c r="C10" i="6"/>
  <c r="C20" i="6"/>
  <c r="C38" i="6"/>
  <c r="B5" i="4"/>
  <c r="D4" i="6"/>
  <c r="D7" i="6"/>
  <c r="D10" i="6"/>
  <c r="D13" i="6"/>
  <c r="D16" i="6"/>
  <c r="D19" i="6"/>
  <c r="D24" i="6"/>
  <c r="D20" i="6"/>
  <c r="D38" i="6"/>
  <c r="B6" i="4"/>
  <c r="E4" i="6"/>
  <c r="E7" i="6"/>
  <c r="E10" i="6"/>
  <c r="E13" i="6"/>
  <c r="E16" i="6"/>
  <c r="E19" i="6"/>
  <c r="E20" i="6"/>
  <c r="E38" i="6"/>
  <c r="B7" i="4"/>
  <c r="F4" i="6"/>
  <c r="F7" i="6"/>
  <c r="F10" i="6"/>
  <c r="F13" i="6"/>
  <c r="F16" i="6"/>
  <c r="F19" i="6"/>
  <c r="F20" i="6"/>
  <c r="F38" i="6"/>
  <c r="B8" i="4"/>
  <c r="G4" i="6"/>
  <c r="G7" i="6"/>
  <c r="G10" i="6"/>
  <c r="G13" i="6"/>
  <c r="G16" i="6"/>
  <c r="G19" i="6"/>
  <c r="G24" i="6"/>
  <c r="G20" i="6"/>
  <c r="G38" i="6"/>
  <c r="B9" i="4"/>
  <c r="B10" i="4"/>
  <c r="B3" i="5"/>
  <c r="B4" i="5"/>
  <c r="B5" i="5"/>
  <c r="B6" i="5"/>
  <c r="B7" i="5"/>
  <c r="B8" i="5"/>
  <c r="B9" i="5"/>
  <c r="B2" i="5"/>
  <c r="B4" i="4"/>
  <c r="C4" i="9"/>
  <c r="F4" i="9"/>
  <c r="C5" i="9"/>
  <c r="F5" i="9"/>
  <c r="C7" i="9"/>
  <c r="F7" i="9"/>
  <c r="C26" i="6"/>
  <c r="C27" i="6"/>
  <c r="C28" i="6"/>
  <c r="C32" i="6"/>
  <c r="C25" i="6"/>
  <c r="D26" i="6"/>
  <c r="D27" i="6"/>
  <c r="D28" i="6"/>
  <c r="D32" i="6"/>
  <c r="D25" i="6"/>
  <c r="E26" i="6"/>
  <c r="E27" i="6"/>
  <c r="E28" i="6"/>
  <c r="E32" i="6"/>
  <c r="E25" i="6"/>
  <c r="F26" i="6"/>
  <c r="F27" i="6"/>
  <c r="F28" i="6"/>
  <c r="F32" i="6"/>
  <c r="F25" i="6"/>
  <c r="G26" i="6"/>
  <c r="G27" i="6"/>
  <c r="G28" i="6"/>
  <c r="G32" i="6"/>
  <c r="G25" i="6"/>
  <c r="P3" i="2"/>
  <c r="P4" i="2"/>
  <c r="P5" i="2"/>
  <c r="P6" i="2"/>
  <c r="P7" i="2"/>
  <c r="O3" i="2"/>
  <c r="O4" i="2"/>
  <c r="O5" i="2"/>
  <c r="O6" i="2"/>
  <c r="O7" i="2"/>
  <c r="N3" i="2"/>
  <c r="N4" i="2"/>
  <c r="N5" i="2"/>
  <c r="N6" i="2"/>
  <c r="N7" i="2"/>
  <c r="N2" i="2"/>
  <c r="O2" i="2"/>
  <c r="P2" i="2"/>
  <c r="M6" i="2"/>
  <c r="M3" i="2"/>
  <c r="M4" i="2"/>
  <c r="M5" i="2"/>
  <c r="M7" i="2"/>
  <c r="L2" i="2"/>
  <c r="C5" i="2"/>
  <c r="C7" i="2"/>
  <c r="C15" i="2"/>
  <c r="C47" i="2"/>
  <c r="C39" i="2"/>
  <c r="C31" i="2"/>
  <c r="C23" i="2"/>
  <c r="L3" i="2"/>
  <c r="L4" i="2"/>
  <c r="L5" i="2"/>
  <c r="L6" i="2"/>
  <c r="L7" i="2"/>
  <c r="L8" i="2"/>
  <c r="B37" i="6"/>
  <c r="B38" i="6"/>
  <c r="M8" i="2"/>
  <c r="B20" i="6"/>
  <c r="N8" i="2"/>
  <c r="O8" i="2"/>
  <c r="P8" i="2"/>
  <c r="J8" i="2"/>
  <c r="B10" i="8"/>
  <c r="A10" i="8"/>
  <c r="A9" i="8"/>
  <c r="B9" i="8"/>
</calcChain>
</file>

<file path=xl/sharedStrings.xml><?xml version="1.0" encoding="utf-8"?>
<sst xmlns="http://schemas.openxmlformats.org/spreadsheetml/2006/main" count="180" uniqueCount="90">
  <si>
    <t>Costos de producción</t>
  </si>
  <si>
    <t>Materia prima (semillas)</t>
  </si>
  <si>
    <t xml:space="preserve">Mantenimiento del terreno </t>
  </si>
  <si>
    <t xml:space="preserve">Mano de obra </t>
  </si>
  <si>
    <t xml:space="preserve">Mantenimiento de cultivos  </t>
  </si>
  <si>
    <t xml:space="preserve">Costos indirectos de fabricación </t>
  </si>
  <si>
    <t xml:space="preserve">Materia prima </t>
  </si>
  <si>
    <t xml:space="preserve">Empaque </t>
  </si>
  <si>
    <t>Distribución</t>
  </si>
  <si>
    <t xml:space="preserve">Publicidad </t>
  </si>
  <si>
    <t>Costo unitario producto 1</t>
  </si>
  <si>
    <t>Costo unitario producto 2</t>
  </si>
  <si>
    <t>Costo unitario producto 3</t>
  </si>
  <si>
    <t>Costo unitario producto 4</t>
  </si>
  <si>
    <t>Costo unitario producto 5</t>
  </si>
  <si>
    <t xml:space="preserve">Costos laborales </t>
  </si>
  <si>
    <t>Ventas del sector (unidades)</t>
  </si>
  <si>
    <t>Porcentaje sobre la brecha de mercado</t>
  </si>
  <si>
    <t>Unidades para producir</t>
  </si>
  <si>
    <t>Año 1</t>
  </si>
  <si>
    <t>Año 2</t>
  </si>
  <si>
    <t>Año 3</t>
  </si>
  <si>
    <t>Año 4</t>
  </si>
  <si>
    <t>Año 5</t>
  </si>
  <si>
    <t>INVERSIÓN INICIAL</t>
  </si>
  <si>
    <t>PORCENTAJE EFECTIVO</t>
  </si>
  <si>
    <t>CAPITAL EN EFECTIVO</t>
  </si>
  <si>
    <t xml:space="preserve">Dinero requerido para la creacion y puesta en marcha del proyecto </t>
  </si>
  <si>
    <t>Dinero entregado por cada socio para la compra de implementos necesarios para el desarrollo de las actividades propias del proyecto.</t>
  </si>
  <si>
    <t xml:space="preserve">EFECTIVO APORTADO </t>
  </si>
  <si>
    <t>APORTE FAMILIAR</t>
  </si>
  <si>
    <t>CONGUITO HABANERO</t>
  </si>
  <si>
    <t>Flujos de Caja</t>
  </si>
  <si>
    <t>VPN</t>
  </si>
  <si>
    <t>TIR</t>
  </si>
  <si>
    <t>Año 0</t>
  </si>
  <si>
    <t>Ingresos de caja</t>
  </si>
  <si>
    <t>Saldo del Año Anterior</t>
  </si>
  <si>
    <t>Precio</t>
  </si>
  <si>
    <t>Ventas producto 1</t>
  </si>
  <si>
    <t>Ventas producto 2</t>
  </si>
  <si>
    <t>Ventas producto 3</t>
  </si>
  <si>
    <t>Ventas producto 4</t>
  </si>
  <si>
    <t>Ventas producto 5</t>
  </si>
  <si>
    <t>Costos Fijos</t>
  </si>
  <si>
    <t>Luz</t>
  </si>
  <si>
    <t>Internet</t>
  </si>
  <si>
    <t>Elemento de Aseo</t>
  </si>
  <si>
    <t>Costos Nomina</t>
  </si>
  <si>
    <t>Dotación</t>
  </si>
  <si>
    <t>Saldo del Flujo del Año</t>
  </si>
  <si>
    <t xml:space="preserve">Mantenimiento de terrenos </t>
  </si>
  <si>
    <t xml:space="preserve">Empaques </t>
  </si>
  <si>
    <t xml:space="preserve">Mantenimiento y Distribucion </t>
  </si>
  <si>
    <t xml:space="preserve">Obra Fisicas de la Planta </t>
  </si>
  <si>
    <t>Mantenimiento de cultivos</t>
  </si>
  <si>
    <t xml:space="preserve">ESTADO DE RESULTADOS </t>
  </si>
  <si>
    <t>CUENTA</t>
  </si>
  <si>
    <t>VENTAS</t>
  </si>
  <si>
    <t>MARGEN DE CONT</t>
  </si>
  <si>
    <t>(-) COSTOS FIJOS</t>
  </si>
  <si>
    <t>UTILIDAD</t>
  </si>
  <si>
    <t>TIO</t>
  </si>
  <si>
    <t>Año</t>
  </si>
  <si>
    <t>Flujos de Efectivo</t>
  </si>
  <si>
    <t xml:space="preserve">Aporte capital </t>
  </si>
  <si>
    <t>FLUJO DE CAJA CONGUITO HABANERO</t>
  </si>
  <si>
    <t xml:space="preserve">Director general </t>
  </si>
  <si>
    <t xml:space="preserve">Directora financiera </t>
  </si>
  <si>
    <t xml:space="preserve">Director de produccion </t>
  </si>
  <si>
    <t xml:space="preserve">Distribución -  Logistica </t>
  </si>
  <si>
    <t>Operario fabricación</t>
  </si>
  <si>
    <t xml:space="preserve">Operario empaque </t>
  </si>
  <si>
    <t xml:space="preserve">TOTAL </t>
  </si>
  <si>
    <t>Producto 1</t>
  </si>
  <si>
    <t>Producto 2</t>
  </si>
  <si>
    <t>Producto 3</t>
  </si>
  <si>
    <t>Producto 4</t>
  </si>
  <si>
    <t>Producto 5</t>
  </si>
  <si>
    <t xml:space="preserve">   Mobiliario planta de produccion </t>
  </si>
  <si>
    <t xml:space="preserve">   Mobiliario Oficina</t>
  </si>
  <si>
    <t xml:space="preserve">Ventas X unidad </t>
  </si>
  <si>
    <t xml:space="preserve">Creciemiento en ventas </t>
  </si>
  <si>
    <t>Unidades a producir</t>
  </si>
  <si>
    <t xml:space="preserve">Total </t>
  </si>
  <si>
    <t>precio</t>
  </si>
  <si>
    <t xml:space="preserve">Unidades en perdidas </t>
  </si>
  <si>
    <t xml:space="preserve">Costos variables </t>
  </si>
  <si>
    <t xml:space="preserve">(-) COSTOS VARIABLES </t>
  </si>
  <si>
    <t xml:space="preserve">El costo unitario es lo que cuesta producir un solo producto en este caso los 500 gramos de fruto fresco Buenavista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</si>
</sst>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\ #,##0.00;[Red]\-&quot;$&quot;\ #,##0.00"/>
    <numFmt numFmtId="42" formatCode="_-&quot;$&quot;\ * #,##0_-;\-&quot;$&quot;\ * #,##0_-;_-&quot;$&quot;\ * &quot;-&quot;_-;_-@_-"/>
    <numFmt numFmtId="44" formatCode="_-&quot;$&quot;\ * #,##0.00_-;\-&quot;$&quot;\ * #,##0.00_-;_-&quot;$&quot;\ * &quot;-&quot;??_-;_-@_-"/>
    <numFmt numFmtId="165" formatCode="&quot;Total Apropiaciones &quot;[$$-240A]\ #,##0"/>
    <numFmt numFmtId="166" formatCode="_-&quot;$&quot;* #,##0_-;\-&quot;$&quot;* #,##0_-;_-&quot;$&quot;* &quot;-&quot;??_-;_-@_-"/>
    <numFmt numFmtId="167" formatCode="_-&quot;$&quot;\ * #,##0.00_-;\-&quot;$&quot;\ * #,##0.00_-;_-&quot;$&quot;\ * &quot;-&quot;_-;_-@_-"/>
    <numFmt numFmtId="168" formatCode="_-&quot;$&quot;\ * #,##0_-;\-&quot;$&quot;\ * #,##0_-;_-&quot;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118">
    <xf numFmtId="0" fontId="0" fillId="0" borderId="0" xfId="0"/>
    <xf numFmtId="0" fontId="0" fillId="0" borderId="1" xfId="0" applyFont="1" applyBorder="1" applyAlignment="1">
      <alignment horizontal="center" wrapText="1"/>
    </xf>
    <xf numFmtId="9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9" fontId="0" fillId="2" borderId="1" xfId="3" applyFon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0" fillId="2" borderId="1" xfId="1" applyNumberFormat="1" applyFont="1" applyFill="1" applyBorder="1"/>
    <xf numFmtId="0" fontId="0" fillId="0" borderId="1" xfId="0" applyBorder="1" applyAlignment="1">
      <alignment horizontal="center" vertical="center"/>
    </xf>
    <xf numFmtId="42" fontId="0" fillId="0" borderId="1" xfId="2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42" fontId="0" fillId="2" borderId="1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0" fontId="1" fillId="0" borderId="4" xfId="4" applyFont="1" applyBorder="1"/>
    <xf numFmtId="0" fontId="1" fillId="0" borderId="5" xfId="4" applyFont="1" applyBorder="1"/>
    <xf numFmtId="0" fontId="1" fillId="0" borderId="1" xfId="4" applyFont="1" applyBorder="1"/>
    <xf numFmtId="0" fontId="1" fillId="0" borderId="10" xfId="4" applyFont="1" applyBorder="1" applyAlignment="1">
      <alignment horizontal="left" indent="1"/>
    </xf>
    <xf numFmtId="0" fontId="1" fillId="0" borderId="1" xfId="4" applyFont="1" applyBorder="1" applyAlignment="1">
      <alignment horizontal="left" indent="1"/>
    </xf>
    <xf numFmtId="0" fontId="2" fillId="0" borderId="15" xfId="4" applyFont="1" applyBorder="1"/>
    <xf numFmtId="166" fontId="2" fillId="0" borderId="16" xfId="1" applyNumberFormat="1" applyFont="1" applyBorder="1"/>
    <xf numFmtId="166" fontId="1" fillId="0" borderId="5" xfId="1" applyNumberFormat="1" applyFont="1" applyBorder="1"/>
    <xf numFmtId="166" fontId="1" fillId="0" borderId="6" xfId="1" applyNumberFormat="1" applyFont="1" applyBorder="1"/>
    <xf numFmtId="166" fontId="1" fillId="0" borderId="13" xfId="1" applyNumberFormat="1" applyFont="1" applyBorder="1"/>
    <xf numFmtId="166" fontId="1" fillId="0" borderId="14" xfId="1" applyNumberFormat="1" applyFont="1" applyBorder="1"/>
    <xf numFmtId="0" fontId="2" fillId="0" borderId="20" xfId="4" applyFont="1" applyBorder="1"/>
    <xf numFmtId="0" fontId="2" fillId="0" borderId="21" xfId="4" applyFont="1" applyBorder="1"/>
    <xf numFmtId="166" fontId="2" fillId="0" borderId="21" xfId="1" applyNumberFormat="1" applyFont="1" applyBorder="1"/>
    <xf numFmtId="166" fontId="2" fillId="0" borderId="22" xfId="1" applyNumberFormat="1" applyFont="1" applyBorder="1"/>
    <xf numFmtId="0" fontId="1" fillId="0" borderId="12" xfId="4" applyFont="1" applyBorder="1"/>
    <xf numFmtId="0" fontId="1" fillId="0" borderId="13" xfId="4" applyFont="1" applyBorder="1"/>
    <xf numFmtId="0" fontId="2" fillId="0" borderId="4" xfId="4" applyFont="1" applyBorder="1"/>
    <xf numFmtId="0" fontId="2" fillId="0" borderId="5" xfId="4" applyFont="1" applyBorder="1"/>
    <xf numFmtId="166" fontId="2" fillId="0" borderId="5" xfId="1" applyNumberFormat="1" applyFont="1" applyBorder="1"/>
    <xf numFmtId="166" fontId="2" fillId="0" borderId="6" xfId="1" applyNumberFormat="1" applyFont="1" applyBorder="1"/>
    <xf numFmtId="0" fontId="1" fillId="0" borderId="7" xfId="4" applyFont="1" applyBorder="1" applyAlignment="1">
      <alignment horizontal="left" indent="1"/>
    </xf>
    <xf numFmtId="0" fontId="1" fillId="0" borderId="8" xfId="4" applyFont="1" applyBorder="1" applyAlignment="1">
      <alignment horizontal="left" indent="1"/>
    </xf>
    <xf numFmtId="166" fontId="1" fillId="0" borderId="8" xfId="1" applyNumberFormat="1" applyFont="1" applyBorder="1"/>
    <xf numFmtId="166" fontId="1" fillId="0" borderId="9" xfId="1" applyNumberFormat="1" applyFont="1" applyBorder="1"/>
    <xf numFmtId="0" fontId="2" fillId="0" borderId="1" xfId="0" applyFon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8" fontId="0" fillId="0" borderId="1" xfId="0" applyNumberFormat="1" applyBorder="1" applyAlignment="1">
      <alignment vertical="center"/>
    </xf>
    <xf numFmtId="0" fontId="1" fillId="0" borderId="17" xfId="4" applyFont="1" applyBorder="1" applyAlignment="1">
      <alignment horizontal="left" indent="1"/>
    </xf>
    <xf numFmtId="166" fontId="1" fillId="0" borderId="18" xfId="1" applyNumberFormat="1" applyFont="1" applyBorder="1"/>
    <xf numFmtId="166" fontId="1" fillId="0" borderId="19" xfId="1" applyNumberFormat="1" applyFont="1" applyBorder="1"/>
    <xf numFmtId="0" fontId="1" fillId="0" borderId="18" xfId="4" applyFont="1" applyBorder="1"/>
    <xf numFmtId="1" fontId="1" fillId="0" borderId="1" xfId="1" applyNumberFormat="1" applyFont="1" applyBorder="1"/>
    <xf numFmtId="1" fontId="1" fillId="0" borderId="1" xfId="4" applyNumberFormat="1" applyFont="1" applyBorder="1" applyAlignment="1"/>
    <xf numFmtId="1" fontId="1" fillId="0" borderId="11" xfId="1" applyNumberFormat="1" applyFont="1" applyBorder="1"/>
    <xf numFmtId="166" fontId="1" fillId="0" borderId="24" xfId="1" applyNumberFormat="1" applyFont="1" applyBorder="1"/>
    <xf numFmtId="166" fontId="1" fillId="0" borderId="25" xfId="1" applyNumberFormat="1" applyFont="1" applyBorder="1"/>
    <xf numFmtId="1" fontId="1" fillId="0" borderId="11" xfId="4" applyNumberFormat="1" applyFont="1" applyBorder="1" applyAlignment="1"/>
    <xf numFmtId="166" fontId="0" fillId="0" borderId="0" xfId="0" applyNumberFormat="1"/>
    <xf numFmtId="0" fontId="1" fillId="0" borderId="20" xfId="4" applyFont="1" applyBorder="1"/>
    <xf numFmtId="0" fontId="1" fillId="0" borderId="21" xfId="4" applyFont="1" applyBorder="1"/>
    <xf numFmtId="0" fontId="1" fillId="0" borderId="22" xfId="4" applyFont="1" applyBorder="1"/>
    <xf numFmtId="0" fontId="1" fillId="0" borderId="4" xfId="4" applyFont="1" applyBorder="1" applyAlignment="1">
      <alignment horizontal="left" indent="1"/>
    </xf>
    <xf numFmtId="0" fontId="1" fillId="0" borderId="5" xfId="4" applyFont="1" applyBorder="1" applyAlignment="1">
      <alignment horizontal="left" indent="1"/>
    </xf>
    <xf numFmtId="168" fontId="0" fillId="0" borderId="1" xfId="1" applyNumberFormat="1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9" fontId="0" fillId="2" borderId="1" xfId="3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168" fontId="0" fillId="0" borderId="2" xfId="1" applyNumberFormat="1" applyFont="1" applyBorder="1" applyAlignment="1">
      <alignment horizontal="center" wrapText="1"/>
    </xf>
    <xf numFmtId="168" fontId="0" fillId="0" borderId="3" xfId="1" applyNumberFormat="1" applyFont="1" applyBorder="1" applyAlignment="1">
      <alignment horizontal="center" wrapText="1"/>
    </xf>
    <xf numFmtId="165" fontId="2" fillId="2" borderId="2" xfId="0" applyNumberFormat="1" applyFont="1" applyFill="1" applyBorder="1" applyAlignment="1" applyProtection="1">
      <alignment horizontal="center" vertical="center"/>
      <protection hidden="1"/>
    </xf>
    <xf numFmtId="165" fontId="2" fillId="2" borderId="23" xfId="0" applyNumberFormat="1" applyFont="1" applyFill="1" applyBorder="1" applyAlignment="1" applyProtection="1">
      <alignment horizontal="center" vertical="center"/>
      <protection hidden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0" fontId="8" fillId="0" borderId="4" xfId="4" applyFont="1" applyBorder="1" applyAlignment="1">
      <alignment horizontal="center" vertical="center"/>
    </xf>
    <xf numFmtId="0" fontId="8" fillId="0" borderId="5" xfId="4" applyFont="1" applyBorder="1" applyAlignment="1">
      <alignment horizontal="center" vertical="center"/>
    </xf>
    <xf numFmtId="0" fontId="8" fillId="0" borderId="6" xfId="4" applyFont="1" applyBorder="1" applyAlignment="1">
      <alignment horizontal="center" vertical="center"/>
    </xf>
    <xf numFmtId="0" fontId="8" fillId="0" borderId="12" xfId="4" applyFont="1" applyBorder="1" applyAlignment="1">
      <alignment horizontal="center" vertical="center"/>
    </xf>
    <xf numFmtId="0" fontId="8" fillId="0" borderId="13" xfId="4" applyFont="1" applyBorder="1" applyAlignment="1">
      <alignment horizontal="center" vertical="center"/>
    </xf>
    <xf numFmtId="0" fontId="8" fillId="0" borderId="14" xfId="4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23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20" xfId="4" applyFont="1" applyBorder="1" applyAlignment="1">
      <alignment horizontal="left" indent="1"/>
    </xf>
    <xf numFmtId="166" fontId="1" fillId="0" borderId="21" xfId="1" applyNumberFormat="1" applyFont="1" applyBorder="1"/>
    <xf numFmtId="166" fontId="1" fillId="0" borderId="22" xfId="1" applyNumberFormat="1" applyFont="1" applyBorder="1"/>
    <xf numFmtId="168" fontId="2" fillId="0" borderId="16" xfId="1" applyNumberFormat="1" applyFont="1" applyBorder="1"/>
    <xf numFmtId="168" fontId="0" fillId="0" borderId="1" xfId="1" applyNumberFormat="1" applyFont="1" applyBorder="1" applyAlignment="1">
      <alignment horizontal="center" vertical="center" wrapText="1"/>
    </xf>
    <xf numFmtId="168" fontId="1" fillId="0" borderId="5" xfId="1" applyNumberFormat="1" applyFont="1" applyBorder="1"/>
    <xf numFmtId="168" fontId="1" fillId="0" borderId="6" xfId="1" applyNumberFormat="1" applyFont="1" applyBorder="1"/>
    <xf numFmtId="168" fontId="1" fillId="0" borderId="18" xfId="1" applyNumberFormat="1" applyFont="1" applyBorder="1"/>
    <xf numFmtId="168" fontId="1" fillId="0" borderId="19" xfId="1" applyNumberFormat="1" applyFont="1" applyBorder="1"/>
    <xf numFmtId="0" fontId="1" fillId="0" borderId="26" xfId="4" applyFont="1" applyBorder="1" applyAlignment="1">
      <alignment horizontal="left" indent="1"/>
    </xf>
    <xf numFmtId="0" fontId="1" fillId="0" borderId="24" xfId="4" applyFont="1" applyBorder="1"/>
    <xf numFmtId="168" fontId="1" fillId="0" borderId="24" xfId="1" applyNumberFormat="1" applyFont="1" applyBorder="1"/>
    <xf numFmtId="168" fontId="1" fillId="0" borderId="25" xfId="1" applyNumberFormat="1" applyFont="1" applyBorder="1"/>
    <xf numFmtId="168" fontId="0" fillId="0" borderId="1" xfId="1" applyNumberFormat="1" applyFont="1" applyBorder="1"/>
    <xf numFmtId="0" fontId="4" fillId="3" borderId="1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wrapText="1"/>
    </xf>
    <xf numFmtId="0" fontId="2" fillId="3" borderId="28" xfId="0" applyFont="1" applyFill="1" applyBorder="1" applyAlignment="1">
      <alignment horizontal="center" wrapText="1"/>
    </xf>
    <xf numFmtId="0" fontId="2" fillId="3" borderId="29" xfId="0" applyFont="1" applyFill="1" applyBorder="1" applyAlignment="1">
      <alignment horizontal="center" wrapText="1"/>
    </xf>
    <xf numFmtId="0" fontId="2" fillId="3" borderId="3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3" borderId="31" xfId="0" applyFont="1" applyFill="1" applyBorder="1" applyAlignment="1">
      <alignment horizontal="center" wrapText="1"/>
    </xf>
    <xf numFmtId="0" fontId="2" fillId="3" borderId="32" xfId="0" applyFont="1" applyFill="1" applyBorder="1" applyAlignment="1">
      <alignment horizontal="center" wrapText="1"/>
    </xf>
    <xf numFmtId="0" fontId="2" fillId="3" borderId="33" xfId="0" applyFont="1" applyFill="1" applyBorder="1" applyAlignment="1">
      <alignment horizontal="center" wrapText="1"/>
    </xf>
    <xf numFmtId="0" fontId="2" fillId="3" borderId="34" xfId="0" applyFont="1" applyFill="1" applyBorder="1" applyAlignment="1">
      <alignment horizontal="center" wrapText="1"/>
    </xf>
  </cellXfs>
  <cellStyles count="5">
    <cellStyle name="Moneda" xfId="1" builtinId="4"/>
    <cellStyle name="Moneda [0]" xfId="2" builtinId="7"/>
    <cellStyle name="Normal" xfId="0" builtinId="0"/>
    <cellStyle name="Normal 2" xfId="4" xr:uid="{F5D45FE5-094D-41F4-AAF4-5C756D4BBCD5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</xdr:row>
      <xdr:rowOff>0</xdr:rowOff>
    </xdr:from>
    <xdr:to>
      <xdr:col>5</xdr:col>
      <xdr:colOff>533400</xdr:colOff>
      <xdr:row>11</xdr:row>
      <xdr:rowOff>142875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64D9C464-D29E-CE66-FB00-63FF3AB74572}"/>
            </a:ext>
          </a:extLst>
        </xdr:cNvPr>
        <xdr:cNvCxnSpPr/>
      </xdr:nvCxnSpPr>
      <xdr:spPr>
        <a:xfrm>
          <a:off x="3495675" y="1524000"/>
          <a:ext cx="1266825" cy="714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123825</xdr:rowOff>
    </xdr:from>
    <xdr:to>
      <xdr:col>5</xdr:col>
      <xdr:colOff>523875</xdr:colOff>
      <xdr:row>14</xdr:row>
      <xdr:rowOff>180975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F683296-58CF-BBE7-C403-2BB89984FB70}"/>
            </a:ext>
          </a:extLst>
        </xdr:cNvPr>
        <xdr:cNvCxnSpPr/>
      </xdr:nvCxnSpPr>
      <xdr:spPr>
        <a:xfrm flipH="1">
          <a:off x="3467100" y="2219325"/>
          <a:ext cx="128587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blarevisa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ortizacion credito"/>
      <sheetName val="Balance general"/>
      <sheetName val="Estado de Resultados"/>
      <sheetName val="Flujo de Caja"/>
      <sheetName val="Ingenieria de Producto"/>
      <sheetName val="Depresiación"/>
      <sheetName val="Proyecciones de ventas"/>
      <sheetName val="Inversion Inicial"/>
      <sheetName val="VAN"/>
      <sheetName val="WACC"/>
      <sheetName val="TIR"/>
      <sheetName val="RELACION COSTO BENEFICIO"/>
      <sheetName val="PERIODO DE RECUPERACION"/>
      <sheetName val="APROPIACION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0">
          <cell r="B10">
            <v>0.21227647299999999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BE45-37FB-4F2F-8924-00FA7ED4CCFA}">
  <dimension ref="A1:D11"/>
  <sheetViews>
    <sheetView workbookViewId="0">
      <selection activeCell="B13" sqref="B13"/>
    </sheetView>
  </sheetViews>
  <sheetFormatPr baseColWidth="10" defaultRowHeight="15" x14ac:dyDescent="0.25"/>
  <cols>
    <col min="1" max="1" width="20.5703125" customWidth="1"/>
    <col min="2" max="2" width="17.140625" customWidth="1"/>
    <col min="4" max="4" width="18.5703125" customWidth="1"/>
  </cols>
  <sheetData>
    <row r="1" spans="1:4" x14ac:dyDescent="0.25">
      <c r="A1" s="73" t="s">
        <v>31</v>
      </c>
      <c r="B1" s="73"/>
      <c r="C1" s="73"/>
      <c r="D1" s="73"/>
    </row>
    <row r="2" spans="1:4" x14ac:dyDescent="0.25">
      <c r="A2" s="12" t="s">
        <v>24</v>
      </c>
      <c r="B2" s="70" t="s">
        <v>27</v>
      </c>
      <c r="C2" s="70"/>
      <c r="D2" s="70"/>
    </row>
    <row r="3" spans="1:4" x14ac:dyDescent="0.25">
      <c r="A3" s="13">
        <v>-5000000</v>
      </c>
      <c r="B3" s="70"/>
      <c r="C3" s="70"/>
      <c r="D3" s="70"/>
    </row>
    <row r="4" spans="1:4" x14ac:dyDescent="0.25">
      <c r="A4" s="69"/>
      <c r="B4" s="69"/>
      <c r="C4" s="69"/>
      <c r="D4" s="69"/>
    </row>
    <row r="5" spans="1:4" x14ac:dyDescent="0.25">
      <c r="A5" s="69" t="s">
        <v>29</v>
      </c>
      <c r="B5" s="69"/>
      <c r="C5" s="69"/>
      <c r="D5" s="69"/>
    </row>
    <row r="6" spans="1:4" ht="15" customHeight="1" x14ac:dyDescent="0.25">
      <c r="A6" s="69" t="s">
        <v>25</v>
      </c>
      <c r="B6" s="69"/>
      <c r="C6" s="70" t="s">
        <v>28</v>
      </c>
      <c r="D6" s="70"/>
    </row>
    <row r="7" spans="1:4" x14ac:dyDescent="0.25">
      <c r="A7" s="71">
        <v>1</v>
      </c>
      <c r="B7" s="71"/>
      <c r="C7" s="70"/>
      <c r="D7" s="70"/>
    </row>
    <row r="8" spans="1:4" x14ac:dyDescent="0.25">
      <c r="A8" s="8" t="s">
        <v>26</v>
      </c>
      <c r="B8" s="9" t="s">
        <v>30</v>
      </c>
      <c r="C8" s="70"/>
      <c r="D8" s="70"/>
    </row>
    <row r="9" spans="1:4" x14ac:dyDescent="0.25">
      <c r="A9" s="10">
        <f>A7/2</f>
        <v>0.5</v>
      </c>
      <c r="B9" s="10">
        <f>A7/2</f>
        <v>0.5</v>
      </c>
      <c r="C9" s="70"/>
      <c r="D9" s="70"/>
    </row>
    <row r="10" spans="1:4" x14ac:dyDescent="0.25">
      <c r="A10" s="11">
        <f>A3*A9</f>
        <v>-2500000</v>
      </c>
      <c r="B10" s="11">
        <f>A3*B9</f>
        <v>-2500000</v>
      </c>
      <c r="C10" s="70"/>
      <c r="D10" s="70"/>
    </row>
    <row r="11" spans="1:4" x14ac:dyDescent="0.25">
      <c r="A11" s="72"/>
      <c r="B11" s="72"/>
      <c r="C11" s="72"/>
      <c r="D11" s="72"/>
    </row>
  </sheetData>
  <mergeCells count="8">
    <mergeCell ref="A6:B6"/>
    <mergeCell ref="C6:D10"/>
    <mergeCell ref="A7:B7"/>
    <mergeCell ref="A11:D11"/>
    <mergeCell ref="A1:D1"/>
    <mergeCell ref="B2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E4E0-5CA3-4AEE-971A-C4A9B0B37E9A}">
  <dimension ref="A1:P47"/>
  <sheetViews>
    <sheetView workbookViewId="0">
      <selection activeCell="G23" sqref="G23"/>
    </sheetView>
  </sheetViews>
  <sheetFormatPr baseColWidth="10" defaultRowHeight="15" x14ac:dyDescent="0.25"/>
  <cols>
    <col min="2" max="2" width="17.7109375" customWidth="1"/>
    <col min="7" max="7" width="16.42578125" customWidth="1"/>
    <col min="8" max="8" width="4.42578125" customWidth="1"/>
    <col min="9" max="9" width="14.7109375" customWidth="1"/>
    <col min="12" max="12" width="16.5703125" customWidth="1"/>
    <col min="13" max="13" width="14.140625" customWidth="1"/>
    <col min="14" max="14" width="14.28515625" customWidth="1"/>
    <col min="15" max="15" width="12.7109375" customWidth="1"/>
    <col min="16" max="16" width="13.42578125" customWidth="1"/>
  </cols>
  <sheetData>
    <row r="1" spans="1:16" x14ac:dyDescent="0.25">
      <c r="A1" s="82" t="s">
        <v>0</v>
      </c>
      <c r="B1" s="82"/>
      <c r="C1" s="82"/>
      <c r="D1" s="82"/>
      <c r="G1" s="91" t="s">
        <v>15</v>
      </c>
      <c r="H1" s="92"/>
      <c r="I1" s="92"/>
      <c r="J1" s="92"/>
      <c r="K1" s="93"/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 x14ac:dyDescent="0.25">
      <c r="A2" s="81" t="s">
        <v>1</v>
      </c>
      <c r="B2" s="81"/>
      <c r="C2" s="98">
        <f>18000*10</f>
        <v>180000</v>
      </c>
      <c r="D2" s="98"/>
      <c r="G2" s="74" t="s">
        <v>67</v>
      </c>
      <c r="H2" s="75"/>
      <c r="I2" s="76"/>
      <c r="J2" s="77">
        <v>1000000</v>
      </c>
      <c r="K2" s="78"/>
      <c r="L2" s="68">
        <f>$J$2*12</f>
        <v>12000000</v>
      </c>
      <c r="M2" s="68">
        <f>L2+(L2*4%)</f>
        <v>12480000</v>
      </c>
      <c r="N2" s="68">
        <f>M2+(M2*4%)</f>
        <v>12979200</v>
      </c>
      <c r="O2" s="68">
        <f t="shared" ref="N2:P2" si="0">N2+(N2*4%)</f>
        <v>13498368</v>
      </c>
      <c r="P2" s="68">
        <f t="shared" si="0"/>
        <v>14038302.720000001</v>
      </c>
    </row>
    <row r="3" spans="1:16" x14ac:dyDescent="0.25">
      <c r="A3" s="81" t="s">
        <v>2</v>
      </c>
      <c r="B3" s="81"/>
      <c r="C3" s="98"/>
      <c r="D3" s="98"/>
      <c r="G3" s="74" t="s">
        <v>68</v>
      </c>
      <c r="H3" s="75"/>
      <c r="I3" s="76"/>
      <c r="J3" s="77">
        <v>900000</v>
      </c>
      <c r="K3" s="78"/>
      <c r="L3" s="68">
        <f>$J$3*9</f>
        <v>8100000</v>
      </c>
      <c r="M3" s="68">
        <f t="shared" ref="M3:P7" si="1">L3+(L3*4%)</f>
        <v>8424000</v>
      </c>
      <c r="N3" s="68">
        <f t="shared" si="1"/>
        <v>8760960</v>
      </c>
      <c r="O3" s="68">
        <f t="shared" si="1"/>
        <v>9111398.4000000004</v>
      </c>
      <c r="P3" s="68">
        <f t="shared" ref="P3" si="2">O3+(O3*8%)</f>
        <v>9840310.2719999999</v>
      </c>
    </row>
    <row r="4" spans="1:16" x14ac:dyDescent="0.25">
      <c r="A4" s="81" t="s">
        <v>4</v>
      </c>
      <c r="B4" s="81"/>
      <c r="C4" s="98"/>
      <c r="D4" s="98"/>
      <c r="G4" s="74" t="s">
        <v>69</v>
      </c>
      <c r="H4" s="75"/>
      <c r="I4" s="76"/>
      <c r="J4" s="77">
        <v>900000</v>
      </c>
      <c r="K4" s="78"/>
      <c r="L4" s="68">
        <f>$J$4*7</f>
        <v>6300000</v>
      </c>
      <c r="M4" s="68">
        <f t="shared" si="1"/>
        <v>6552000</v>
      </c>
      <c r="N4" s="68">
        <f t="shared" si="1"/>
        <v>6814080</v>
      </c>
      <c r="O4" s="68">
        <f t="shared" si="1"/>
        <v>7086643.2000000002</v>
      </c>
      <c r="P4" s="68">
        <f t="shared" ref="P4:P7" si="3">O4+(O4*8%)</f>
        <v>7653574.6560000004</v>
      </c>
    </row>
    <row r="5" spans="1:16" x14ac:dyDescent="0.25">
      <c r="A5" s="81" t="s">
        <v>3</v>
      </c>
      <c r="B5" s="81"/>
      <c r="C5" s="98">
        <f>L8</f>
        <v>38300000</v>
      </c>
      <c r="D5" s="98"/>
      <c r="G5" s="74" t="s">
        <v>70</v>
      </c>
      <c r="H5" s="75"/>
      <c r="I5" s="76"/>
      <c r="J5" s="77">
        <v>700000</v>
      </c>
      <c r="K5" s="78"/>
      <c r="L5" s="68">
        <f>$J$5*5</f>
        <v>3500000</v>
      </c>
      <c r="M5" s="68">
        <f t="shared" si="1"/>
        <v>3640000</v>
      </c>
      <c r="N5" s="68">
        <f t="shared" si="1"/>
        <v>3785600</v>
      </c>
      <c r="O5" s="68">
        <f t="shared" si="1"/>
        <v>3937024</v>
      </c>
      <c r="P5" s="68">
        <f t="shared" si="3"/>
        <v>4251985.9199999999</v>
      </c>
    </row>
    <row r="6" spans="1:16" x14ac:dyDescent="0.25">
      <c r="A6" s="81" t="s">
        <v>5</v>
      </c>
      <c r="B6" s="81"/>
      <c r="C6" s="98"/>
      <c r="D6" s="98"/>
      <c r="G6" s="74" t="s">
        <v>71</v>
      </c>
      <c r="H6" s="75"/>
      <c r="I6" s="76"/>
      <c r="J6" s="77">
        <v>700000</v>
      </c>
      <c r="K6" s="78"/>
      <c r="L6" s="68">
        <f>$J$6*6</f>
        <v>4200000</v>
      </c>
      <c r="M6" s="68">
        <f>L6+(L6*4%)</f>
        <v>4368000</v>
      </c>
      <c r="N6" s="68">
        <f t="shared" ref="N6:P7" si="4">M6+(M6*4%)</f>
        <v>4542720</v>
      </c>
      <c r="O6" s="68">
        <f t="shared" si="4"/>
        <v>4724428.7999999998</v>
      </c>
      <c r="P6" s="68">
        <f t="shared" si="3"/>
        <v>5102383.1040000003</v>
      </c>
    </row>
    <row r="7" spans="1:16" x14ac:dyDescent="0.25">
      <c r="A7" s="82" t="s">
        <v>84</v>
      </c>
      <c r="B7" s="82"/>
      <c r="C7" s="98">
        <f>SUM(C2:D6)</f>
        <v>38480000</v>
      </c>
      <c r="D7" s="98"/>
      <c r="G7" s="74" t="s">
        <v>72</v>
      </c>
      <c r="H7" s="75"/>
      <c r="I7" s="76"/>
      <c r="J7" s="77">
        <v>700000</v>
      </c>
      <c r="K7" s="78"/>
      <c r="L7" s="68">
        <f>$J$7*6</f>
        <v>4200000</v>
      </c>
      <c r="M7" s="68">
        <f t="shared" si="1"/>
        <v>4368000</v>
      </c>
      <c r="N7" s="68">
        <f t="shared" si="4"/>
        <v>4542720</v>
      </c>
      <c r="O7" s="68">
        <f t="shared" si="4"/>
        <v>4724428.7999999998</v>
      </c>
      <c r="P7" s="68">
        <f t="shared" si="3"/>
        <v>5102383.1040000003</v>
      </c>
    </row>
    <row r="8" spans="1:16" x14ac:dyDescent="0.25">
      <c r="G8" s="79" t="s">
        <v>73</v>
      </c>
      <c r="H8" s="80"/>
      <c r="I8" s="80"/>
      <c r="J8" s="77">
        <f>SUM(J2:K7)</f>
        <v>4900000</v>
      </c>
      <c r="K8" s="78"/>
      <c r="L8" s="68">
        <f>SUM(L2:L7)</f>
        <v>38300000</v>
      </c>
      <c r="M8" s="68">
        <f>SUM(M2:M7)</f>
        <v>39832000</v>
      </c>
      <c r="N8" s="68">
        <f>SUM(N2:N7)</f>
        <v>41425280</v>
      </c>
      <c r="O8" s="68">
        <f>SUM(O2:O7)</f>
        <v>43082291.199999988</v>
      </c>
      <c r="P8" s="68">
        <f>SUM(P2:P7)</f>
        <v>45988939.776000001</v>
      </c>
    </row>
    <row r="9" spans="1:16" x14ac:dyDescent="0.25">
      <c r="A9" s="82" t="s">
        <v>10</v>
      </c>
      <c r="B9" s="82"/>
      <c r="C9" s="82"/>
      <c r="D9" s="82"/>
    </row>
    <row r="10" spans="1:16" x14ac:dyDescent="0.25">
      <c r="A10" s="81" t="s">
        <v>6</v>
      </c>
      <c r="B10" s="81"/>
      <c r="C10" s="98">
        <v>150</v>
      </c>
      <c r="D10" s="98"/>
    </row>
    <row r="11" spans="1:16" ht="15" customHeight="1" thickBot="1" x14ac:dyDescent="0.3">
      <c r="A11" s="81" t="s">
        <v>3</v>
      </c>
      <c r="B11" s="81"/>
      <c r="C11" s="98"/>
      <c r="D11" s="98"/>
    </row>
    <row r="12" spans="1:16" ht="15" customHeight="1" x14ac:dyDescent="0.25">
      <c r="A12" s="81" t="s">
        <v>7</v>
      </c>
      <c r="B12" s="81"/>
      <c r="C12" s="98"/>
      <c r="D12" s="98"/>
      <c r="G12" s="109" t="s">
        <v>89</v>
      </c>
      <c r="H12" s="110"/>
      <c r="I12" s="111"/>
    </row>
    <row r="13" spans="1:16" ht="15" customHeight="1" x14ac:dyDescent="0.25">
      <c r="A13" s="81" t="s">
        <v>8</v>
      </c>
      <c r="B13" s="81"/>
      <c r="C13" s="98"/>
      <c r="D13" s="98"/>
      <c r="G13" s="112"/>
      <c r="H13" s="113"/>
      <c r="I13" s="114"/>
    </row>
    <row r="14" spans="1:16" ht="15" customHeight="1" x14ac:dyDescent="0.25">
      <c r="A14" s="81" t="s">
        <v>9</v>
      </c>
      <c r="B14" s="81"/>
      <c r="C14" s="98">
        <v>1050</v>
      </c>
      <c r="D14" s="98"/>
      <c r="G14" s="112"/>
      <c r="H14" s="113"/>
      <c r="I14" s="114"/>
    </row>
    <row r="15" spans="1:16" ht="15" customHeight="1" thickBot="1" x14ac:dyDescent="0.3">
      <c r="A15" s="82" t="s">
        <v>84</v>
      </c>
      <c r="B15" s="82"/>
      <c r="C15" s="98">
        <f>SUM(C10:D14)</f>
        <v>1200</v>
      </c>
      <c r="D15" s="98"/>
      <c r="G15" s="115"/>
      <c r="H15" s="116"/>
      <c r="I15" s="117"/>
    </row>
    <row r="17" spans="1:4" x14ac:dyDescent="0.25">
      <c r="A17" s="82" t="s">
        <v>11</v>
      </c>
      <c r="B17" s="82"/>
      <c r="C17" s="82"/>
      <c r="D17" s="82"/>
    </row>
    <row r="18" spans="1:4" x14ac:dyDescent="0.25">
      <c r="A18" s="81" t="s">
        <v>6</v>
      </c>
      <c r="B18" s="81"/>
      <c r="C18" s="83"/>
      <c r="D18" s="83"/>
    </row>
    <row r="19" spans="1:4" x14ac:dyDescent="0.25">
      <c r="A19" s="81" t="s">
        <v>3</v>
      </c>
      <c r="B19" s="81"/>
      <c r="C19" s="83"/>
      <c r="D19" s="83"/>
    </row>
    <row r="20" spans="1:4" x14ac:dyDescent="0.25">
      <c r="A20" s="81" t="s">
        <v>7</v>
      </c>
      <c r="B20" s="81"/>
      <c r="C20" s="83"/>
      <c r="D20" s="83"/>
    </row>
    <row r="21" spans="1:4" x14ac:dyDescent="0.25">
      <c r="A21" s="81" t="s">
        <v>8</v>
      </c>
      <c r="B21" s="81"/>
      <c r="C21" s="83"/>
      <c r="D21" s="83"/>
    </row>
    <row r="22" spans="1:4" x14ac:dyDescent="0.25">
      <c r="A22" s="81" t="s">
        <v>9</v>
      </c>
      <c r="B22" s="81"/>
      <c r="C22" s="83"/>
      <c r="D22" s="83"/>
    </row>
    <row r="23" spans="1:4" x14ac:dyDescent="0.25">
      <c r="A23" s="82" t="s">
        <v>84</v>
      </c>
      <c r="B23" s="82"/>
      <c r="C23" s="83">
        <f>SUM(C18:D22)</f>
        <v>0</v>
      </c>
      <c r="D23" s="83"/>
    </row>
    <row r="25" spans="1:4" x14ac:dyDescent="0.25">
      <c r="A25" s="82" t="s">
        <v>12</v>
      </c>
      <c r="B25" s="82"/>
      <c r="C25" s="82"/>
      <c r="D25" s="82"/>
    </row>
    <row r="26" spans="1:4" x14ac:dyDescent="0.25">
      <c r="A26" s="81" t="s">
        <v>6</v>
      </c>
      <c r="B26" s="81"/>
      <c r="C26" s="83"/>
      <c r="D26" s="83"/>
    </row>
    <row r="27" spans="1:4" x14ac:dyDescent="0.25">
      <c r="A27" s="81" t="s">
        <v>3</v>
      </c>
      <c r="B27" s="81"/>
      <c r="C27" s="83"/>
      <c r="D27" s="83"/>
    </row>
    <row r="28" spans="1:4" x14ac:dyDescent="0.25">
      <c r="A28" s="81" t="s">
        <v>7</v>
      </c>
      <c r="B28" s="81"/>
      <c r="C28" s="83"/>
      <c r="D28" s="83"/>
    </row>
    <row r="29" spans="1:4" x14ac:dyDescent="0.25">
      <c r="A29" s="81" t="s">
        <v>8</v>
      </c>
      <c r="B29" s="81"/>
      <c r="C29" s="83"/>
      <c r="D29" s="83"/>
    </row>
    <row r="30" spans="1:4" x14ac:dyDescent="0.25">
      <c r="A30" s="81" t="s">
        <v>9</v>
      </c>
      <c r="B30" s="81"/>
      <c r="C30" s="83"/>
      <c r="D30" s="83"/>
    </row>
    <row r="31" spans="1:4" x14ac:dyDescent="0.25">
      <c r="A31" s="82" t="s">
        <v>84</v>
      </c>
      <c r="B31" s="82"/>
      <c r="C31" s="83">
        <f>SUM(C26:D30)</f>
        <v>0</v>
      </c>
      <c r="D31" s="83"/>
    </row>
    <row r="33" spans="1:4" x14ac:dyDescent="0.25">
      <c r="A33" s="82" t="s">
        <v>13</v>
      </c>
      <c r="B33" s="82"/>
      <c r="C33" s="82"/>
      <c r="D33" s="82"/>
    </row>
    <row r="34" spans="1:4" x14ac:dyDescent="0.25">
      <c r="A34" s="81" t="s">
        <v>6</v>
      </c>
      <c r="B34" s="81"/>
      <c r="C34" s="83"/>
      <c r="D34" s="83"/>
    </row>
    <row r="35" spans="1:4" x14ac:dyDescent="0.25">
      <c r="A35" s="81" t="s">
        <v>3</v>
      </c>
      <c r="B35" s="81"/>
      <c r="C35" s="83"/>
      <c r="D35" s="83"/>
    </row>
    <row r="36" spans="1:4" x14ac:dyDescent="0.25">
      <c r="A36" s="81" t="s">
        <v>7</v>
      </c>
      <c r="B36" s="81"/>
      <c r="C36" s="83"/>
      <c r="D36" s="83"/>
    </row>
    <row r="37" spans="1:4" x14ac:dyDescent="0.25">
      <c r="A37" s="81" t="s">
        <v>8</v>
      </c>
      <c r="B37" s="81"/>
      <c r="C37" s="83"/>
      <c r="D37" s="83"/>
    </row>
    <row r="38" spans="1:4" x14ac:dyDescent="0.25">
      <c r="A38" s="81" t="s">
        <v>9</v>
      </c>
      <c r="B38" s="81"/>
      <c r="C38" s="83"/>
      <c r="D38" s="83"/>
    </row>
    <row r="39" spans="1:4" x14ac:dyDescent="0.25">
      <c r="A39" s="82" t="s">
        <v>84</v>
      </c>
      <c r="B39" s="82"/>
      <c r="C39" s="83">
        <f>SUM(C34:D38)</f>
        <v>0</v>
      </c>
      <c r="D39" s="83"/>
    </row>
    <row r="41" spans="1:4" x14ac:dyDescent="0.25">
      <c r="A41" s="82" t="s">
        <v>14</v>
      </c>
      <c r="B41" s="82"/>
      <c r="C41" s="82"/>
      <c r="D41" s="82"/>
    </row>
    <row r="42" spans="1:4" x14ac:dyDescent="0.25">
      <c r="A42" s="81" t="s">
        <v>6</v>
      </c>
      <c r="B42" s="81"/>
      <c r="C42" s="83"/>
      <c r="D42" s="83"/>
    </row>
    <row r="43" spans="1:4" x14ac:dyDescent="0.25">
      <c r="A43" s="81" t="s">
        <v>3</v>
      </c>
      <c r="B43" s="81"/>
      <c r="C43" s="83"/>
      <c r="D43" s="83"/>
    </row>
    <row r="44" spans="1:4" x14ac:dyDescent="0.25">
      <c r="A44" s="81" t="s">
        <v>7</v>
      </c>
      <c r="B44" s="81"/>
      <c r="C44" s="83"/>
      <c r="D44" s="83"/>
    </row>
    <row r="45" spans="1:4" x14ac:dyDescent="0.25">
      <c r="A45" s="81" t="s">
        <v>8</v>
      </c>
      <c r="B45" s="81"/>
      <c r="C45" s="83"/>
      <c r="D45" s="83"/>
    </row>
    <row r="46" spans="1:4" x14ac:dyDescent="0.25">
      <c r="A46" s="81" t="s">
        <v>9</v>
      </c>
      <c r="B46" s="81"/>
      <c r="C46" s="83"/>
      <c r="D46" s="83"/>
    </row>
    <row r="47" spans="1:4" x14ac:dyDescent="0.25">
      <c r="A47" s="82" t="s">
        <v>84</v>
      </c>
      <c r="B47" s="82"/>
      <c r="C47" s="83">
        <f>SUM(C42:D46)</f>
        <v>0</v>
      </c>
      <c r="D47" s="83"/>
    </row>
  </sheetData>
  <mergeCells count="94">
    <mergeCell ref="A31:B31"/>
    <mergeCell ref="C31:D31"/>
    <mergeCell ref="A39:B39"/>
    <mergeCell ref="C39:D39"/>
    <mergeCell ref="A47:B47"/>
    <mergeCell ref="C47:D47"/>
    <mergeCell ref="A15:B15"/>
    <mergeCell ref="C15:D15"/>
    <mergeCell ref="A23:B23"/>
    <mergeCell ref="C23:D23"/>
    <mergeCell ref="G12:I15"/>
    <mergeCell ref="A6:B6"/>
    <mergeCell ref="G1:K1"/>
    <mergeCell ref="A7:B7"/>
    <mergeCell ref="C7:D7"/>
    <mergeCell ref="A1:D1"/>
    <mergeCell ref="A2:B2"/>
    <mergeCell ref="A3:B3"/>
    <mergeCell ref="A4:B4"/>
    <mergeCell ref="A5:B5"/>
    <mergeCell ref="C2:D2"/>
    <mergeCell ref="C3:D3"/>
    <mergeCell ref="C4:D4"/>
    <mergeCell ref="C5:D5"/>
    <mergeCell ref="C6:D6"/>
    <mergeCell ref="A18:B18"/>
    <mergeCell ref="C18:D18"/>
    <mergeCell ref="A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7:D17"/>
    <mergeCell ref="A27:B27"/>
    <mergeCell ref="C27:D27"/>
    <mergeCell ref="A19:B19"/>
    <mergeCell ref="C19:D19"/>
    <mergeCell ref="A20:B20"/>
    <mergeCell ref="C20:D20"/>
    <mergeCell ref="A21:B21"/>
    <mergeCell ref="C21:D21"/>
    <mergeCell ref="A22:B22"/>
    <mergeCell ref="C22:D22"/>
    <mergeCell ref="A25:D25"/>
    <mergeCell ref="A26:B26"/>
    <mergeCell ref="C26:D26"/>
    <mergeCell ref="A28:B28"/>
    <mergeCell ref="C28:D28"/>
    <mergeCell ref="A29:B29"/>
    <mergeCell ref="C29:D29"/>
    <mergeCell ref="A30:B30"/>
    <mergeCell ref="C30:D30"/>
    <mergeCell ref="A42:B42"/>
    <mergeCell ref="C42:D42"/>
    <mergeCell ref="A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41:D41"/>
    <mergeCell ref="A46:B46"/>
    <mergeCell ref="C46:D46"/>
    <mergeCell ref="A43:B43"/>
    <mergeCell ref="C43:D43"/>
    <mergeCell ref="A44:B44"/>
    <mergeCell ref="C44:D44"/>
    <mergeCell ref="A45:B45"/>
    <mergeCell ref="C45:D45"/>
    <mergeCell ref="G7:I7"/>
    <mergeCell ref="J7:K7"/>
    <mergeCell ref="G2:I2"/>
    <mergeCell ref="J2:K2"/>
    <mergeCell ref="G6:I6"/>
    <mergeCell ref="J6:K6"/>
    <mergeCell ref="G8:I8"/>
    <mergeCell ref="G3:I3"/>
    <mergeCell ref="G4:I4"/>
    <mergeCell ref="G5:I5"/>
    <mergeCell ref="J3:K3"/>
    <mergeCell ref="J4:K4"/>
    <mergeCell ref="J5:K5"/>
    <mergeCell ref="J8:K8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5111-32FA-41FA-9F80-1AC5913CAD69}">
  <dimension ref="A1:F34"/>
  <sheetViews>
    <sheetView topLeftCell="A5" workbookViewId="0">
      <selection activeCell="G29" sqref="G29"/>
    </sheetView>
  </sheetViews>
  <sheetFormatPr baseColWidth="10" defaultRowHeight="15" x14ac:dyDescent="0.25"/>
  <cols>
    <col min="3" max="3" width="13.28515625" customWidth="1"/>
    <col min="6" max="6" width="12" bestFit="1" customWidth="1"/>
  </cols>
  <sheetData>
    <row r="1" spans="1:6" ht="45" x14ac:dyDescent="0.25">
      <c r="A1" s="108" t="s">
        <v>74</v>
      </c>
      <c r="B1" s="5" t="s">
        <v>16</v>
      </c>
      <c r="C1" s="5" t="s">
        <v>82</v>
      </c>
      <c r="D1" s="5" t="s">
        <v>83</v>
      </c>
      <c r="E1" s="5" t="s">
        <v>86</v>
      </c>
      <c r="F1" s="5" t="s">
        <v>85</v>
      </c>
    </row>
    <row r="2" spans="1:6" x14ac:dyDescent="0.25">
      <c r="A2" s="4" t="s">
        <v>19</v>
      </c>
      <c r="B2" s="6">
        <v>2000</v>
      </c>
      <c r="C2" s="2">
        <v>0.08</v>
      </c>
      <c r="D2" s="3">
        <f>B2*C2</f>
        <v>160</v>
      </c>
      <c r="E2" s="3">
        <f>B2*0.5%</f>
        <v>10</v>
      </c>
      <c r="F2" s="107">
        <v>13000</v>
      </c>
    </row>
    <row r="3" spans="1:6" x14ac:dyDescent="0.25">
      <c r="A3" s="4" t="s">
        <v>20</v>
      </c>
      <c r="B3" s="7">
        <f>B2+D2-E2</f>
        <v>2150</v>
      </c>
      <c r="C3" s="2">
        <v>0.08</v>
      </c>
      <c r="D3" s="3">
        <f>B3*C3</f>
        <v>172</v>
      </c>
      <c r="E3" s="3">
        <f>B3*0.5%</f>
        <v>10.75</v>
      </c>
      <c r="F3" s="107">
        <f>F2+(F2*12%)</f>
        <v>14560</v>
      </c>
    </row>
    <row r="4" spans="1:6" x14ac:dyDescent="0.25">
      <c r="A4" s="4" t="s">
        <v>21</v>
      </c>
      <c r="B4" s="7">
        <f t="shared" ref="B4:B6" si="0">B3+D3-E3</f>
        <v>2311.25</v>
      </c>
      <c r="C4" s="2">
        <v>0.1</v>
      </c>
      <c r="D4" s="3">
        <f t="shared" ref="D3:D6" si="1">B4*C4</f>
        <v>231.125</v>
      </c>
      <c r="E4" s="3">
        <f t="shared" ref="E3:E6" si="2">B4*0.5%</f>
        <v>11.55625</v>
      </c>
      <c r="F4" s="107">
        <f>F3+(F3*13%)</f>
        <v>16452.8</v>
      </c>
    </row>
    <row r="5" spans="1:6" x14ac:dyDescent="0.25">
      <c r="A5" s="4" t="s">
        <v>22</v>
      </c>
      <c r="B5" s="7">
        <f t="shared" si="0"/>
        <v>2530.8187499999999</v>
      </c>
      <c r="C5" s="2">
        <v>0.12</v>
      </c>
      <c r="D5" s="3">
        <f t="shared" si="1"/>
        <v>303.69824999999997</v>
      </c>
      <c r="E5" s="3">
        <f t="shared" si="2"/>
        <v>12.654093749999999</v>
      </c>
      <c r="F5" s="107">
        <f t="shared" ref="F5:F6" si="3">F4+(F4*13%)</f>
        <v>18591.664000000001</v>
      </c>
    </row>
    <row r="6" spans="1:6" x14ac:dyDescent="0.25">
      <c r="A6" s="4" t="s">
        <v>23</v>
      </c>
      <c r="B6" s="7">
        <f t="shared" si="0"/>
        <v>2821.8629062499999</v>
      </c>
      <c r="C6" s="2">
        <v>0.14000000000000001</v>
      </c>
      <c r="D6" s="3">
        <f t="shared" si="1"/>
        <v>395.06080687500003</v>
      </c>
      <c r="E6" s="3">
        <f t="shared" si="2"/>
        <v>14.10931453125</v>
      </c>
      <c r="F6" s="107">
        <f t="shared" si="3"/>
        <v>21008.580320000001</v>
      </c>
    </row>
    <row r="8" spans="1:6" ht="60" x14ac:dyDescent="0.25">
      <c r="A8" s="108" t="s">
        <v>75</v>
      </c>
      <c r="B8" s="5" t="s">
        <v>16</v>
      </c>
      <c r="C8" s="5" t="s">
        <v>17</v>
      </c>
      <c r="D8" s="5" t="s">
        <v>18</v>
      </c>
      <c r="E8" s="5" t="s">
        <v>86</v>
      </c>
      <c r="F8" s="5" t="s">
        <v>85</v>
      </c>
    </row>
    <row r="9" spans="1:6" x14ac:dyDescent="0.25">
      <c r="A9" s="4" t="s">
        <v>19</v>
      </c>
      <c r="B9" s="6">
        <v>1500</v>
      </c>
      <c r="C9" s="2">
        <v>0.08</v>
      </c>
      <c r="D9" s="3">
        <f>B9*C9</f>
        <v>120</v>
      </c>
      <c r="E9" s="3">
        <f>B9*0.5%</f>
        <v>7.5</v>
      </c>
      <c r="F9" s="107">
        <v>15000</v>
      </c>
    </row>
    <row r="10" spans="1:6" x14ac:dyDescent="0.25">
      <c r="A10" s="4" t="s">
        <v>20</v>
      </c>
      <c r="B10" s="7">
        <f>B9+D9-E9</f>
        <v>1612.5</v>
      </c>
      <c r="C10" s="2">
        <v>0.08</v>
      </c>
      <c r="D10" s="3">
        <f>B10*C10</f>
        <v>129</v>
      </c>
      <c r="E10" s="3">
        <f t="shared" ref="E10:E13" si="4">B10*0.5%</f>
        <v>8.0625</v>
      </c>
      <c r="F10" s="107">
        <f>F9+(F9*12%)</f>
        <v>16800</v>
      </c>
    </row>
    <row r="11" spans="1:6" x14ac:dyDescent="0.25">
      <c r="A11" s="4" t="s">
        <v>21</v>
      </c>
      <c r="B11" s="7">
        <f t="shared" ref="B11:B13" si="5">B10+D10-E10</f>
        <v>1733.4375</v>
      </c>
      <c r="C11" s="2">
        <v>0.1</v>
      </c>
      <c r="D11" s="3">
        <f t="shared" ref="D11:D13" si="6">B11*C11</f>
        <v>173.34375</v>
      </c>
      <c r="E11" s="3">
        <f t="shared" si="4"/>
        <v>8.6671875000000007</v>
      </c>
      <c r="F11" s="107">
        <f t="shared" ref="F11:F13" si="7">F10+(F10*12%)</f>
        <v>18816</v>
      </c>
    </row>
    <row r="12" spans="1:6" x14ac:dyDescent="0.25">
      <c r="A12" s="4" t="s">
        <v>22</v>
      </c>
      <c r="B12" s="7">
        <f t="shared" si="5"/>
        <v>1898.1140625</v>
      </c>
      <c r="C12" s="2">
        <v>0.12</v>
      </c>
      <c r="D12" s="3">
        <f t="shared" si="6"/>
        <v>227.77368749999999</v>
      </c>
      <c r="E12" s="3">
        <f t="shared" si="4"/>
        <v>9.4905703125000009</v>
      </c>
      <c r="F12" s="107">
        <f t="shared" si="7"/>
        <v>21073.919999999998</v>
      </c>
    </row>
    <row r="13" spans="1:6" x14ac:dyDescent="0.25">
      <c r="A13" s="4" t="s">
        <v>23</v>
      </c>
      <c r="B13" s="7">
        <f t="shared" si="5"/>
        <v>2116.3971796874998</v>
      </c>
      <c r="C13" s="2">
        <v>0.14000000000000001</v>
      </c>
      <c r="D13" s="3">
        <f t="shared" si="6"/>
        <v>296.29560515625002</v>
      </c>
      <c r="E13" s="3">
        <f t="shared" si="4"/>
        <v>10.5819858984375</v>
      </c>
      <c r="F13" s="107">
        <f t="shared" si="7"/>
        <v>23602.790399999998</v>
      </c>
    </row>
    <row r="15" spans="1:6" ht="60" x14ac:dyDescent="0.25">
      <c r="A15" s="108" t="s">
        <v>76</v>
      </c>
      <c r="B15" s="5" t="s">
        <v>16</v>
      </c>
      <c r="C15" s="5" t="s">
        <v>17</v>
      </c>
      <c r="D15" s="5" t="s">
        <v>18</v>
      </c>
      <c r="E15" s="5" t="s">
        <v>86</v>
      </c>
      <c r="F15" s="5" t="s">
        <v>85</v>
      </c>
    </row>
    <row r="16" spans="1:6" x14ac:dyDescent="0.25">
      <c r="A16" s="4" t="s">
        <v>19</v>
      </c>
      <c r="B16" s="6">
        <v>760</v>
      </c>
      <c r="C16" s="2">
        <v>0.08</v>
      </c>
      <c r="D16" s="3">
        <f>B16*C16</f>
        <v>60.800000000000004</v>
      </c>
      <c r="E16" s="3">
        <f>B16*0.5%</f>
        <v>3.8000000000000003</v>
      </c>
      <c r="F16" s="107">
        <v>4500</v>
      </c>
    </row>
    <row r="17" spans="1:6" x14ac:dyDescent="0.25">
      <c r="A17" s="4" t="s">
        <v>20</v>
      </c>
      <c r="B17" s="7">
        <f>B16+D16-E16</f>
        <v>817</v>
      </c>
      <c r="C17" s="2">
        <v>0.08</v>
      </c>
      <c r="D17" s="3">
        <f>B17*C17</f>
        <v>65.36</v>
      </c>
      <c r="E17" s="3">
        <f t="shared" ref="E17:E20" si="8">B17*0.5%</f>
        <v>4.085</v>
      </c>
      <c r="F17" s="107">
        <f>F16+(F16*12%)</f>
        <v>5040</v>
      </c>
    </row>
    <row r="18" spans="1:6" x14ac:dyDescent="0.25">
      <c r="A18" s="4" t="s">
        <v>21</v>
      </c>
      <c r="B18" s="7">
        <f t="shared" ref="B18:B20" si="9">B17+D17-E17</f>
        <v>878.27499999999998</v>
      </c>
      <c r="C18" s="2">
        <v>0.1</v>
      </c>
      <c r="D18" s="3">
        <f t="shared" ref="D18:D20" si="10">B18*C18</f>
        <v>87.827500000000001</v>
      </c>
      <c r="E18" s="3">
        <f t="shared" si="8"/>
        <v>4.391375</v>
      </c>
      <c r="F18" s="107">
        <f t="shared" ref="F18:F20" si="11">F17+(F17*12%)</f>
        <v>5644.8</v>
      </c>
    </row>
    <row r="19" spans="1:6" x14ac:dyDescent="0.25">
      <c r="A19" s="4" t="s">
        <v>22</v>
      </c>
      <c r="B19" s="7">
        <f t="shared" si="9"/>
        <v>961.71112499999992</v>
      </c>
      <c r="C19" s="2">
        <v>0.12</v>
      </c>
      <c r="D19" s="3">
        <f t="shared" si="10"/>
        <v>115.40533499999998</v>
      </c>
      <c r="E19" s="3">
        <f t="shared" si="8"/>
        <v>4.8085556249999994</v>
      </c>
      <c r="F19" s="107">
        <f t="shared" si="11"/>
        <v>6322.1760000000004</v>
      </c>
    </row>
    <row r="20" spans="1:6" x14ac:dyDescent="0.25">
      <c r="A20" s="4" t="s">
        <v>23</v>
      </c>
      <c r="B20" s="7">
        <f t="shared" si="9"/>
        <v>1072.3079043749999</v>
      </c>
      <c r="C20" s="2">
        <v>0.14000000000000001</v>
      </c>
      <c r="D20" s="3">
        <f t="shared" si="10"/>
        <v>150.12310661250001</v>
      </c>
      <c r="E20" s="3">
        <f t="shared" si="8"/>
        <v>5.3615395218749997</v>
      </c>
      <c r="F20" s="107">
        <f t="shared" si="11"/>
        <v>7080.8371200000001</v>
      </c>
    </row>
    <row r="22" spans="1:6" ht="60" x14ac:dyDescent="0.25">
      <c r="A22" s="108" t="s">
        <v>77</v>
      </c>
      <c r="B22" s="5" t="s">
        <v>16</v>
      </c>
      <c r="C22" s="5" t="s">
        <v>17</v>
      </c>
      <c r="D22" s="5" t="s">
        <v>18</v>
      </c>
      <c r="E22" s="5" t="s">
        <v>86</v>
      </c>
      <c r="F22" s="5" t="s">
        <v>85</v>
      </c>
    </row>
    <row r="23" spans="1:6" x14ac:dyDescent="0.25">
      <c r="A23" s="4" t="s">
        <v>19</v>
      </c>
      <c r="B23" s="6">
        <v>520</v>
      </c>
      <c r="C23" s="2">
        <v>0.08</v>
      </c>
      <c r="D23" s="3">
        <f>B23*C23</f>
        <v>41.6</v>
      </c>
      <c r="E23" s="3">
        <f>B23*0.5%</f>
        <v>2.6</v>
      </c>
      <c r="F23" s="107">
        <v>18000</v>
      </c>
    </row>
    <row r="24" spans="1:6" x14ac:dyDescent="0.25">
      <c r="A24" s="4" t="s">
        <v>20</v>
      </c>
      <c r="B24" s="7">
        <f>B23+D23-E23</f>
        <v>559</v>
      </c>
      <c r="C24" s="2">
        <v>0.08</v>
      </c>
      <c r="D24" s="3">
        <f>B24*C24</f>
        <v>44.72</v>
      </c>
      <c r="E24" s="3">
        <f t="shared" ref="E24:E27" si="12">B24*0.5%</f>
        <v>2.7949999999999999</v>
      </c>
      <c r="F24" s="107">
        <f>F23+(F23*12%)</f>
        <v>20160</v>
      </c>
    </row>
    <row r="25" spans="1:6" x14ac:dyDescent="0.25">
      <c r="A25" s="4" t="s">
        <v>21</v>
      </c>
      <c r="B25" s="7">
        <f t="shared" ref="B25:B27" si="13">B24+D24-E24</f>
        <v>600.92500000000007</v>
      </c>
      <c r="C25" s="2">
        <v>0.1</v>
      </c>
      <c r="D25" s="3">
        <f t="shared" ref="D25:D27" si="14">B25*C25</f>
        <v>60.092500000000008</v>
      </c>
      <c r="E25" s="3">
        <f t="shared" si="12"/>
        <v>3.0046250000000003</v>
      </c>
      <c r="F25" s="107">
        <f t="shared" ref="F25:F27" si="15">F24+(F24*12%)</f>
        <v>22579.200000000001</v>
      </c>
    </row>
    <row r="26" spans="1:6" x14ac:dyDescent="0.25">
      <c r="A26" s="4" t="s">
        <v>22</v>
      </c>
      <c r="B26" s="7">
        <f t="shared" si="13"/>
        <v>658.01287500000001</v>
      </c>
      <c r="C26" s="2">
        <v>0.12</v>
      </c>
      <c r="D26" s="3">
        <f t="shared" si="14"/>
        <v>78.961545000000001</v>
      </c>
      <c r="E26" s="3">
        <f t="shared" si="12"/>
        <v>3.290064375</v>
      </c>
      <c r="F26" s="107">
        <f t="shared" si="15"/>
        <v>25288.704000000002</v>
      </c>
    </row>
    <row r="27" spans="1:6" x14ac:dyDescent="0.25">
      <c r="A27" s="4" t="s">
        <v>23</v>
      </c>
      <c r="B27" s="7">
        <f>B26+D26-E26</f>
        <v>733.68435562499997</v>
      </c>
      <c r="C27" s="2">
        <v>0.14000000000000001</v>
      </c>
      <c r="D27" s="3">
        <f t="shared" si="14"/>
        <v>102.71580978750001</v>
      </c>
      <c r="E27" s="3">
        <f t="shared" si="12"/>
        <v>3.6684217781249999</v>
      </c>
      <c r="F27" s="107">
        <f t="shared" si="15"/>
        <v>28323.348480000001</v>
      </c>
    </row>
    <row r="29" spans="1:6" ht="60" x14ac:dyDescent="0.25">
      <c r="A29" s="108" t="s">
        <v>78</v>
      </c>
      <c r="B29" s="5" t="s">
        <v>16</v>
      </c>
      <c r="C29" s="5" t="s">
        <v>17</v>
      </c>
      <c r="D29" s="5" t="s">
        <v>18</v>
      </c>
      <c r="E29" s="5" t="s">
        <v>86</v>
      </c>
      <c r="F29" s="5" t="s">
        <v>85</v>
      </c>
    </row>
    <row r="30" spans="1:6" x14ac:dyDescent="0.25">
      <c r="A30" s="4" t="s">
        <v>19</v>
      </c>
      <c r="B30" s="6">
        <v>900</v>
      </c>
      <c r="C30" s="2">
        <v>0.08</v>
      </c>
      <c r="D30" s="3">
        <f>B30*C30</f>
        <v>72</v>
      </c>
      <c r="E30" s="3">
        <f>B30*0.5%</f>
        <v>4.5</v>
      </c>
      <c r="F30" s="107">
        <v>30000</v>
      </c>
    </row>
    <row r="31" spans="1:6" x14ac:dyDescent="0.25">
      <c r="A31" s="4" t="s">
        <v>20</v>
      </c>
      <c r="B31" s="7">
        <f>B30+D30-E30</f>
        <v>967.5</v>
      </c>
      <c r="C31" s="2">
        <v>0.08</v>
      </c>
      <c r="D31" s="3">
        <f>B31*C31</f>
        <v>77.400000000000006</v>
      </c>
      <c r="E31" s="3">
        <f t="shared" ref="E31:E34" si="16">B31*0.5%</f>
        <v>4.8375000000000004</v>
      </c>
      <c r="F31" s="107">
        <f>F30+(F30*12%)</f>
        <v>33600</v>
      </c>
    </row>
    <row r="32" spans="1:6" x14ac:dyDescent="0.25">
      <c r="A32" s="4" t="s">
        <v>21</v>
      </c>
      <c r="B32" s="7">
        <f t="shared" ref="B32:B34" si="17">B31+D31-E31</f>
        <v>1040.0625</v>
      </c>
      <c r="C32" s="2">
        <v>0.1</v>
      </c>
      <c r="D32" s="3">
        <f t="shared" ref="D32:D34" si="18">B32*C32</f>
        <v>104.00625000000001</v>
      </c>
      <c r="E32" s="3">
        <f t="shared" si="16"/>
        <v>5.2003124999999999</v>
      </c>
      <c r="F32" s="107">
        <f t="shared" ref="F32:F34" si="19">F31+(F31*12%)</f>
        <v>37632</v>
      </c>
    </row>
    <row r="33" spans="1:6" x14ac:dyDescent="0.25">
      <c r="A33" s="4" t="s">
        <v>22</v>
      </c>
      <c r="B33" s="7">
        <f t="shared" si="17"/>
        <v>1138.8684374999998</v>
      </c>
      <c r="C33" s="2">
        <v>0.12</v>
      </c>
      <c r="D33" s="3">
        <f t="shared" si="18"/>
        <v>136.66421249999996</v>
      </c>
      <c r="E33" s="3">
        <f t="shared" si="16"/>
        <v>5.6943421874999993</v>
      </c>
      <c r="F33" s="107">
        <f t="shared" si="19"/>
        <v>42147.839999999997</v>
      </c>
    </row>
    <row r="34" spans="1:6" x14ac:dyDescent="0.25">
      <c r="A34" s="4" t="s">
        <v>23</v>
      </c>
      <c r="B34" s="7">
        <f t="shared" si="17"/>
        <v>1269.8383078124996</v>
      </c>
      <c r="C34" s="2">
        <v>0.14000000000000001</v>
      </c>
      <c r="D34" s="3">
        <f t="shared" si="18"/>
        <v>177.77736309374995</v>
      </c>
      <c r="E34" s="3">
        <f t="shared" si="16"/>
        <v>6.349191539062498</v>
      </c>
      <c r="F34" s="107">
        <f t="shared" si="19"/>
        <v>47205.580799999996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CA96-EE51-49AE-8213-BB8854986C1B}">
  <dimension ref="A1:I38"/>
  <sheetViews>
    <sheetView topLeftCell="A3" workbookViewId="0">
      <selection activeCell="C15" sqref="C15"/>
    </sheetView>
  </sheetViews>
  <sheetFormatPr baseColWidth="10" defaultRowHeight="15" x14ac:dyDescent="0.25"/>
  <cols>
    <col min="1" max="1" width="31.85546875" customWidth="1"/>
    <col min="2" max="2" width="15.28515625" customWidth="1"/>
    <col min="3" max="3" width="15.5703125" bestFit="1" customWidth="1"/>
    <col min="4" max="4" width="14" customWidth="1"/>
    <col min="5" max="5" width="13.7109375" customWidth="1"/>
    <col min="6" max="6" width="14.42578125" customWidth="1"/>
    <col min="7" max="7" width="13.28515625" customWidth="1"/>
  </cols>
  <sheetData>
    <row r="1" spans="1:7" x14ac:dyDescent="0.25">
      <c r="A1" s="84" t="s">
        <v>66</v>
      </c>
      <c r="B1" s="85"/>
      <c r="C1" s="85"/>
      <c r="D1" s="85"/>
      <c r="E1" s="85"/>
      <c r="F1" s="85"/>
      <c r="G1" s="86"/>
    </row>
    <row r="2" spans="1:7" ht="15.75" thickBot="1" x14ac:dyDescent="0.3">
      <c r="A2" s="87"/>
      <c r="B2" s="88"/>
      <c r="C2" s="88"/>
      <c r="D2" s="88"/>
      <c r="E2" s="88"/>
      <c r="F2" s="88"/>
      <c r="G2" s="89"/>
    </row>
    <row r="3" spans="1:7" ht="15.75" thickBot="1" x14ac:dyDescent="0.3">
      <c r="A3" s="63"/>
      <c r="B3" s="64" t="s">
        <v>35</v>
      </c>
      <c r="C3" s="64" t="s">
        <v>19</v>
      </c>
      <c r="D3" s="64" t="s">
        <v>20</v>
      </c>
      <c r="E3" s="64" t="s">
        <v>21</v>
      </c>
      <c r="F3" s="64" t="s">
        <v>22</v>
      </c>
      <c r="G3" s="65" t="s">
        <v>23</v>
      </c>
    </row>
    <row r="4" spans="1:7" x14ac:dyDescent="0.25">
      <c r="A4" s="38" t="s">
        <v>39</v>
      </c>
      <c r="B4" s="39"/>
      <c r="C4" s="40">
        <f>C6*C5</f>
        <v>26000000</v>
      </c>
      <c r="D4" s="40">
        <f t="shared" ref="D4:G4" si="0">D6*D5</f>
        <v>31304000</v>
      </c>
      <c r="E4" s="40">
        <f t="shared" si="0"/>
        <v>38026534</v>
      </c>
      <c r="F4" s="40">
        <f t="shared" si="0"/>
        <v>47052131.844899997</v>
      </c>
      <c r="G4" s="41">
        <f t="shared" si="0"/>
        <v>59283333.517981753</v>
      </c>
    </row>
    <row r="5" spans="1:7" x14ac:dyDescent="0.25">
      <c r="A5" s="24" t="s">
        <v>81</v>
      </c>
      <c r="B5" s="25"/>
      <c r="C5" s="56">
        <f>'Proyeccion financiera'!B2</f>
        <v>2000</v>
      </c>
      <c r="D5" s="56">
        <f>'Proyeccion financiera'!B3</f>
        <v>2150</v>
      </c>
      <c r="E5" s="56">
        <f>'Proyeccion financiera'!B4</f>
        <v>2311.25</v>
      </c>
      <c r="F5" s="56">
        <f>'Proyeccion financiera'!B5</f>
        <v>2530.8187499999999</v>
      </c>
      <c r="G5" s="56">
        <f>'Proyeccion financiera'!B6</f>
        <v>2821.8629062499999</v>
      </c>
    </row>
    <row r="6" spans="1:7" ht="15.75" thickBot="1" x14ac:dyDescent="0.3">
      <c r="A6" s="42" t="s">
        <v>38</v>
      </c>
      <c r="B6" s="43"/>
      <c r="C6" s="44">
        <f>'Proyeccion financiera'!F2</f>
        <v>13000</v>
      </c>
      <c r="D6" s="44">
        <f>'Proyeccion financiera'!F3</f>
        <v>14560</v>
      </c>
      <c r="E6" s="44">
        <f>'Proyeccion financiera'!F4</f>
        <v>16452.8</v>
      </c>
      <c r="F6" s="44">
        <f>'Proyeccion financiera'!F5</f>
        <v>18591.664000000001</v>
      </c>
      <c r="G6" s="45">
        <f>'Proyeccion financiera'!F6</f>
        <v>21008.580320000001</v>
      </c>
    </row>
    <row r="7" spans="1:7" x14ac:dyDescent="0.25">
      <c r="A7" s="38" t="s">
        <v>40</v>
      </c>
      <c r="B7" s="39"/>
      <c r="C7" s="40">
        <f>C9*C8</f>
        <v>22500000</v>
      </c>
      <c r="D7" s="40">
        <f t="shared" ref="D7:F7" si="1">D9*D8</f>
        <v>27090000</v>
      </c>
      <c r="E7" s="40">
        <f t="shared" si="1"/>
        <v>32616360</v>
      </c>
      <c r="F7" s="40">
        <f t="shared" si="1"/>
        <v>40000703.903999999</v>
      </c>
      <c r="G7" s="41">
        <f>G9*G8</f>
        <v>49952879.035315193</v>
      </c>
    </row>
    <row r="8" spans="1:7" x14ac:dyDescent="0.25">
      <c r="A8" s="24" t="s">
        <v>81</v>
      </c>
      <c r="B8" s="25"/>
      <c r="C8" s="56">
        <f>'Proyeccion financiera'!B9</f>
        <v>1500</v>
      </c>
      <c r="D8" s="56">
        <f>'Proyeccion financiera'!B10</f>
        <v>1612.5</v>
      </c>
      <c r="E8" s="56">
        <f>'Proyeccion financiera'!B11</f>
        <v>1733.4375</v>
      </c>
      <c r="F8" s="56">
        <f>'Proyeccion financiera'!B12</f>
        <v>1898.1140625</v>
      </c>
      <c r="G8" s="58">
        <f>'Proyeccion financiera'!B13</f>
        <v>2116.3971796874998</v>
      </c>
    </row>
    <row r="9" spans="1:7" ht="15.75" thickBot="1" x14ac:dyDescent="0.3">
      <c r="A9" s="42" t="s">
        <v>38</v>
      </c>
      <c r="B9" s="43"/>
      <c r="C9" s="59">
        <f>'Proyeccion financiera'!F9</f>
        <v>15000</v>
      </c>
      <c r="D9" s="59">
        <f>'Proyeccion financiera'!F10</f>
        <v>16800</v>
      </c>
      <c r="E9" s="59">
        <f>'Proyeccion financiera'!F11</f>
        <v>18816</v>
      </c>
      <c r="F9" s="59">
        <f>'Proyeccion financiera'!F12</f>
        <v>21073.919999999998</v>
      </c>
      <c r="G9" s="60">
        <f>'Proyeccion financiera'!F13</f>
        <v>23602.790399999998</v>
      </c>
    </row>
    <row r="10" spans="1:7" x14ac:dyDescent="0.25">
      <c r="A10" s="38" t="s">
        <v>41</v>
      </c>
      <c r="B10" s="39"/>
      <c r="C10" s="40">
        <f>C12*C11</f>
        <v>3420000</v>
      </c>
      <c r="D10" s="40">
        <f t="shared" ref="D10:G10" si="2">D12*D11</f>
        <v>4117680</v>
      </c>
      <c r="E10" s="40">
        <f t="shared" si="2"/>
        <v>4957686.72</v>
      </c>
      <c r="F10" s="40">
        <f t="shared" si="2"/>
        <v>6080106.9934080001</v>
      </c>
      <c r="G10" s="41">
        <f t="shared" si="2"/>
        <v>7592837.6133679096</v>
      </c>
    </row>
    <row r="11" spans="1:7" x14ac:dyDescent="0.25">
      <c r="A11" s="24" t="s">
        <v>81</v>
      </c>
      <c r="B11" s="25"/>
      <c r="C11" s="57">
        <f>'Proyeccion financiera'!B16</f>
        <v>760</v>
      </c>
      <c r="D11" s="57">
        <f>'Proyeccion financiera'!B17</f>
        <v>817</v>
      </c>
      <c r="E11" s="57">
        <f>'Proyeccion financiera'!B18</f>
        <v>878.27499999999998</v>
      </c>
      <c r="F11" s="57">
        <f>'Proyeccion financiera'!B19</f>
        <v>961.71112499999992</v>
      </c>
      <c r="G11" s="61">
        <f>'Proyeccion financiera'!B20</f>
        <v>1072.3079043749999</v>
      </c>
    </row>
    <row r="12" spans="1:7" ht="15.75" thickBot="1" x14ac:dyDescent="0.3">
      <c r="A12" s="42" t="s">
        <v>38</v>
      </c>
      <c r="B12" s="43"/>
      <c r="C12" s="59">
        <f>'Proyeccion financiera'!F16</f>
        <v>4500</v>
      </c>
      <c r="D12" s="59">
        <f>'Proyeccion financiera'!F17</f>
        <v>5040</v>
      </c>
      <c r="E12" s="59">
        <f>'Proyeccion financiera'!F18</f>
        <v>5644.8</v>
      </c>
      <c r="F12" s="59">
        <f>'Proyeccion financiera'!F19</f>
        <v>6322.1760000000004</v>
      </c>
      <c r="G12" s="60">
        <f>'Proyeccion financiera'!F20</f>
        <v>7080.8371200000001</v>
      </c>
    </row>
    <row r="13" spans="1:7" x14ac:dyDescent="0.25">
      <c r="A13" s="38" t="s">
        <v>42</v>
      </c>
      <c r="B13" s="39"/>
      <c r="C13" s="40">
        <f>C15*C14</f>
        <v>9360000</v>
      </c>
      <c r="D13" s="40">
        <f t="shared" ref="D13:G13" si="3">D15*D14</f>
        <v>11269440</v>
      </c>
      <c r="E13" s="40">
        <f t="shared" si="3"/>
        <v>13568405.760000002</v>
      </c>
      <c r="F13" s="40">
        <f t="shared" si="3"/>
        <v>16640292.824064001</v>
      </c>
      <c r="G13" s="41">
        <f t="shared" si="3"/>
        <v>20780397.678691123</v>
      </c>
    </row>
    <row r="14" spans="1:7" x14ac:dyDescent="0.25">
      <c r="A14" s="24" t="s">
        <v>81</v>
      </c>
      <c r="B14" s="25"/>
      <c r="C14" s="57">
        <f>'Proyeccion financiera'!B23</f>
        <v>520</v>
      </c>
      <c r="D14" s="57">
        <f>'Proyeccion financiera'!B24</f>
        <v>559</v>
      </c>
      <c r="E14" s="57">
        <f>'Proyeccion financiera'!B25</f>
        <v>600.92500000000007</v>
      </c>
      <c r="F14" s="57">
        <f>'Proyeccion financiera'!B26</f>
        <v>658.01287500000001</v>
      </c>
      <c r="G14" s="61">
        <f>'Proyeccion financiera'!B27</f>
        <v>733.68435562499997</v>
      </c>
    </row>
    <row r="15" spans="1:7" ht="15.75" thickBot="1" x14ac:dyDescent="0.3">
      <c r="A15" s="42" t="s">
        <v>38</v>
      </c>
      <c r="B15" s="43"/>
      <c r="C15" s="59">
        <f>'Proyeccion financiera'!F23</f>
        <v>18000</v>
      </c>
      <c r="D15" s="59">
        <f>'Proyeccion financiera'!F24</f>
        <v>20160</v>
      </c>
      <c r="E15" s="59">
        <f>'Proyeccion financiera'!F25</f>
        <v>22579.200000000001</v>
      </c>
      <c r="F15" s="59">
        <f>'Proyeccion financiera'!F26</f>
        <v>25288.704000000002</v>
      </c>
      <c r="G15" s="60">
        <f>'Proyeccion financiera'!F27</f>
        <v>28323.348480000001</v>
      </c>
    </row>
    <row r="16" spans="1:7" x14ac:dyDescent="0.25">
      <c r="A16" s="38" t="s">
        <v>43</v>
      </c>
      <c r="B16" s="39"/>
      <c r="C16" s="40">
        <f>C18*C17</f>
        <v>27000000</v>
      </c>
      <c r="D16" s="40">
        <f t="shared" ref="D16:G16" si="4">D18*D17</f>
        <v>32508000</v>
      </c>
      <c r="E16" s="40">
        <f t="shared" si="4"/>
        <v>39139632</v>
      </c>
      <c r="F16" s="40">
        <f t="shared" si="4"/>
        <v>48000844.684799984</v>
      </c>
      <c r="G16" s="41">
        <f t="shared" si="4"/>
        <v>59943454.842378214</v>
      </c>
    </row>
    <row r="17" spans="1:9" x14ac:dyDescent="0.25">
      <c r="A17" s="24" t="s">
        <v>81</v>
      </c>
      <c r="B17" s="25"/>
      <c r="C17" s="57">
        <f>'Proyeccion financiera'!B30</f>
        <v>900</v>
      </c>
      <c r="D17" s="57">
        <f>'Proyeccion financiera'!B31</f>
        <v>967.5</v>
      </c>
      <c r="E17" s="57">
        <f>'Proyeccion financiera'!B32</f>
        <v>1040.0625</v>
      </c>
      <c r="F17" s="57">
        <f>'Proyeccion financiera'!B33</f>
        <v>1138.8684374999998</v>
      </c>
      <c r="G17" s="61">
        <f>'Proyeccion financiera'!B34</f>
        <v>1269.8383078124996</v>
      </c>
    </row>
    <row r="18" spans="1:9" ht="15.75" thickBot="1" x14ac:dyDescent="0.3">
      <c r="A18" s="42" t="s">
        <v>38</v>
      </c>
      <c r="B18" s="43"/>
      <c r="C18" s="59">
        <f>'Proyeccion financiera'!F30</f>
        <v>30000</v>
      </c>
      <c r="D18" s="59">
        <f>'Proyeccion financiera'!F31</f>
        <v>33600</v>
      </c>
      <c r="E18" s="59">
        <f>'Proyeccion financiera'!F32</f>
        <v>37632</v>
      </c>
      <c r="F18" s="59">
        <f>'Proyeccion financiera'!F33</f>
        <v>42147.839999999997</v>
      </c>
      <c r="G18" s="60">
        <f>'Proyeccion financiera'!F34</f>
        <v>47205.580799999996</v>
      </c>
    </row>
    <row r="19" spans="1:9" ht="15.75" thickBot="1" x14ac:dyDescent="0.3">
      <c r="A19" s="32" t="s">
        <v>36</v>
      </c>
      <c r="B19" s="33"/>
      <c r="C19" s="34">
        <f>C4+C7+C10+C13+C16</f>
        <v>88280000</v>
      </c>
      <c r="D19" s="34">
        <f t="shared" ref="D19:G19" si="5">D4+D7+D10+D13+D16</f>
        <v>106289120</v>
      </c>
      <c r="E19" s="34">
        <f t="shared" si="5"/>
        <v>128308618.48</v>
      </c>
      <c r="F19" s="34">
        <f t="shared" si="5"/>
        <v>157774080.25117198</v>
      </c>
      <c r="G19" s="34">
        <f t="shared" si="5"/>
        <v>197552902.68773419</v>
      </c>
      <c r="I19" s="62"/>
    </row>
    <row r="20" spans="1:9" ht="15.75" thickBot="1" x14ac:dyDescent="0.3">
      <c r="A20" s="26" t="s">
        <v>37</v>
      </c>
      <c r="B20" s="97">
        <f>'Inversion inicial '!A3</f>
        <v>-5000000</v>
      </c>
      <c r="C20" s="27">
        <f>C19-C24-C25</f>
        <v>38220000</v>
      </c>
      <c r="D20" s="27">
        <f>D19-D24-D25</f>
        <v>59297120</v>
      </c>
      <c r="E20" s="27">
        <f t="shared" ref="D20:G20" si="6">E19-E24-E25</f>
        <v>80393338.480000004</v>
      </c>
      <c r="F20" s="27">
        <f t="shared" si="6"/>
        <v>106051789.05117199</v>
      </c>
      <c r="G20" s="27">
        <f t="shared" si="6"/>
        <v>142603962.91173419</v>
      </c>
      <c r="I20" s="62"/>
    </row>
    <row r="21" spans="1:9" x14ac:dyDescent="0.25">
      <c r="A21" s="21" t="s">
        <v>79</v>
      </c>
      <c r="B21" s="22"/>
      <c r="C21" s="28">
        <v>3000000</v>
      </c>
      <c r="D21" s="28">
        <v>2000000</v>
      </c>
      <c r="E21" s="28"/>
      <c r="F21" s="28">
        <v>5000000</v>
      </c>
      <c r="G21" s="29"/>
    </row>
    <row r="22" spans="1:9" x14ac:dyDescent="0.25">
      <c r="A22" s="24" t="s">
        <v>54</v>
      </c>
      <c r="B22" s="23"/>
      <c r="C22" s="53">
        <v>3000000</v>
      </c>
      <c r="D22" s="53">
        <v>2000000</v>
      </c>
      <c r="E22" s="53"/>
      <c r="F22" s="53"/>
      <c r="G22" s="54">
        <v>3000000</v>
      </c>
    </row>
    <row r="23" spans="1:9" ht="15.75" thickBot="1" x14ac:dyDescent="0.3">
      <c r="A23" s="36" t="s">
        <v>80</v>
      </c>
      <c r="B23" s="37"/>
      <c r="C23" s="30">
        <v>2500000</v>
      </c>
      <c r="D23" s="30"/>
      <c r="E23" s="30">
        <v>3000000</v>
      </c>
      <c r="F23" s="30"/>
      <c r="G23" s="31">
        <v>2000000</v>
      </c>
    </row>
    <row r="24" spans="1:9" ht="15.75" thickBot="1" x14ac:dyDescent="0.3">
      <c r="A24" s="32" t="s">
        <v>87</v>
      </c>
      <c r="B24" s="64"/>
      <c r="C24" s="95">
        <f>SUM(C21:C23)</f>
        <v>8500000</v>
      </c>
      <c r="D24" s="95">
        <f t="shared" ref="D24:G24" si="7">SUM(D21:D23)</f>
        <v>4000000</v>
      </c>
      <c r="E24" s="95">
        <f t="shared" si="7"/>
        <v>3000000</v>
      </c>
      <c r="F24" s="95">
        <f t="shared" si="7"/>
        <v>5000000</v>
      </c>
      <c r="G24" s="95">
        <f t="shared" si="7"/>
        <v>5000000</v>
      </c>
    </row>
    <row r="25" spans="1:9" ht="15.75" thickBot="1" x14ac:dyDescent="0.3">
      <c r="A25" s="32" t="s">
        <v>44</v>
      </c>
      <c r="B25" s="33"/>
      <c r="C25" s="34">
        <f>SUM(C26:C36)</f>
        <v>41560000</v>
      </c>
      <c r="D25" s="34">
        <f t="shared" ref="D25:G25" si="8">SUM(D26:D37)</f>
        <v>42992000</v>
      </c>
      <c r="E25" s="34">
        <f t="shared" si="8"/>
        <v>44915280</v>
      </c>
      <c r="F25" s="34">
        <f t="shared" si="8"/>
        <v>46722291.199999988</v>
      </c>
      <c r="G25" s="35">
        <f t="shared" si="8"/>
        <v>49948939.776000001</v>
      </c>
    </row>
    <row r="26" spans="1:9" x14ac:dyDescent="0.25">
      <c r="A26" s="66" t="s">
        <v>45</v>
      </c>
      <c r="B26" s="67"/>
      <c r="C26" s="99">
        <f>80000*12</f>
        <v>960000</v>
      </c>
      <c r="D26" s="99">
        <f>90000*12</f>
        <v>1080000</v>
      </c>
      <c r="E26" s="99">
        <f>110000*12</f>
        <v>1320000</v>
      </c>
      <c r="F26" s="99">
        <f>120000*12</f>
        <v>1440000</v>
      </c>
      <c r="G26" s="100">
        <f>130000*12</f>
        <v>1560000</v>
      </c>
    </row>
    <row r="27" spans="1:9" x14ac:dyDescent="0.25">
      <c r="A27" s="24" t="s">
        <v>46</v>
      </c>
      <c r="B27" s="25"/>
      <c r="C27" s="101">
        <f>50000*12</f>
        <v>600000</v>
      </c>
      <c r="D27" s="101">
        <f t="shared" ref="D27:G27" si="9">50000*12</f>
        <v>600000</v>
      </c>
      <c r="E27" s="101">
        <f t="shared" si="9"/>
        <v>600000</v>
      </c>
      <c r="F27" s="101">
        <f t="shared" si="9"/>
        <v>600000</v>
      </c>
      <c r="G27" s="102">
        <f t="shared" si="9"/>
        <v>600000</v>
      </c>
    </row>
    <row r="28" spans="1:9" x14ac:dyDescent="0.25">
      <c r="A28" s="24" t="s">
        <v>47</v>
      </c>
      <c r="B28" s="25"/>
      <c r="C28" s="101">
        <f>75000*12</f>
        <v>900000</v>
      </c>
      <c r="D28" s="101">
        <f>80000*12</f>
        <v>960000</v>
      </c>
      <c r="E28" s="101">
        <f>85000*12</f>
        <v>1020000</v>
      </c>
      <c r="F28" s="101">
        <f>85000*12</f>
        <v>1020000</v>
      </c>
      <c r="G28" s="102">
        <f>100000*12</f>
        <v>1200000</v>
      </c>
    </row>
    <row r="29" spans="1:9" x14ac:dyDescent="0.25">
      <c r="A29" s="24" t="s">
        <v>1</v>
      </c>
      <c r="B29" s="25"/>
      <c r="C29" s="101"/>
      <c r="D29" s="101"/>
      <c r="E29" s="101"/>
      <c r="F29" s="101"/>
      <c r="G29" s="102"/>
    </row>
    <row r="30" spans="1:9" x14ac:dyDescent="0.25">
      <c r="A30" s="24" t="s">
        <v>55</v>
      </c>
      <c r="B30" s="25"/>
      <c r="C30" s="101"/>
      <c r="D30" s="101"/>
      <c r="E30" s="101"/>
      <c r="F30" s="101"/>
      <c r="G30" s="102"/>
    </row>
    <row r="31" spans="1:9" x14ac:dyDescent="0.25">
      <c r="A31" s="24" t="s">
        <v>51</v>
      </c>
      <c r="B31" s="23"/>
      <c r="C31" s="101"/>
      <c r="D31" s="101"/>
      <c r="E31" s="101"/>
      <c r="F31" s="101"/>
      <c r="G31" s="102"/>
    </row>
    <row r="32" spans="1:9" x14ac:dyDescent="0.25">
      <c r="A32" s="24" t="s">
        <v>48</v>
      </c>
      <c r="B32" s="23"/>
      <c r="C32" s="101">
        <f>'Costos '!L8</f>
        <v>38300000</v>
      </c>
      <c r="D32" s="101">
        <f>'Costos '!M8</f>
        <v>39832000</v>
      </c>
      <c r="E32" s="101">
        <f>'Costos '!N8</f>
        <v>41425280</v>
      </c>
      <c r="F32" s="101">
        <f>'Costos '!O8</f>
        <v>43082291.199999988</v>
      </c>
      <c r="G32" s="102">
        <f>'Costos '!P8</f>
        <v>45988939.776000001</v>
      </c>
    </row>
    <row r="33" spans="1:7" x14ac:dyDescent="0.25">
      <c r="A33" s="24" t="s">
        <v>49</v>
      </c>
      <c r="B33" s="23"/>
      <c r="C33" s="101">
        <v>800000</v>
      </c>
      <c r="D33" s="101">
        <v>520000</v>
      </c>
      <c r="E33" s="101">
        <v>550000</v>
      </c>
      <c r="F33" s="101">
        <v>580000</v>
      </c>
      <c r="G33" s="102">
        <v>600000</v>
      </c>
    </row>
    <row r="34" spans="1:7" x14ac:dyDescent="0.25">
      <c r="A34" s="52" t="s">
        <v>52</v>
      </c>
      <c r="B34" s="55"/>
      <c r="C34" s="101"/>
      <c r="D34" s="101"/>
      <c r="E34" s="101"/>
      <c r="F34" s="101"/>
      <c r="G34" s="102"/>
    </row>
    <row r="35" spans="1:7" x14ac:dyDescent="0.25">
      <c r="A35" s="52" t="s">
        <v>9</v>
      </c>
      <c r="B35" s="55"/>
      <c r="C35" s="101"/>
      <c r="D35" s="101"/>
      <c r="E35" s="101"/>
      <c r="F35" s="101"/>
      <c r="G35" s="102"/>
    </row>
    <row r="36" spans="1:7" ht="15.75" thickBot="1" x14ac:dyDescent="0.3">
      <c r="A36" s="103" t="s">
        <v>53</v>
      </c>
      <c r="B36" s="104"/>
      <c r="C36" s="105"/>
      <c r="D36" s="105"/>
      <c r="E36" s="105"/>
      <c r="F36" s="105"/>
      <c r="G36" s="106"/>
    </row>
    <row r="37" spans="1:7" ht="15.75" thickBot="1" x14ac:dyDescent="0.3">
      <c r="A37" s="94" t="s">
        <v>65</v>
      </c>
      <c r="B37" s="95">
        <f>'Inversion inicial '!A3</f>
        <v>-5000000</v>
      </c>
      <c r="C37" s="95">
        <v>0</v>
      </c>
      <c r="D37" s="95">
        <v>0</v>
      </c>
      <c r="E37" s="95">
        <v>0</v>
      </c>
      <c r="F37" s="95">
        <v>0</v>
      </c>
      <c r="G37" s="96">
        <v>0</v>
      </c>
    </row>
    <row r="38" spans="1:7" ht="15.75" thickBot="1" x14ac:dyDescent="0.3">
      <c r="A38" s="32" t="s">
        <v>50</v>
      </c>
      <c r="B38" s="34">
        <f>B37</f>
        <v>-5000000</v>
      </c>
      <c r="C38" s="34">
        <f>C20+B38</f>
        <v>33220000</v>
      </c>
      <c r="D38" s="34">
        <f>D20+C38</f>
        <v>92517120</v>
      </c>
      <c r="E38" s="34">
        <f>E20+D38</f>
        <v>172910458.48000002</v>
      </c>
      <c r="F38" s="34">
        <f>F20+E38</f>
        <v>278962247.53117204</v>
      </c>
      <c r="G38" s="35">
        <f>G20+F38</f>
        <v>421566210.44290626</v>
      </c>
    </row>
  </sheetData>
  <mergeCells count="1">
    <mergeCell ref="A1:G2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9527-DACB-4841-A986-196A4E0452D4}">
  <dimension ref="A1:F7"/>
  <sheetViews>
    <sheetView workbookViewId="0">
      <selection activeCell="B9" sqref="B9"/>
    </sheetView>
  </sheetViews>
  <sheetFormatPr baseColWidth="10" defaultRowHeight="15" x14ac:dyDescent="0.25"/>
  <cols>
    <col min="1" max="1" width="21.140625" customWidth="1"/>
    <col min="2" max="6" width="15.28515625" customWidth="1"/>
  </cols>
  <sheetData>
    <row r="1" spans="1:6" x14ac:dyDescent="0.25">
      <c r="A1" s="90" t="s">
        <v>56</v>
      </c>
      <c r="B1" s="90"/>
      <c r="C1" s="90"/>
      <c r="D1" s="90"/>
      <c r="E1" s="90"/>
      <c r="F1" s="90"/>
    </row>
    <row r="2" spans="1:6" x14ac:dyDescent="0.25">
      <c r="A2" s="46" t="s">
        <v>57</v>
      </c>
      <c r="B2" s="46" t="s">
        <v>19</v>
      </c>
      <c r="C2" s="46" t="s">
        <v>20</v>
      </c>
      <c r="D2" s="46" t="s">
        <v>21</v>
      </c>
      <c r="E2" s="46" t="s">
        <v>22</v>
      </c>
      <c r="F2" s="46" t="s">
        <v>23</v>
      </c>
    </row>
    <row r="3" spans="1:6" x14ac:dyDescent="0.25">
      <c r="A3" s="14" t="s">
        <v>58</v>
      </c>
      <c r="B3" s="47">
        <f>'Flujo de caja '!C19</f>
        <v>88280000</v>
      </c>
      <c r="C3" s="47">
        <f>'Flujo de caja '!D19</f>
        <v>106289120</v>
      </c>
      <c r="D3" s="47">
        <f>'Flujo de caja '!E19</f>
        <v>128308618.48</v>
      </c>
      <c r="E3" s="47">
        <f>'Flujo de caja '!F19</f>
        <v>157774080.25117198</v>
      </c>
      <c r="F3" s="47">
        <f>'Flujo de caja '!G19</f>
        <v>197552902.68773419</v>
      </c>
    </row>
    <row r="4" spans="1:6" x14ac:dyDescent="0.25">
      <c r="A4" s="14" t="s">
        <v>88</v>
      </c>
      <c r="B4" s="47">
        <f>'Flujo de caja '!C24</f>
        <v>8500000</v>
      </c>
      <c r="C4" s="47">
        <f>'Flujo de caja '!D24</f>
        <v>4000000</v>
      </c>
      <c r="D4" s="47">
        <f>'Flujo de caja '!E24</f>
        <v>3000000</v>
      </c>
      <c r="E4" s="47">
        <f>'Flujo de caja '!F24</f>
        <v>5000000</v>
      </c>
      <c r="F4" s="47">
        <f>'Flujo de caja '!G24</f>
        <v>5000000</v>
      </c>
    </row>
    <row r="5" spans="1:6" x14ac:dyDescent="0.25">
      <c r="A5" s="14" t="s">
        <v>59</v>
      </c>
      <c r="B5" s="47">
        <f>B3-B4</f>
        <v>79780000</v>
      </c>
      <c r="C5" s="47">
        <f t="shared" ref="C5:F5" si="0">C3-C4</f>
        <v>102289120</v>
      </c>
      <c r="D5" s="47">
        <f t="shared" si="0"/>
        <v>125308618.48</v>
      </c>
      <c r="E5" s="47">
        <f t="shared" si="0"/>
        <v>152774080.25117198</v>
      </c>
      <c r="F5" s="47">
        <f t="shared" si="0"/>
        <v>192552902.68773419</v>
      </c>
    </row>
    <row r="6" spans="1:6" x14ac:dyDescent="0.25">
      <c r="A6" s="14" t="s">
        <v>60</v>
      </c>
      <c r="B6" s="47">
        <f>'Flujo de caja '!C25</f>
        <v>41560000</v>
      </c>
      <c r="C6" s="47">
        <f>'Flujo de caja '!D25</f>
        <v>42992000</v>
      </c>
      <c r="D6" s="47">
        <f>'Flujo de caja '!E25</f>
        <v>44915280</v>
      </c>
      <c r="E6" s="47">
        <f>'Flujo de caja '!F25</f>
        <v>46722291.199999988</v>
      </c>
      <c r="F6" s="47">
        <f>'Flujo de caja '!G25</f>
        <v>49948939.776000001</v>
      </c>
    </row>
    <row r="7" spans="1:6" x14ac:dyDescent="0.25">
      <c r="A7" s="14" t="s">
        <v>61</v>
      </c>
      <c r="B7" s="47">
        <f>B5-B6</f>
        <v>38220000</v>
      </c>
      <c r="C7" s="47">
        <f t="shared" ref="C7:F7" si="1">C5-C6</f>
        <v>59297120</v>
      </c>
      <c r="D7" s="47">
        <f>D5-D6</f>
        <v>80393338.480000004</v>
      </c>
      <c r="E7" s="47">
        <f>E5-E6</f>
        <v>106051789.05117199</v>
      </c>
      <c r="F7" s="47">
        <f t="shared" si="1"/>
        <v>142603962.91173419</v>
      </c>
    </row>
  </sheetData>
  <mergeCells count="1">
    <mergeCell ref="A1:F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E88C-07F5-4336-92CD-9799CDF790B6}">
  <dimension ref="A1:B10"/>
  <sheetViews>
    <sheetView workbookViewId="0">
      <selection activeCell="E12" sqref="E12"/>
    </sheetView>
  </sheetViews>
  <sheetFormatPr baseColWidth="10" defaultRowHeight="15" x14ac:dyDescent="0.25"/>
  <cols>
    <col min="2" max="2" width="22" customWidth="1"/>
  </cols>
  <sheetData>
    <row r="1" spans="1:2" x14ac:dyDescent="0.25">
      <c r="A1" s="48" t="s">
        <v>62</v>
      </c>
      <c r="B1" s="49">
        <v>0.1</v>
      </c>
    </row>
    <row r="2" spans="1:2" x14ac:dyDescent="0.25">
      <c r="A2" s="50"/>
      <c r="B2" s="50"/>
    </row>
    <row r="3" spans="1:2" x14ac:dyDescent="0.25">
      <c r="A3" s="14" t="s">
        <v>63</v>
      </c>
      <c r="B3" s="14" t="s">
        <v>64</v>
      </c>
    </row>
    <row r="4" spans="1:2" x14ac:dyDescent="0.25">
      <c r="A4" s="14">
        <v>0</v>
      </c>
      <c r="B4" s="15">
        <f>'Flujo de caja '!B38</f>
        <v>-5000000</v>
      </c>
    </row>
    <row r="5" spans="1:2" x14ac:dyDescent="0.25">
      <c r="A5" s="14">
        <v>1</v>
      </c>
      <c r="B5" s="15">
        <f>'Flujo de caja '!C38</f>
        <v>33220000</v>
      </c>
    </row>
    <row r="6" spans="1:2" x14ac:dyDescent="0.25">
      <c r="A6" s="14">
        <v>2</v>
      </c>
      <c r="B6" s="15">
        <f>'Flujo de caja '!D38</f>
        <v>92517120</v>
      </c>
    </row>
    <row r="7" spans="1:2" x14ac:dyDescent="0.25">
      <c r="A7" s="14">
        <v>3</v>
      </c>
      <c r="B7" s="15">
        <f>'Flujo de caja '!E38</f>
        <v>172910458.48000002</v>
      </c>
    </row>
    <row r="8" spans="1:2" x14ac:dyDescent="0.25">
      <c r="A8" s="14">
        <v>4</v>
      </c>
      <c r="B8" s="15">
        <f>'Flujo de caja '!F38</f>
        <v>278962247.53117204</v>
      </c>
    </row>
    <row r="9" spans="1:2" x14ac:dyDescent="0.25">
      <c r="A9" s="14">
        <v>5</v>
      </c>
      <c r="B9" s="15">
        <f>'Flujo de caja '!G38</f>
        <v>421566210.44290626</v>
      </c>
    </row>
    <row r="10" spans="1:2" x14ac:dyDescent="0.25">
      <c r="A10" s="14" t="s">
        <v>33</v>
      </c>
      <c r="B10" s="51">
        <f>NPV(B1,B5:B9)+B4</f>
        <v>683865034.18668318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4EAA-4824-41BA-A45C-A42B0D9A3D2F}">
  <dimension ref="A1:B9"/>
  <sheetViews>
    <sheetView workbookViewId="0">
      <selection activeCell="B9" sqref="B9"/>
    </sheetView>
  </sheetViews>
  <sheetFormatPr baseColWidth="10" defaultRowHeight="15" x14ac:dyDescent="0.25"/>
  <cols>
    <col min="2" max="2" width="19" customWidth="1"/>
  </cols>
  <sheetData>
    <row r="1" spans="1:2" x14ac:dyDescent="0.25">
      <c r="A1" s="16"/>
      <c r="B1" s="16" t="s">
        <v>32</v>
      </c>
    </row>
    <row r="2" spans="1:2" x14ac:dyDescent="0.25">
      <c r="A2" s="16">
        <v>0</v>
      </c>
      <c r="B2" s="17">
        <f>'Flujo de caja '!B38</f>
        <v>-5000000</v>
      </c>
    </row>
    <row r="3" spans="1:2" x14ac:dyDescent="0.25">
      <c r="A3" s="16">
        <v>1</v>
      </c>
      <c r="B3" s="17">
        <f>'Flujo de caja '!C38</f>
        <v>33220000</v>
      </c>
    </row>
    <row r="4" spans="1:2" x14ac:dyDescent="0.25">
      <c r="A4" s="16">
        <v>2</v>
      </c>
      <c r="B4" s="17">
        <f>'Flujo de caja '!D38</f>
        <v>92517120</v>
      </c>
    </row>
    <row r="5" spans="1:2" x14ac:dyDescent="0.25">
      <c r="A5" s="16">
        <v>3</v>
      </c>
      <c r="B5" s="17">
        <f>'Flujo de caja '!E38</f>
        <v>172910458.48000002</v>
      </c>
    </row>
    <row r="6" spans="1:2" x14ac:dyDescent="0.25">
      <c r="A6" s="16">
        <v>4</v>
      </c>
      <c r="B6" s="17">
        <f>'Flujo de caja '!F38</f>
        <v>278962247.53117204</v>
      </c>
    </row>
    <row r="7" spans="1:2" x14ac:dyDescent="0.25">
      <c r="A7" s="16">
        <v>5</v>
      </c>
      <c r="B7" s="17">
        <f>'Flujo de caja '!G38</f>
        <v>421566210.44290626</v>
      </c>
    </row>
    <row r="8" spans="1:2" x14ac:dyDescent="0.25">
      <c r="A8" s="18" t="s">
        <v>33</v>
      </c>
      <c r="B8" s="19">
        <f>NPV([1]WACC!B10,B3:B7)+B2</f>
        <v>472585820.27851707</v>
      </c>
    </row>
    <row r="9" spans="1:2" x14ac:dyDescent="0.25">
      <c r="A9" s="18" t="s">
        <v>34</v>
      </c>
      <c r="B9" s="20">
        <f>IRR(B2:B7)</f>
        <v>8.160557899927344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FE1B-5DF5-4A9F-839A-15832E7F18F1}">
  <dimension ref="A1"/>
  <sheetViews>
    <sheetView tabSelected="1" workbookViewId="0">
      <selection activeCell="I17" sqref="I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Inversion inicial </vt:lpstr>
      <vt:lpstr>Costos </vt:lpstr>
      <vt:lpstr>Proyeccion financiera</vt:lpstr>
      <vt:lpstr>Flujo de caja </vt:lpstr>
      <vt:lpstr>Estado de resultados </vt:lpstr>
      <vt:lpstr>VPN </vt:lpstr>
      <vt:lpstr>TIR</vt:lpstr>
      <vt:lpstr>Consolidado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 David</cp:lastModifiedBy>
  <dcterms:created xsi:type="dcterms:W3CDTF">2022-10-20T22:06:01Z</dcterms:created>
  <dcterms:modified xsi:type="dcterms:W3CDTF">2022-10-22T01:57:47Z</dcterms:modified>
</cp:coreProperties>
</file>