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learning materials\"/>
    </mc:Choice>
  </mc:AlternateContent>
  <xr:revisionPtr revIDLastSave="0" documentId="13_ncr:1_{4E5FF65E-D09F-4200-B2F1-9EA89FD30266}" xr6:coauthVersionLast="45" xr6:coauthVersionMax="45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Fixed costs" sheetId="1" r:id="rId1"/>
    <sheet name="Operation Costs" sheetId="2" r:id="rId2"/>
    <sheet name="Minimum price" sheetId="9" r:id="rId3"/>
    <sheet name="Revenue" sheetId="4" r:id="rId4"/>
    <sheet name="VAL" sheetId="11" r:id="rId5"/>
    <sheet name="TIR" sheetId="13" r:id="rId6"/>
    <sheet name="Raw material" sheetId="5" r:id="rId7"/>
    <sheet name="Utilities" sheetId="6" r:id="rId8"/>
    <sheet name="Eletricity" sheetId="7" r:id="rId9"/>
    <sheet name="Labour" sheetId="3" r:id="rId10"/>
  </sheets>
  <definedNames>
    <definedName name="_am_">'Fixed costs'!$F$22</definedName>
    <definedName name="_cf_">Revenue!$B$11</definedName>
    <definedName name="_cfe_">'Minimum price'!$B$11</definedName>
    <definedName name="_sm_">'Operation Costs'!$E$44</definedName>
    <definedName name="_tco_">'Operation Costs'!#REF!</definedName>
    <definedName name="solver_adj" localSheetId="2" hidden="1">'Minimum price'!$B$1</definedName>
    <definedName name="solver_adj" localSheetId="3" hidden="1">Revenue!$B$1</definedName>
    <definedName name="solver_adj" localSheetId="5" hidden="1">TIR!$B$5</definedName>
    <definedName name="solver_adj" localSheetId="4" hidden="1">VAL!$B$5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drv" localSheetId="2" hidden="1">2</definedName>
    <definedName name="solver_drv" localSheetId="3" hidden="1">1</definedName>
    <definedName name="solver_drv" localSheetId="5" hidden="1">2</definedName>
    <definedName name="solver_drv" localSheetId="4" hidden="1">2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lhs1" localSheetId="2" hidden="1">'Minimum price'!$L$21</definedName>
    <definedName name="solver_lhs1" localSheetId="3" hidden="1">Revenue!$B$5</definedName>
    <definedName name="solver_lhs1" localSheetId="5" hidden="1">TIR!$B$6</definedName>
    <definedName name="solver_lhs2" localSheetId="2" hidden="1">'Minimum price'!$L$21</definedName>
    <definedName name="solver_lhs2" localSheetId="3" hidden="1">Revenue!$L$21</definedName>
    <definedName name="solver_lhs3" localSheetId="3" hidden="1">Revenue!$M$21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um" localSheetId="2" hidden="1">1</definedName>
    <definedName name="solver_num" localSheetId="3" hidden="1">3</definedName>
    <definedName name="solver_num" localSheetId="5" hidden="1">1</definedName>
    <definedName name="solver_num" localSheetId="4" hidden="1">0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4" hidden="1">1</definedName>
    <definedName name="solver_opt" localSheetId="2" hidden="1">'Minimum price'!$L$21</definedName>
    <definedName name="solver_opt" localSheetId="3" hidden="1">Revenue!$B$1</definedName>
    <definedName name="solver_opt" localSheetId="5" hidden="1">TIR!$M$2</definedName>
    <definedName name="solver_opt" localSheetId="4" hidden="1">VAL!$B$6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rbv" localSheetId="2" hidden="1">2</definedName>
    <definedName name="solver_rbv" localSheetId="3" hidden="1">1</definedName>
    <definedName name="solver_rbv" localSheetId="5" hidden="1">2</definedName>
    <definedName name="solver_rbv" localSheetId="4" hidden="1">2</definedName>
    <definedName name="solver_rel1" localSheetId="2" hidden="1">2</definedName>
    <definedName name="solver_rel1" localSheetId="3" hidden="1">3</definedName>
    <definedName name="solver_rel1" localSheetId="5" hidden="1">3</definedName>
    <definedName name="solver_rel2" localSheetId="2" hidden="1">2</definedName>
    <definedName name="solver_rel2" localSheetId="3" hidden="1">3</definedName>
    <definedName name="solver_rel3" localSheetId="3" hidden="1">3</definedName>
    <definedName name="solver_rhs1" localSheetId="2" hidden="1">0</definedName>
    <definedName name="solver_rhs1" localSheetId="3" hidden="1">0</definedName>
    <definedName name="solver_rhs1" localSheetId="5" hidden="1">0</definedName>
    <definedName name="solver_rhs2" localSheetId="2" hidden="1">0</definedName>
    <definedName name="solver_rhs2" localSheetId="3" hidden="1">0</definedName>
    <definedName name="solver_rhs3" localSheetId="3" hidden="1">0.0001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scl" localSheetId="2" hidden="1">2</definedName>
    <definedName name="solver_scl" localSheetId="3" hidden="1">1</definedName>
    <definedName name="solver_scl" localSheetId="5" hidden="1">2</definedName>
    <definedName name="solver_scl" localSheetId="4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ol" localSheetId="2" hidden="1">1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5" hidden="1">3</definedName>
    <definedName name="solver_typ" localSheetId="4" hidden="1">3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B2" i="5"/>
  <c r="B3" i="5"/>
  <c r="B2" i="4"/>
  <c r="B3" i="4" s="1"/>
  <c r="B4" i="4" s="1"/>
  <c r="B2" i="9"/>
  <c r="B3" i="9" s="1"/>
  <c r="B4" i="9" s="1"/>
  <c r="B2" i="7"/>
  <c r="B3" i="7"/>
  <c r="C4" i="1"/>
  <c r="B14" i="5"/>
  <c r="C6" i="1"/>
  <c r="C7" i="1" s="1"/>
  <c r="C9" i="1" s="1"/>
  <c r="G18" i="1" l="1"/>
  <c r="G12" i="1"/>
  <c r="G8" i="1"/>
  <c r="G4" i="1"/>
  <c r="G17" i="1"/>
  <c r="G11" i="1"/>
  <c r="G7" i="1"/>
  <c r="G16" i="1"/>
  <c r="G10" i="1"/>
  <c r="G6" i="1"/>
  <c r="C10" i="1"/>
  <c r="C11" i="1" s="1"/>
  <c r="B9" i="9" s="1"/>
  <c r="G15" i="1"/>
  <c r="G9" i="1"/>
  <c r="G5" i="1"/>
  <c r="D15" i="2"/>
  <c r="D14" i="2"/>
  <c r="D13" i="2"/>
  <c r="D10" i="2"/>
  <c r="G19" i="1" l="1"/>
  <c r="E8" i="2"/>
  <c r="D8" i="2" s="1"/>
  <c r="E11" i="2" l="1"/>
  <c r="D11" i="2" s="1"/>
  <c r="B12" i="9" l="1"/>
  <c r="C20" i="9"/>
  <c r="D20" i="9"/>
  <c r="E20" i="9"/>
  <c r="F20" i="9"/>
  <c r="G20" i="9"/>
  <c r="H20" i="9"/>
  <c r="I20" i="9"/>
  <c r="J20" i="9"/>
  <c r="K20" i="9"/>
  <c r="L20" i="9"/>
  <c r="B5" i="5"/>
  <c r="E9" i="2" l="1"/>
  <c r="D9" i="2" s="1"/>
  <c r="E39" i="2" l="1"/>
  <c r="E7" i="3"/>
  <c r="D3" i="5"/>
  <c r="E3" i="5" s="1"/>
  <c r="D4" i="5"/>
  <c r="E4" i="5" s="1"/>
  <c r="D2" i="5"/>
  <c r="E2" i="5" s="1"/>
  <c r="B7" i="9" l="1"/>
  <c r="B7" i="4"/>
  <c r="E5" i="5"/>
  <c r="E2" i="2" s="1"/>
  <c r="D2" i="2" s="1"/>
  <c r="D5" i="5"/>
  <c r="E5" i="3"/>
  <c r="E6" i="3" s="1"/>
  <c r="B3" i="3" s="1"/>
  <c r="B4" i="3" s="1"/>
  <c r="E4" i="2" s="1"/>
  <c r="D4" i="2" l="1"/>
  <c r="E3" i="2"/>
  <c r="D3" i="2" s="1"/>
  <c r="B9" i="4"/>
  <c r="B4" i="11"/>
  <c r="B4" i="13"/>
  <c r="B8" i="9"/>
  <c r="B8" i="4"/>
  <c r="B2" i="13" s="1"/>
  <c r="E5" i="2"/>
  <c r="D5" i="2" s="1"/>
  <c r="E28" i="2"/>
  <c r="G13" i="1"/>
  <c r="G20" i="1" s="1"/>
  <c r="F19" i="1"/>
  <c r="B15" i="4" l="1"/>
  <c r="B15" i="9"/>
  <c r="B16" i="9"/>
  <c r="B2" i="11"/>
  <c r="B16" i="4" s="1"/>
  <c r="E6" i="2"/>
  <c r="E16" i="2" s="1"/>
  <c r="D6" i="2" l="1"/>
  <c r="F22" i="1"/>
  <c r="E12" i="2" s="1"/>
  <c r="D12" i="2" s="1"/>
  <c r="E7" i="2"/>
  <c r="D7" i="2" s="1"/>
  <c r="E44" i="2" l="1"/>
  <c r="B5" i="9" s="1"/>
  <c r="B11" i="9" s="1"/>
  <c r="L22" i="9" s="1"/>
  <c r="B5" i="4" l="1"/>
  <c r="K22" i="9"/>
  <c r="D44" i="2"/>
  <c r="H22" i="9" l="1"/>
  <c r="B11" i="4"/>
  <c r="C17" i="4" s="1"/>
  <c r="C22" i="9"/>
  <c r="C21" i="9" s="1"/>
  <c r="D22" i="9"/>
  <c r="G22" i="9"/>
  <c r="F22" i="9"/>
  <c r="J22" i="9"/>
  <c r="E22" i="9"/>
  <c r="I22" i="9"/>
  <c r="C2" i="13" l="1"/>
  <c r="F2" i="13"/>
  <c r="C2" i="11"/>
  <c r="C22" i="4" s="1"/>
  <c r="C21" i="4" s="1"/>
  <c r="D2" i="11"/>
  <c r="D22" i="4" s="1"/>
  <c r="E2" i="11"/>
  <c r="E22" i="4" s="1"/>
  <c r="E2" i="13"/>
  <c r="J2" i="13"/>
  <c r="G2" i="11"/>
  <c r="G22" i="4" s="1"/>
  <c r="K2" i="11"/>
  <c r="K22" i="4" s="1"/>
  <c r="I2" i="13"/>
  <c r="G2" i="13"/>
  <c r="H2" i="11"/>
  <c r="H22" i="4" s="1"/>
  <c r="L2" i="13"/>
  <c r="I2" i="11"/>
  <c r="I22" i="4" s="1"/>
  <c r="F2" i="11"/>
  <c r="F22" i="4" s="1"/>
  <c r="K2" i="13"/>
  <c r="D2" i="13"/>
  <c r="H2" i="13"/>
  <c r="J2" i="11"/>
  <c r="J22" i="4" s="1"/>
  <c r="L2" i="11"/>
  <c r="L22" i="4" s="1"/>
  <c r="D21" i="9"/>
  <c r="E21" i="9" s="1"/>
  <c r="F21" i="9" s="1"/>
  <c r="G21" i="9" s="1"/>
  <c r="H21" i="9" s="1"/>
  <c r="I21" i="9" s="1"/>
  <c r="J21" i="9" s="1"/>
  <c r="K21" i="9" s="1"/>
  <c r="L21" i="9" s="1"/>
  <c r="B17" i="4" l="1"/>
  <c r="D21" i="4"/>
  <c r="E21" i="4" s="1"/>
  <c r="F21" i="4" s="1"/>
  <c r="M2" i="13"/>
  <c r="B6" i="13" s="1"/>
  <c r="M2" i="11"/>
  <c r="N2" i="11" s="1"/>
  <c r="G21" i="4" l="1"/>
  <c r="H21" i="4" s="1"/>
  <c r="I21" i="4" s="1"/>
  <c r="J21" i="4" s="1"/>
  <c r="K21" i="4" s="1"/>
  <c r="L21" i="4" s="1"/>
</calcChain>
</file>

<file path=xl/sharedStrings.xml><?xml version="1.0" encoding="utf-8"?>
<sst xmlns="http://schemas.openxmlformats.org/spreadsheetml/2006/main" count="157" uniqueCount="137">
  <si>
    <t>preço (USD)</t>
  </si>
  <si>
    <t>R&amp;D</t>
  </si>
  <si>
    <t>40000 kg/dia</t>
  </si>
  <si>
    <t>custo (USD/ano)</t>
  </si>
  <si>
    <t>Permutadores</t>
  </si>
  <si>
    <t>Total</t>
  </si>
  <si>
    <t>TOTAL</t>
  </si>
  <si>
    <t>quantidade (kg/h)</t>
  </si>
  <si>
    <t>preço (€/h)</t>
  </si>
  <si>
    <t>preço/kg (€/kg)</t>
  </si>
  <si>
    <t>preço (USD/ano)</t>
  </si>
  <si>
    <t>Custo de eletricidade dos equipamentos (USD/ano)</t>
  </si>
  <si>
    <t>ano</t>
  </si>
  <si>
    <t>Valor mínimo de venda do isobutanol (USD/kg)</t>
  </si>
  <si>
    <t>TIR</t>
  </si>
  <si>
    <t>cashflow</t>
  </si>
  <si>
    <t>VAL</t>
  </si>
  <si>
    <t>investimento</t>
  </si>
  <si>
    <t>24,87€/L</t>
  </si>
  <si>
    <t>=30,97€/kg</t>
  </si>
  <si>
    <t>custo de eletricidade para iluminação</t>
  </si>
  <si>
    <t>custo de eletricidade total</t>
  </si>
  <si>
    <t>Custo (M USD/ano)</t>
  </si>
  <si>
    <t>VAL (USD)</t>
  </si>
  <si>
    <t>VAL (M USD)</t>
  </si>
  <si>
    <t>CSTR</t>
  </si>
  <si>
    <t>PFR</t>
  </si>
  <si>
    <t>Distilation column</t>
  </si>
  <si>
    <t>Total Investimento (dimensioned and not dimensioned)</t>
  </si>
  <si>
    <t>Fixed capital investment</t>
  </si>
  <si>
    <t>Capital investment</t>
  </si>
  <si>
    <t>Circulating capital investment</t>
  </si>
  <si>
    <t>none</t>
  </si>
  <si>
    <t>Catalysts</t>
  </si>
  <si>
    <t>Sodium hydroxide</t>
  </si>
  <si>
    <t>Sodium acetate sales volume (kg/yr)</t>
  </si>
  <si>
    <t>Sodium acetate (USD/yr)</t>
  </si>
  <si>
    <t>Equipament</t>
  </si>
  <si>
    <t>Component</t>
  </si>
  <si>
    <t>percentage (%)</t>
  </si>
  <si>
    <t>Cost (USD)</t>
  </si>
  <si>
    <t>Purchased equipment</t>
  </si>
  <si>
    <t>Equipament instalation</t>
  </si>
  <si>
    <t>Instruments e controllers (installed)</t>
  </si>
  <si>
    <t>Tubbing</t>
  </si>
  <si>
    <t>Electronic components (instalados)</t>
  </si>
  <si>
    <t>Buildings</t>
  </si>
  <si>
    <t>Land improvements</t>
  </si>
  <si>
    <t>Service intrallation</t>
  </si>
  <si>
    <t>Land</t>
  </si>
  <si>
    <t>Direct costs</t>
  </si>
  <si>
    <t>Fixed Invenstiment</t>
  </si>
  <si>
    <t xml:space="preserve">Indirect Costs </t>
  </si>
  <si>
    <t>Engeneering and supervision</t>
  </si>
  <si>
    <t>Construction expenses</t>
  </si>
  <si>
    <t>Contractor bill</t>
  </si>
  <si>
    <t>Contingebcy</t>
  </si>
  <si>
    <t>Direct costs total</t>
  </si>
  <si>
    <t>Indirect costs total</t>
  </si>
  <si>
    <t>Anual amortisation in  10 anos (USD)</t>
  </si>
  <si>
    <t>Raw material (USD/yr)</t>
  </si>
  <si>
    <t>Production administrative work (USD/yr)</t>
  </si>
  <si>
    <t>Labour (USD/yr)</t>
  </si>
  <si>
    <t>Maintenance and repairs (USD/yr)</t>
  </si>
  <si>
    <t>Utilities (USD/ano)</t>
  </si>
  <si>
    <t>Royalties/patents (USD/ano)</t>
  </si>
  <si>
    <t>Eletricity (USD/yr)</t>
  </si>
  <si>
    <t>Transportation (USD/yr)</t>
  </si>
  <si>
    <t>Operation Supplies (USD/yr)</t>
  </si>
  <si>
    <t>Catalysts (USD/ano)</t>
  </si>
  <si>
    <t>Amortisation (USD/yr)</t>
  </si>
  <si>
    <t>Property tax (USD/ur)</t>
  </si>
  <si>
    <t>insurance (USD/ano)</t>
  </si>
  <si>
    <t>Rent (USD/ano)</t>
  </si>
  <si>
    <t>Production costs</t>
  </si>
  <si>
    <t>General expenses</t>
  </si>
  <si>
    <t>Direct production costs</t>
  </si>
  <si>
    <t>Fixed costs</t>
  </si>
  <si>
    <t>Facilities indirect costs</t>
  </si>
  <si>
    <t>Admisinstratire expense</t>
  </si>
  <si>
    <t>Distribution and marketing</t>
  </si>
  <si>
    <t>Financing expenses (i.e. interest) (USD/yr)</t>
  </si>
  <si>
    <t>Hospital and medical services (USD/yr)</t>
  </si>
  <si>
    <t>Expenses and general maintenance (USD/yr)</t>
  </si>
  <si>
    <t>Security services (USD/ano)</t>
  </si>
  <si>
    <t>Payroll expenses (USD/ano)</t>
  </si>
  <si>
    <t>Packaging (USD/ano)</t>
  </si>
  <si>
    <t>Recreational and food facilities (USD/ano)</t>
  </si>
  <si>
    <t>Rescue services (USD/ano)</t>
  </si>
  <si>
    <t>Control laboratories (USD/ano)</t>
  </si>
  <si>
    <t>Property safety (USD/ano)</t>
  </si>
  <si>
    <t>Factory inspection (USD/ano)</t>
  </si>
  <si>
    <t>Warehouse and storage (USD/yr)</t>
  </si>
  <si>
    <t>Employee benefits (USD/yr)</t>
  </si>
  <si>
    <t>Executive and administrative payroll (USD/yr)</t>
  </si>
  <si>
    <t>Office suplies (USD/yr)</t>
  </si>
  <si>
    <t>Legal and engineering expenses (USD/yr)</t>
  </si>
  <si>
    <t>Office maintenance (USD/yr)</t>
  </si>
  <si>
    <t>Comunication (USD/yr)</t>
  </si>
  <si>
    <t>Materials' handling (USD/yr)</t>
  </si>
  <si>
    <t>Shipping costs (USD/yr)</t>
  </si>
  <si>
    <t>Sales office (USD/yr)</t>
  </si>
  <si>
    <t>Sales people (USD/yr)</t>
  </si>
  <si>
    <t>Sales technical service (USD/ano)</t>
  </si>
  <si>
    <t>Advertising (USD/ano)</t>
  </si>
  <si>
    <t>Salaries (US/ano)</t>
  </si>
  <si>
    <t>Paychecks (USD/ano)</t>
  </si>
  <si>
    <t>Special equipment (USD/ano)</t>
  </si>
  <si>
    <t>Consulting expenses (USD/ano)</t>
  </si>
  <si>
    <t>Sodium acetate sale price (USD/kg)</t>
  </si>
  <si>
    <t>Net result (USD/yr)</t>
  </si>
  <si>
    <t>Revenue (USD/yr)</t>
  </si>
  <si>
    <t>Working capital investment</t>
  </si>
  <si>
    <t>Cash flow (USD/ano)</t>
  </si>
  <si>
    <t>interest</t>
  </si>
  <si>
    <t>Net invested amount (USD)</t>
  </si>
  <si>
    <t>Updated anual value</t>
  </si>
  <si>
    <t>Payback period (years)</t>
  </si>
  <si>
    <t>Year</t>
  </si>
  <si>
    <t>Investiment</t>
  </si>
  <si>
    <t>Fobj</t>
  </si>
  <si>
    <t>Raw material</t>
  </si>
  <si>
    <t>Acetic acid</t>
  </si>
  <si>
    <t>Water</t>
  </si>
  <si>
    <t>Total cost (USD/Yr)</t>
  </si>
  <si>
    <t>Conversion rate from EUR to USD</t>
  </si>
  <si>
    <t>Cold utilities (USD/ano)</t>
  </si>
  <si>
    <t>Number of teams</t>
  </si>
  <si>
    <t>Monthly minimum wage (€)</t>
  </si>
  <si>
    <t>Cost (€/yr)</t>
  </si>
  <si>
    <t>Cost (USD/yr)</t>
  </si>
  <si>
    <t>Production</t>
  </si>
  <si>
    <t>Labour at production (employees-hour/(day*processing step)</t>
  </si>
  <si>
    <t>Steps</t>
  </si>
  <si>
    <t>Hours/shift</t>
  </si>
  <si>
    <t>Days</t>
  </si>
  <si>
    <t>Amount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</si>
</sst>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_ ;_-@_ 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" fillId="4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5" borderId="0" xfId="0" applyFont="1" applyFill="1"/>
    <xf numFmtId="164" fontId="0" fillId="0" borderId="6" xfId="0" applyNumberFormat="1" applyBorder="1"/>
    <xf numFmtId="0" fontId="1" fillId="0" borderId="5" xfId="0" applyFont="1" applyBorder="1"/>
    <xf numFmtId="0" fontId="1" fillId="2" borderId="7" xfId="0" applyFont="1" applyFill="1" applyBorder="1"/>
    <xf numFmtId="0" fontId="0" fillId="2" borderId="8" xfId="0" applyFill="1" applyBorder="1"/>
    <xf numFmtId="164" fontId="0" fillId="2" borderId="9" xfId="0" applyNumberFormat="1" applyFill="1" applyBorder="1"/>
    <xf numFmtId="0" fontId="1" fillId="6" borderId="25" xfId="0" applyFont="1" applyFill="1" applyBorder="1"/>
    <xf numFmtId="0" fontId="0" fillId="6" borderId="23" xfId="0" applyFill="1" applyBorder="1"/>
    <xf numFmtId="164" fontId="0" fillId="6" borderId="24" xfId="0" applyNumberFormat="1" applyFill="1" applyBorder="1"/>
    <xf numFmtId="164" fontId="1" fillId="0" borderId="1" xfId="0" applyNumberFormat="1" applyFont="1" applyBorder="1"/>
    <xf numFmtId="0" fontId="0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18" xfId="0" applyBorder="1"/>
    <xf numFmtId="0" fontId="0" fillId="0" borderId="21" xfId="0" applyBorder="1"/>
    <xf numFmtId="0" fontId="0" fillId="0" borderId="19" xfId="0" applyFont="1" applyBorder="1"/>
    <xf numFmtId="11" fontId="0" fillId="0" borderId="19" xfId="0" applyNumberFormat="1" applyBorder="1"/>
    <xf numFmtId="0" fontId="2" fillId="0" borderId="0" xfId="0" applyFont="1"/>
    <xf numFmtId="0" fontId="0" fillId="0" borderId="0" xfId="0" quotePrefix="1"/>
    <xf numFmtId="11" fontId="0" fillId="0" borderId="21" xfId="0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0" fontId="1" fillId="0" borderId="26" xfId="0" applyFont="1" applyBorder="1"/>
    <xf numFmtId="0" fontId="0" fillId="0" borderId="27" xfId="0" applyBorder="1"/>
    <xf numFmtId="164" fontId="0" fillId="0" borderId="28" xfId="0" applyNumberFormat="1" applyBorder="1"/>
    <xf numFmtId="0" fontId="1" fillId="2" borderId="25" xfId="0" applyFont="1" applyFill="1" applyBorder="1"/>
    <xf numFmtId="0" fontId="0" fillId="2" borderId="23" xfId="0" applyFill="1" applyBorder="1"/>
    <xf numFmtId="164" fontId="0" fillId="2" borderId="24" xfId="0" applyNumberFormat="1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2" fontId="0" fillId="0" borderId="0" xfId="0" applyNumberFormat="1"/>
    <xf numFmtId="0" fontId="0" fillId="3" borderId="16" xfId="0" applyFont="1" applyFill="1" applyBorder="1" applyAlignment="1">
      <alignment horizontal="center"/>
    </xf>
    <xf numFmtId="0" fontId="0" fillId="0" borderId="21" xfId="0" applyFill="1" applyBorder="1"/>
    <xf numFmtId="0" fontId="0" fillId="0" borderId="20" xfId="0" applyFill="1" applyBorder="1"/>
    <xf numFmtId="0" fontId="0" fillId="0" borderId="24" xfId="0" applyFill="1" applyBorder="1"/>
    <xf numFmtId="0" fontId="0" fillId="3" borderId="1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11" fontId="0" fillId="0" borderId="24" xfId="0" applyNumberFormat="1" applyBorder="1"/>
    <xf numFmtId="1" fontId="0" fillId="0" borderId="19" xfId="0" applyNumberFormat="1" applyFill="1" applyBorder="1"/>
    <xf numFmtId="1" fontId="0" fillId="0" borderId="21" xfId="0" applyNumberFormat="1" applyFill="1" applyBorder="1"/>
    <xf numFmtId="1" fontId="0" fillId="0" borderId="20" xfId="0" applyNumberFormat="1" applyFill="1" applyBorder="1"/>
    <xf numFmtId="1" fontId="0" fillId="0" borderId="20" xfId="0" applyNumberFormat="1" applyFont="1" applyFill="1" applyBorder="1"/>
    <xf numFmtId="165" fontId="0" fillId="3" borderId="13" xfId="0" applyNumberFormat="1" applyFont="1" applyFill="1" applyBorder="1" applyAlignment="1">
      <alignment horizontal="center"/>
    </xf>
    <xf numFmtId="165" fontId="0" fillId="3" borderId="14" xfId="0" applyNumberFormat="1" applyFont="1" applyFill="1" applyBorder="1" applyAlignment="1">
      <alignment horizontal="center"/>
    </xf>
    <xf numFmtId="2" fontId="0" fillId="3" borderId="14" xfId="0" applyNumberFormat="1" applyFont="1" applyFill="1" applyBorder="1" applyAlignment="1">
      <alignment horizontal="center"/>
    </xf>
    <xf numFmtId="165" fontId="0" fillId="3" borderId="15" xfId="0" applyNumberFormat="1" applyFont="1" applyFill="1" applyBorder="1" applyAlignment="1">
      <alignment horizontal="center"/>
    </xf>
    <xf numFmtId="1" fontId="0" fillId="7" borderId="24" xfId="0" applyNumberFormat="1" applyFon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'Minimum price'!$B$20:$L$20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'Minimum price'!$B$21:$L$21</c:f>
              <c:numCache>
                <c:formatCode>General</c:formatCode>
                <c:ptCount val="11"/>
                <c:pt idx="1">
                  <c:v>-6434638.3113740673</c:v>
                </c:pt>
                <c:pt idx="2">
                  <c:v>-5435733.4423278039</c:v>
                </c:pt>
                <c:pt idx="3">
                  <c:v>-4543854.0949650686</c:v>
                </c:pt>
                <c:pt idx="4">
                  <c:v>-3747533.2491054838</c:v>
                </c:pt>
                <c:pt idx="5">
                  <c:v>-3036532.4938737117</c:v>
                </c:pt>
                <c:pt idx="6">
                  <c:v>-2401710.3909882009</c:v>
                </c:pt>
                <c:pt idx="7">
                  <c:v>-1834904.9419832807</c:v>
                </c:pt>
                <c:pt idx="8">
                  <c:v>-1328828.6482288875</c:v>
                </c:pt>
                <c:pt idx="9">
                  <c:v>-876974.81451960793</c:v>
                </c:pt>
                <c:pt idx="10">
                  <c:v>-473533.89156489406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4B3A-AE0B-7B0C8363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019360"/>
        <c:axId val="346022496"/>
      </c:barChart>
      <c:catAx>
        <c:axId val="3460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022496"/>
        <c:crosses val="autoZero"/>
        <c:auto val="1"/>
        <c:lblAlgn val="ctr"/>
        <c:lblOffset val="100"/>
        <c:noMultiLvlLbl val="1"/>
      </c:catAx>
      <c:valAx>
        <c:axId val="346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Revenue (USD)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0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52914430000047"/>
          <c:y val="5.4106280193236718E-2"/>
          <c:w val="0.79194885449445407"/>
          <c:h val="0.790128784922292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Revenue!$B$20:$L$20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Revenue!$B$21:$L$21</c:f>
              <c:numCache>
                <c:formatCode>General</c:formatCode>
                <c:ptCount val="11"/>
                <c:pt idx="1">
                  <c:v>-1461618.6847568424</c:v>
                </c:pt>
                <c:pt idx="2">
                  <c:v>3977482.2794833723</c:v>
                </c:pt>
                <c:pt idx="3">
                  <c:v>8833822.4261264205</c:v>
                </c:pt>
                <c:pt idx="4">
                  <c:v>13169840.41420057</c:v>
                </c:pt>
                <c:pt idx="5">
                  <c:v>17041285.046409633</c:v>
                </c:pt>
                <c:pt idx="6">
                  <c:v>20497932.039453439</c:v>
                </c:pt>
                <c:pt idx="7">
                  <c:v>23584223.997528266</c:v>
                </c:pt>
                <c:pt idx="8">
                  <c:v>26339841.817237932</c:v>
                </c:pt>
                <c:pt idx="9">
                  <c:v>28800214.870550133</c:v>
                </c:pt>
                <c:pt idx="10">
                  <c:v>30996976.525293171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8-4240-8245-9D1A53A8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017008"/>
        <c:axId val="346020144"/>
      </c:barChart>
      <c:catAx>
        <c:axId val="3460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020144"/>
        <c:crosses val="autoZero"/>
        <c:auto val="1"/>
        <c:lblAlgn val="ctr"/>
        <c:lblOffset val="100"/>
        <c:noMultiLvlLbl val="1"/>
      </c:catAx>
      <c:valAx>
        <c:axId val="3460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Revenue</a:t>
                </a:r>
                <a:r>
                  <a:rPr lang="pt-PT" baseline="0"/>
                  <a:t> </a:t>
                </a:r>
                <a:r>
                  <a:rPr lang="pt-PT"/>
                  <a:t>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0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319928</xdr:colOff>
      <xdr:row>3</xdr:row>
      <xdr:rowOff>45384</xdr:rowOff>
    </xdr:from>
    <xdr:to>
      <xdr:col>17</xdr:col>
      <xdr:colOff>114420</xdr:colOff>
      <xdr:row>39</xdr:row>
      <xdr:rowOff>92306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5CC684-8543-46E0-A30F-4FB8AC7B0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7252" y="829796"/>
          <a:ext cx="5240550" cy="6960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128587</xdr:rowOff>
    </xdr:from>
    <xdr:to>
      <xdr:col>11</xdr:col>
      <xdr:colOff>200025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3B744-65FF-4244-A212-98C86A481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19050</xdr:rowOff>
    </xdr:from>
    <xdr:to>
      <xdr:col>10</xdr:col>
      <xdr:colOff>361950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CCDC1E-F485-45A4-99A7-8FB33A28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72211</xdr:colOff>
      <xdr:row>6</xdr:row>
      <xdr:rowOff>11591</xdr:rowOff>
    </xdr:from>
    <xdr:to>
      <xdr:col>15</xdr:col>
      <xdr:colOff>91260</xdr:colOff>
      <xdr:row>23</xdr:row>
      <xdr:rowOff>168187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EE5030-CE2C-4858-8F0F-F5D94EE44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4986" y="1154591"/>
          <a:ext cx="4895849" cy="3642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"/>
  <sheetViews>
    <sheetView workbookViewId="0">
      <selection activeCell="C5" sqref="C5"/>
    </sheetView>
  </sheetViews>
  <sheetFormatPr defaultRowHeight="15" x14ac:dyDescent="0.25"/>
  <cols>
    <col min="2" max="2" width="30.42578125" customWidth="1"/>
    <col min="3" max="3" width="12.28515625" bestFit="1" customWidth="1"/>
    <col min="5" max="5" width="35" bestFit="1" customWidth="1"/>
    <col min="6" max="6" width="16.28515625" bestFit="1" customWidth="1"/>
    <col min="7" max="7" width="12.28515625" bestFit="1" customWidth="1"/>
    <col min="9" max="9" width="16.28515625" bestFit="1" customWidth="1"/>
  </cols>
  <sheetData>
    <row r="1" spans="2:7" ht="15.75" thickBot="1" x14ac:dyDescent="0.3">
      <c r="B1" s="6" t="s">
        <v>37</v>
      </c>
      <c r="C1" s="6" t="s">
        <v>0</v>
      </c>
      <c r="E1" s="10" t="s">
        <v>51</v>
      </c>
    </row>
    <row r="2" spans="2:7" ht="15.75" thickBot="1" x14ac:dyDescent="0.3">
      <c r="B2" s="7" t="s">
        <v>25</v>
      </c>
      <c r="C2" s="1">
        <v>1500</v>
      </c>
      <c r="E2" s="2" t="s">
        <v>38</v>
      </c>
      <c r="F2" s="3" t="s">
        <v>39</v>
      </c>
      <c r="G2" s="4" t="s">
        <v>40</v>
      </c>
    </row>
    <row r="3" spans="2:7" x14ac:dyDescent="0.25">
      <c r="B3" s="7" t="s">
        <v>26</v>
      </c>
      <c r="C3" s="1">
        <v>5000</v>
      </c>
      <c r="E3" s="65" t="s">
        <v>50</v>
      </c>
      <c r="F3" s="66"/>
      <c r="G3" s="67"/>
    </row>
    <row r="4" spans="2:7" x14ac:dyDescent="0.25">
      <c r="B4" s="7" t="s">
        <v>27</v>
      </c>
      <c r="C4" s="1">
        <f>300000*2</f>
        <v>600000</v>
      </c>
      <c r="E4" s="12" t="s">
        <v>41</v>
      </c>
      <c r="F4" s="1">
        <v>25</v>
      </c>
      <c r="G4" s="11">
        <f>F4/100*$C$9</f>
        <v>1605100</v>
      </c>
    </row>
    <row r="5" spans="2:7" x14ac:dyDescent="0.25">
      <c r="B5" s="7" t="s">
        <v>4</v>
      </c>
      <c r="C5" s="1">
        <v>540000</v>
      </c>
      <c r="E5" s="12" t="s">
        <v>42</v>
      </c>
      <c r="F5" s="1">
        <v>10</v>
      </c>
      <c r="G5" s="11">
        <f>F5/100*$C$9</f>
        <v>642040</v>
      </c>
    </row>
    <row r="6" spans="2:7" x14ac:dyDescent="0.25">
      <c r="B6" s="7" t="s">
        <v>5</v>
      </c>
      <c r="C6" s="1">
        <f>SUM(C2:C5)</f>
        <v>1146500</v>
      </c>
      <c r="E6" s="12" t="s">
        <v>43</v>
      </c>
      <c r="F6" s="1">
        <v>4</v>
      </c>
      <c r="G6" s="11">
        <f>F6/100*$C$9</f>
        <v>256816</v>
      </c>
    </row>
    <row r="7" spans="2:7" x14ac:dyDescent="0.25">
      <c r="B7" s="7" t="s">
        <v>28</v>
      </c>
      <c r="C7" s="1">
        <f>C6*1.4</f>
        <v>1605100</v>
      </c>
      <c r="E7" s="12" t="s">
        <v>44</v>
      </c>
      <c r="F7" s="1">
        <v>5</v>
      </c>
      <c r="G7" s="11">
        <f>F7/100*$C$9</f>
        <v>321020</v>
      </c>
    </row>
    <row r="8" spans="2:7" x14ac:dyDescent="0.25">
      <c r="E8" s="12" t="s">
        <v>45</v>
      </c>
      <c r="F8" s="1">
        <v>5</v>
      </c>
      <c r="G8" s="11">
        <f>F8/100*$C$9</f>
        <v>321020</v>
      </c>
    </row>
    <row r="9" spans="2:7" x14ac:dyDescent="0.25">
      <c r="B9" s="8" t="s">
        <v>29</v>
      </c>
      <c r="C9" s="9">
        <f>C7/0.25</f>
        <v>6420400</v>
      </c>
      <c r="E9" s="12" t="s">
        <v>46</v>
      </c>
      <c r="F9" s="1">
        <v>8</v>
      </c>
      <c r="G9" s="11">
        <f>F9/100*$C$9</f>
        <v>513632</v>
      </c>
    </row>
    <row r="10" spans="2:7" x14ac:dyDescent="0.25">
      <c r="B10" s="8" t="s">
        <v>30</v>
      </c>
      <c r="C10" s="9">
        <f>C9/0.85</f>
        <v>7553411.7647058824</v>
      </c>
      <c r="E10" s="12" t="s">
        <v>47</v>
      </c>
      <c r="F10" s="1">
        <v>4</v>
      </c>
      <c r="G10" s="11">
        <f>F10/100*$C$9</f>
        <v>256816</v>
      </c>
    </row>
    <row r="11" spans="2:7" x14ac:dyDescent="0.25">
      <c r="B11" s="8" t="s">
        <v>31</v>
      </c>
      <c r="C11" s="9">
        <f>C10*0.15</f>
        <v>1133011.7647058824</v>
      </c>
      <c r="E11" s="12" t="s">
        <v>48</v>
      </c>
      <c r="F11" s="1">
        <v>9</v>
      </c>
      <c r="G11" s="11">
        <f>F11/100*$C$9</f>
        <v>577836</v>
      </c>
    </row>
    <row r="12" spans="2:7" ht="15.75" thickBot="1" x14ac:dyDescent="0.3">
      <c r="E12" s="33" t="s">
        <v>49</v>
      </c>
      <c r="F12" s="34">
        <v>2</v>
      </c>
      <c r="G12" s="35">
        <f>F12/100*$C$9</f>
        <v>128408</v>
      </c>
    </row>
    <row r="13" spans="2:7" ht="15.75" thickBot="1" x14ac:dyDescent="0.3">
      <c r="E13" s="36" t="s">
        <v>57</v>
      </c>
      <c r="F13" s="37"/>
      <c r="G13" s="38">
        <f>SUM(G4:G12)</f>
        <v>4622688</v>
      </c>
    </row>
    <row r="14" spans="2:7" x14ac:dyDescent="0.25">
      <c r="E14" s="65" t="s">
        <v>52</v>
      </c>
      <c r="F14" s="66"/>
      <c r="G14" s="67"/>
    </row>
    <row r="15" spans="2:7" x14ac:dyDescent="0.25">
      <c r="E15" s="12" t="s">
        <v>53</v>
      </c>
      <c r="F15" s="1">
        <v>6</v>
      </c>
      <c r="G15" s="11">
        <f>F15/100*$C$9</f>
        <v>385224</v>
      </c>
    </row>
    <row r="16" spans="2:7" x14ac:dyDescent="0.25">
      <c r="E16" s="12" t="s">
        <v>54</v>
      </c>
      <c r="F16" s="1">
        <v>8</v>
      </c>
      <c r="G16" s="11">
        <f>F16/100*$C$9</f>
        <v>513632</v>
      </c>
    </row>
    <row r="17" spans="5:7" x14ac:dyDescent="0.25">
      <c r="E17" s="12" t="s">
        <v>55</v>
      </c>
      <c r="F17" s="1">
        <v>4</v>
      </c>
      <c r="G17" s="11">
        <f>F17/100*$C$9</f>
        <v>256816</v>
      </c>
    </row>
    <row r="18" spans="5:7" x14ac:dyDescent="0.25">
      <c r="E18" s="12" t="s">
        <v>56</v>
      </c>
      <c r="F18" s="1">
        <v>10</v>
      </c>
      <c r="G18" s="11">
        <f>F18/100*$C$9</f>
        <v>642040</v>
      </c>
    </row>
    <row r="19" spans="5:7" ht="15.75" thickBot="1" x14ac:dyDescent="0.3">
      <c r="E19" s="13" t="s">
        <v>58</v>
      </c>
      <c r="F19" s="14">
        <f>SUM(F1:F18)</f>
        <v>100</v>
      </c>
      <c r="G19" s="15">
        <f>SUM(G15:G18)</f>
        <v>1797712</v>
      </c>
    </row>
    <row r="20" spans="5:7" ht="15.75" thickBot="1" x14ac:dyDescent="0.3">
      <c r="E20" s="16" t="s">
        <v>6</v>
      </c>
      <c r="F20" s="17"/>
      <c r="G20" s="18">
        <f>G19+G13</f>
        <v>6420400</v>
      </c>
    </row>
    <row r="22" spans="5:7" x14ac:dyDescent="0.25">
      <c r="E22" s="7" t="s">
        <v>59</v>
      </c>
      <c r="F22" s="19">
        <f>0.1*G20</f>
        <v>642040</v>
      </c>
    </row>
  </sheetData>
  <mergeCells count="2">
    <mergeCell ref="E3:G3"/>
    <mergeCell ref="E14:G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G11" sqref="G11"/>
    </sheetView>
  </sheetViews>
  <sheetFormatPr defaultRowHeight="15" x14ac:dyDescent="0.25"/>
  <cols>
    <col min="1" max="1" width="34.140625" bestFit="1" customWidth="1"/>
    <col min="4" max="4" width="24.5703125" bestFit="1" customWidth="1"/>
  </cols>
  <sheetData>
    <row r="1" spans="1:5" x14ac:dyDescent="0.25">
      <c r="A1" t="s">
        <v>127</v>
      </c>
      <c r="B1">
        <v>5</v>
      </c>
      <c r="D1" t="s">
        <v>131</v>
      </c>
      <c r="E1" t="s">
        <v>2</v>
      </c>
    </row>
    <row r="2" spans="1:5" x14ac:dyDescent="0.25">
      <c r="A2" t="s">
        <v>128</v>
      </c>
      <c r="B2">
        <v>676.67</v>
      </c>
      <c r="D2" t="s">
        <v>132</v>
      </c>
      <c r="E2">
        <v>17</v>
      </c>
    </row>
    <row r="3" spans="1:5" x14ac:dyDescent="0.25">
      <c r="A3" t="s">
        <v>129</v>
      </c>
      <c r="B3">
        <f>E6*1.25*B2*1.3*14</f>
        <v>3925531.8375000004</v>
      </c>
      <c r="D3" t="s">
        <v>133</v>
      </c>
      <c r="E3">
        <v>4</v>
      </c>
    </row>
    <row r="4" spans="1:5" x14ac:dyDescent="0.25">
      <c r="A4" t="s">
        <v>130</v>
      </c>
      <c r="B4">
        <f>B3*E7</f>
        <v>4475106.2947500004</v>
      </c>
      <c r="D4" t="s">
        <v>134</v>
      </c>
      <c r="E4">
        <v>8</v>
      </c>
    </row>
    <row r="5" spans="1:5" x14ac:dyDescent="0.25">
      <c r="D5" t="s">
        <v>135</v>
      </c>
      <c r="E5">
        <f>30</f>
        <v>30</v>
      </c>
    </row>
    <row r="6" spans="1:5" x14ac:dyDescent="0.25">
      <c r="D6" t="s">
        <v>136</v>
      </c>
      <c r="E6">
        <f>ROUNDUP(E2*E3/E4*E5,0)</f>
        <v>255</v>
      </c>
    </row>
    <row r="7" spans="1:5" x14ac:dyDescent="0.25">
      <c r="D7" t="s">
        <v>125</v>
      </c>
      <c r="E7">
        <f>'Raw material'!I5</f>
        <v>1.1399999999999999</v>
      </c>
    </row>
    <row r="8" spans="1:5" ht="34.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opLeftCell="A4" zoomScale="85" zoomScaleNormal="85" workbookViewId="0">
      <selection activeCell="B43" sqref="B43:C43"/>
    </sheetView>
  </sheetViews>
  <sheetFormatPr defaultRowHeight="15" x14ac:dyDescent="0.25"/>
  <cols>
    <col min="1" max="1" width="19" bestFit="1" customWidth="1"/>
    <col min="2" max="2" width="18" customWidth="1"/>
    <col min="3" max="3" width="24" customWidth="1"/>
    <col min="4" max="4" width="38.7109375" customWidth="1"/>
    <col min="5" max="5" width="13.85546875" bestFit="1" customWidth="1"/>
    <col min="6" max="6" width="20" customWidth="1"/>
    <col min="8" max="8" width="12.28515625" bestFit="1" customWidth="1"/>
  </cols>
  <sheetData>
    <row r="1" spans="1:7" ht="15.75" thickBot="1" x14ac:dyDescent="0.3">
      <c r="D1" t="s">
        <v>22</v>
      </c>
      <c r="E1" t="s">
        <v>3</v>
      </c>
      <c r="F1" s="20"/>
    </row>
    <row r="2" spans="1:7" x14ac:dyDescent="0.25">
      <c r="A2" s="74" t="s">
        <v>74</v>
      </c>
      <c r="B2" s="71" t="s">
        <v>76</v>
      </c>
      <c r="C2" s="44" t="s">
        <v>60</v>
      </c>
      <c r="D2" s="55">
        <f>E2/10^6</f>
        <v>91.863935999999995</v>
      </c>
      <c r="E2" s="51">
        <f>ROUND('Raw material'!E5,1)</f>
        <v>91863936</v>
      </c>
      <c r="G2" s="20"/>
    </row>
    <row r="3" spans="1:7" ht="15.75" thickBot="1" x14ac:dyDescent="0.3">
      <c r="A3" s="74"/>
      <c r="B3" s="72"/>
      <c r="C3" s="42" t="s">
        <v>67</v>
      </c>
      <c r="D3" s="56">
        <f>E3/10^6</f>
        <v>18.372787199999998</v>
      </c>
      <c r="E3" s="54">
        <f>0.2*E2</f>
        <v>18372787.199999999</v>
      </c>
    </row>
    <row r="4" spans="1:7" x14ac:dyDescent="0.25">
      <c r="A4" s="74"/>
      <c r="B4" s="72"/>
      <c r="C4" s="41" t="s">
        <v>62</v>
      </c>
      <c r="D4" s="55">
        <f t="shared" ref="D4:D15" si="0">E4/10^6</f>
        <v>4.4751062947500007</v>
      </c>
      <c r="E4" s="51">
        <f>Labour!B4</f>
        <v>4475106.2947500004</v>
      </c>
      <c r="G4" s="20"/>
    </row>
    <row r="5" spans="1:7" x14ac:dyDescent="0.25">
      <c r="A5" s="74"/>
      <c r="B5" s="72"/>
      <c r="C5" s="42" t="s">
        <v>61</v>
      </c>
      <c r="D5" s="57">
        <f t="shared" si="0"/>
        <v>0.67126594421249997</v>
      </c>
      <c r="E5" s="53">
        <f>0.15*E4</f>
        <v>671265.94421250001</v>
      </c>
    </row>
    <row r="6" spans="1:7" x14ac:dyDescent="0.25">
      <c r="A6" s="74"/>
      <c r="B6" s="72"/>
      <c r="C6" s="42" t="s">
        <v>63</v>
      </c>
      <c r="D6" s="56">
        <f t="shared" si="0"/>
        <v>0.38522400000000001</v>
      </c>
      <c r="E6" s="53">
        <f>0.06*'Fixed costs'!G20</f>
        <v>385224</v>
      </c>
    </row>
    <row r="7" spans="1:7" x14ac:dyDescent="0.25">
      <c r="A7" s="74"/>
      <c r="B7" s="72"/>
      <c r="C7" s="39" t="s">
        <v>68</v>
      </c>
      <c r="D7" s="57">
        <f t="shared" si="0"/>
        <v>5.7783599999999997E-2</v>
      </c>
      <c r="E7" s="53">
        <f>0.15*E6</f>
        <v>57783.6</v>
      </c>
    </row>
    <row r="8" spans="1:7" x14ac:dyDescent="0.25">
      <c r="A8" s="74"/>
      <c r="B8" s="72"/>
      <c r="C8" s="39" t="s">
        <v>66</v>
      </c>
      <c r="D8" s="56">
        <f t="shared" si="0"/>
        <v>1.091764705882353</v>
      </c>
      <c r="E8" s="53">
        <f>Eletricity!B3</f>
        <v>1091764.705882353</v>
      </c>
      <c r="G8" s="20"/>
    </row>
    <row r="9" spans="1:7" x14ac:dyDescent="0.25">
      <c r="A9" s="74"/>
      <c r="B9" s="72"/>
      <c r="C9" s="39" t="s">
        <v>64</v>
      </c>
      <c r="D9" s="57">
        <f t="shared" si="0"/>
        <v>0.22464854400000003</v>
      </c>
      <c r="E9" s="53">
        <f>Utilities!B1</f>
        <v>224648.54400000002</v>
      </c>
    </row>
    <row r="10" spans="1:7" x14ac:dyDescent="0.25">
      <c r="A10" s="74"/>
      <c r="B10" s="72"/>
      <c r="C10" s="39" t="s">
        <v>65</v>
      </c>
      <c r="D10" s="48">
        <f t="shared" si="0"/>
        <v>0</v>
      </c>
      <c r="E10" s="46">
        <v>0</v>
      </c>
    </row>
    <row r="11" spans="1:7" ht="15.75" thickBot="1" x14ac:dyDescent="0.3">
      <c r="A11" s="74"/>
      <c r="B11" s="73"/>
      <c r="C11" s="40" t="s">
        <v>69</v>
      </c>
      <c r="D11" s="58">
        <f t="shared" si="0"/>
        <v>0</v>
      </c>
      <c r="E11" s="52">
        <f>'Raw material'!B14</f>
        <v>0</v>
      </c>
    </row>
    <row r="12" spans="1:7" x14ac:dyDescent="0.25">
      <c r="A12" s="74"/>
      <c r="B12" s="68" t="s">
        <v>77</v>
      </c>
      <c r="C12" s="41" t="s">
        <v>70</v>
      </c>
      <c r="D12" s="55">
        <f t="shared" si="0"/>
        <v>0.64204000000000006</v>
      </c>
      <c r="E12" s="51">
        <f>'Fixed costs'!F22</f>
        <v>642040</v>
      </c>
    </row>
    <row r="13" spans="1:7" x14ac:dyDescent="0.25">
      <c r="A13" s="74"/>
      <c r="B13" s="69"/>
      <c r="C13" s="39" t="s">
        <v>71</v>
      </c>
      <c r="D13" s="48">
        <f t="shared" si="0"/>
        <v>1.2</v>
      </c>
      <c r="E13" s="46">
        <v>1200000</v>
      </c>
      <c r="G13" s="20"/>
    </row>
    <row r="14" spans="1:7" x14ac:dyDescent="0.25">
      <c r="A14" s="74"/>
      <c r="B14" s="69"/>
      <c r="C14" s="39" t="s">
        <v>72</v>
      </c>
      <c r="D14" s="56">
        <f t="shared" si="0"/>
        <v>2</v>
      </c>
      <c r="E14" s="46">
        <v>2000000</v>
      </c>
      <c r="G14" s="20"/>
    </row>
    <row r="15" spans="1:7" ht="15.75" thickBot="1" x14ac:dyDescent="0.3">
      <c r="A15" s="74"/>
      <c r="B15" s="70"/>
      <c r="C15" s="40" t="s">
        <v>73</v>
      </c>
      <c r="D15" s="49">
        <f t="shared" si="0"/>
        <v>0</v>
      </c>
      <c r="E15" s="45">
        <v>0</v>
      </c>
    </row>
    <row r="16" spans="1:7" x14ac:dyDescent="0.25">
      <c r="A16" s="74"/>
      <c r="B16" s="68" t="s">
        <v>78</v>
      </c>
      <c r="C16" s="41" t="s">
        <v>82</v>
      </c>
      <c r="D16" s="88">
        <v>2.5630054701710301</v>
      </c>
      <c r="E16" s="77">
        <f>0.5*(E4+E6+E5)</f>
        <v>2765798.1194812502</v>
      </c>
      <c r="F16" s="85"/>
      <c r="G16" s="85"/>
    </row>
    <row r="17" spans="1:7" x14ac:dyDescent="0.25">
      <c r="A17" s="74"/>
      <c r="B17" s="69"/>
      <c r="C17" s="39" t="s">
        <v>83</v>
      </c>
      <c r="D17" s="89"/>
      <c r="E17" s="78"/>
      <c r="F17" s="85"/>
      <c r="G17" s="85"/>
    </row>
    <row r="18" spans="1:7" x14ac:dyDescent="0.25">
      <c r="A18" s="74"/>
      <c r="B18" s="69"/>
      <c r="C18" s="39" t="s">
        <v>84</v>
      </c>
      <c r="D18" s="89"/>
      <c r="E18" s="78"/>
      <c r="F18" s="85"/>
      <c r="G18" s="85"/>
    </row>
    <row r="19" spans="1:7" x14ac:dyDescent="0.25">
      <c r="A19" s="74"/>
      <c r="B19" s="69"/>
      <c r="C19" s="39" t="s">
        <v>85</v>
      </c>
      <c r="D19" s="89"/>
      <c r="E19" s="78"/>
      <c r="F19" s="85"/>
      <c r="G19" s="85"/>
    </row>
    <row r="20" spans="1:7" x14ac:dyDescent="0.25">
      <c r="A20" s="74"/>
      <c r="B20" s="69"/>
      <c r="C20" s="39" t="s">
        <v>86</v>
      </c>
      <c r="D20" s="89"/>
      <c r="E20" s="78"/>
      <c r="F20" s="85"/>
      <c r="G20" s="85"/>
    </row>
    <row r="21" spans="1:7" x14ac:dyDescent="0.25">
      <c r="A21" s="74"/>
      <c r="B21" s="69"/>
      <c r="C21" s="39" t="s">
        <v>87</v>
      </c>
      <c r="D21" s="89"/>
      <c r="E21" s="78"/>
      <c r="F21" s="85"/>
      <c r="G21" s="85"/>
    </row>
    <row r="22" spans="1:7" x14ac:dyDescent="0.25">
      <c r="A22" s="74"/>
      <c r="B22" s="69"/>
      <c r="C22" s="39" t="s">
        <v>88</v>
      </c>
      <c r="D22" s="89"/>
      <c r="E22" s="78"/>
      <c r="F22" s="85"/>
      <c r="G22" s="85"/>
    </row>
    <row r="23" spans="1:7" x14ac:dyDescent="0.25">
      <c r="A23" s="74"/>
      <c r="B23" s="69"/>
      <c r="C23" s="39" t="s">
        <v>89</v>
      </c>
      <c r="D23" s="89"/>
      <c r="E23" s="78"/>
      <c r="F23" s="85"/>
      <c r="G23" s="85"/>
    </row>
    <row r="24" spans="1:7" x14ac:dyDescent="0.25">
      <c r="A24" s="74"/>
      <c r="B24" s="69"/>
      <c r="C24" s="39" t="s">
        <v>90</v>
      </c>
      <c r="D24" s="89"/>
      <c r="E24" s="78"/>
      <c r="F24" s="85"/>
      <c r="G24" s="85"/>
    </row>
    <row r="25" spans="1:7" x14ac:dyDescent="0.25">
      <c r="A25" s="74"/>
      <c r="B25" s="69"/>
      <c r="C25" s="39" t="s">
        <v>91</v>
      </c>
      <c r="D25" s="89"/>
      <c r="E25" s="78"/>
      <c r="F25" s="85"/>
      <c r="G25" s="85"/>
    </row>
    <row r="26" spans="1:7" x14ac:dyDescent="0.25">
      <c r="A26" s="74"/>
      <c r="B26" s="69"/>
      <c r="C26" s="39" t="s">
        <v>92</v>
      </c>
      <c r="D26" s="89"/>
      <c r="E26" s="78"/>
      <c r="F26" s="85"/>
      <c r="G26" s="85"/>
    </row>
    <row r="27" spans="1:7" ht="15.75" thickBot="1" x14ac:dyDescent="0.3">
      <c r="A27" s="75"/>
      <c r="B27" s="70"/>
      <c r="C27" s="40" t="s">
        <v>93</v>
      </c>
      <c r="D27" s="90"/>
      <c r="E27" s="79"/>
      <c r="F27" s="85"/>
      <c r="G27" s="85"/>
    </row>
    <row r="28" spans="1:7" x14ac:dyDescent="0.25">
      <c r="A28" s="76" t="s">
        <v>75</v>
      </c>
      <c r="B28" s="71" t="s">
        <v>79</v>
      </c>
      <c r="C28" s="41" t="s">
        <v>94</v>
      </c>
      <c r="D28" s="88">
        <v>2.5630054701710314</v>
      </c>
      <c r="E28" s="77">
        <f>0.2*E4</f>
        <v>895021.25895000016</v>
      </c>
      <c r="F28" s="85"/>
      <c r="G28" s="85"/>
    </row>
    <row r="29" spans="1:7" x14ac:dyDescent="0.25">
      <c r="A29" s="74"/>
      <c r="B29" s="72"/>
      <c r="C29" s="39" t="s">
        <v>95</v>
      </c>
      <c r="D29" s="89"/>
      <c r="E29" s="78"/>
      <c r="F29" s="85"/>
      <c r="G29" s="85"/>
    </row>
    <row r="30" spans="1:7" x14ac:dyDescent="0.25">
      <c r="A30" s="74"/>
      <c r="B30" s="72"/>
      <c r="C30" s="39" t="s">
        <v>96</v>
      </c>
      <c r="D30" s="89"/>
      <c r="E30" s="78"/>
      <c r="F30" s="85"/>
      <c r="G30" s="85"/>
    </row>
    <row r="31" spans="1:7" x14ac:dyDescent="0.25">
      <c r="A31" s="74"/>
      <c r="B31" s="72"/>
      <c r="C31" s="39" t="s">
        <v>97</v>
      </c>
      <c r="D31" s="89"/>
      <c r="E31" s="78"/>
      <c r="F31" s="85"/>
      <c r="G31" s="85"/>
    </row>
    <row r="32" spans="1:7" ht="15.75" thickBot="1" x14ac:dyDescent="0.3">
      <c r="A32" s="74"/>
      <c r="B32" s="73"/>
      <c r="C32" s="40" t="s">
        <v>98</v>
      </c>
      <c r="D32" s="90"/>
      <c r="E32" s="79"/>
      <c r="F32" s="85"/>
      <c r="G32" s="85"/>
    </row>
    <row r="33" spans="1:7" x14ac:dyDescent="0.25">
      <c r="A33" s="74"/>
      <c r="B33" s="71" t="s">
        <v>80</v>
      </c>
      <c r="C33" s="41" t="s">
        <v>99</v>
      </c>
      <c r="D33" s="88">
        <v>2.5630054701710314</v>
      </c>
      <c r="E33" s="80">
        <v>4000000</v>
      </c>
      <c r="F33" s="85"/>
      <c r="G33" s="85"/>
    </row>
    <row r="34" spans="1:7" x14ac:dyDescent="0.25">
      <c r="A34" s="74"/>
      <c r="B34" s="72"/>
      <c r="C34" s="39" t="s">
        <v>100</v>
      </c>
      <c r="D34" s="89"/>
      <c r="E34" s="81"/>
      <c r="F34" s="85"/>
      <c r="G34" s="85"/>
    </row>
    <row r="35" spans="1:7" x14ac:dyDescent="0.25">
      <c r="A35" s="74"/>
      <c r="B35" s="72"/>
      <c r="C35" s="39" t="s">
        <v>101</v>
      </c>
      <c r="D35" s="89"/>
      <c r="E35" s="81"/>
      <c r="F35" s="85"/>
      <c r="G35" s="85"/>
    </row>
    <row r="36" spans="1:7" x14ac:dyDescent="0.25">
      <c r="A36" s="74"/>
      <c r="B36" s="72"/>
      <c r="C36" s="39" t="s">
        <v>102</v>
      </c>
      <c r="D36" s="89"/>
      <c r="E36" s="81"/>
      <c r="F36" s="85"/>
      <c r="G36" s="85"/>
    </row>
    <row r="37" spans="1:7" x14ac:dyDescent="0.25">
      <c r="A37" s="74"/>
      <c r="B37" s="72"/>
      <c r="C37" s="39" t="s">
        <v>103</v>
      </c>
      <c r="D37" s="89"/>
      <c r="E37" s="81"/>
      <c r="F37" s="85"/>
      <c r="G37" s="85"/>
    </row>
    <row r="38" spans="1:7" ht="15.75" thickBot="1" x14ac:dyDescent="0.3">
      <c r="A38" s="74"/>
      <c r="B38" s="73"/>
      <c r="C38" s="40" t="s">
        <v>104</v>
      </c>
      <c r="D38" s="90"/>
      <c r="E38" s="82"/>
      <c r="F38" s="85"/>
      <c r="G38" s="85"/>
    </row>
    <row r="39" spans="1:7" x14ac:dyDescent="0.25">
      <c r="A39" s="74"/>
      <c r="B39" s="71" t="s">
        <v>1</v>
      </c>
      <c r="C39" s="62" t="s">
        <v>105</v>
      </c>
      <c r="D39" s="88">
        <v>2.5630054701710314</v>
      </c>
      <c r="E39" s="77">
        <f>0.02*Revenue!B4</f>
        <v>2793600</v>
      </c>
      <c r="F39" s="85"/>
      <c r="G39" s="85"/>
    </row>
    <row r="40" spans="1:7" x14ac:dyDescent="0.25">
      <c r="A40" s="74"/>
      <c r="B40" s="72"/>
      <c r="C40" s="63" t="s">
        <v>106</v>
      </c>
      <c r="D40" s="89"/>
      <c r="E40" s="78"/>
      <c r="F40" s="85"/>
      <c r="G40" s="85"/>
    </row>
    <row r="41" spans="1:7" x14ac:dyDescent="0.25">
      <c r="A41" s="74"/>
      <c r="B41" s="72"/>
      <c r="C41" s="63" t="s">
        <v>107</v>
      </c>
      <c r="D41" s="89"/>
      <c r="E41" s="78"/>
      <c r="F41" s="85"/>
      <c r="G41" s="85"/>
    </row>
    <row r="42" spans="1:7" ht="15.75" thickBot="1" x14ac:dyDescent="0.3">
      <c r="A42" s="75"/>
      <c r="B42" s="73"/>
      <c r="C42" s="64" t="s">
        <v>108</v>
      </c>
      <c r="D42" s="90"/>
      <c r="E42" s="79"/>
      <c r="F42" s="85"/>
      <c r="G42" s="85"/>
    </row>
    <row r="43" spans="1:7" ht="15.75" thickBot="1" x14ac:dyDescent="0.3">
      <c r="B43" s="83" t="s">
        <v>81</v>
      </c>
      <c r="C43" s="84"/>
      <c r="D43" s="60">
        <v>0</v>
      </c>
      <c r="E43" s="47">
        <v>0</v>
      </c>
    </row>
    <row r="44" spans="1:7" ht="15.75" thickBot="1" x14ac:dyDescent="0.3">
      <c r="B44" s="86" t="s">
        <v>5</v>
      </c>
      <c r="C44" s="87"/>
      <c r="D44" s="59">
        <f>E44/10^6</f>
        <v>131.43897566727611</v>
      </c>
      <c r="E44" s="50">
        <f>SUM(E2:E43)</f>
        <v>131438975.6672761</v>
      </c>
    </row>
  </sheetData>
  <mergeCells count="26">
    <mergeCell ref="B44:C44"/>
    <mergeCell ref="D16:D27"/>
    <mergeCell ref="D28:D32"/>
    <mergeCell ref="D33:D38"/>
    <mergeCell ref="D39:D42"/>
    <mergeCell ref="F33:F38"/>
    <mergeCell ref="G33:G38"/>
    <mergeCell ref="F39:F42"/>
    <mergeCell ref="G39:G42"/>
    <mergeCell ref="F16:F27"/>
    <mergeCell ref="F28:F32"/>
    <mergeCell ref="G28:G32"/>
    <mergeCell ref="G16:G27"/>
    <mergeCell ref="E16:E27"/>
    <mergeCell ref="E28:E32"/>
    <mergeCell ref="E33:E38"/>
    <mergeCell ref="E39:E42"/>
    <mergeCell ref="B43:C43"/>
    <mergeCell ref="B39:B42"/>
    <mergeCell ref="B12:B15"/>
    <mergeCell ref="B2:B11"/>
    <mergeCell ref="A2:A27"/>
    <mergeCell ref="B28:B32"/>
    <mergeCell ref="B33:B38"/>
    <mergeCell ref="B16:B27"/>
    <mergeCell ref="A28:A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B2" sqref="B2"/>
    </sheetView>
  </sheetViews>
  <sheetFormatPr defaultRowHeight="15" x14ac:dyDescent="0.25"/>
  <cols>
    <col min="1" max="1" width="43.42578125" bestFit="1" customWidth="1"/>
    <col min="2" max="2" width="12.7109375" bestFit="1" customWidth="1"/>
    <col min="3" max="3" width="14.5703125" bestFit="1" customWidth="1"/>
    <col min="12" max="12" width="11.7109375" bestFit="1" customWidth="1"/>
  </cols>
  <sheetData>
    <row r="1" spans="1:2" x14ac:dyDescent="0.25">
      <c r="A1" s="22" t="s">
        <v>13</v>
      </c>
      <c r="B1" s="26">
        <v>4.7341646629528782</v>
      </c>
    </row>
    <row r="2" spans="1:2" ht="15.75" thickBot="1" x14ac:dyDescent="0.3">
      <c r="A2" s="24" t="s">
        <v>35</v>
      </c>
      <c r="B2" s="25">
        <f>0.97*3600*8000</f>
        <v>27936000</v>
      </c>
    </row>
    <row r="3" spans="1:2" ht="15.75" thickBot="1" x14ac:dyDescent="0.3">
      <c r="A3" s="22" t="s">
        <v>36</v>
      </c>
      <c r="B3" s="23">
        <f>B2*B1</f>
        <v>132253624.02425161</v>
      </c>
    </row>
    <row r="4" spans="1:2" x14ac:dyDescent="0.25">
      <c r="A4" s="22" t="s">
        <v>111</v>
      </c>
      <c r="B4" s="27">
        <f>B3</f>
        <v>132253624.02425161</v>
      </c>
    </row>
    <row r="5" spans="1:2" ht="15.75" thickBot="1" x14ac:dyDescent="0.3">
      <c r="A5" s="24" t="s">
        <v>110</v>
      </c>
      <c r="B5" s="30">
        <f>B4-_sm_</f>
        <v>814648.35697551072</v>
      </c>
    </row>
    <row r="7" spans="1:2" x14ac:dyDescent="0.25">
      <c r="A7" s="8" t="s">
        <v>29</v>
      </c>
      <c r="B7">
        <f>'Fixed costs'!C9</f>
        <v>6420400</v>
      </c>
    </row>
    <row r="8" spans="1:2" x14ac:dyDescent="0.25">
      <c r="A8" s="8" t="s">
        <v>30</v>
      </c>
      <c r="B8">
        <f>'Fixed costs'!C10</f>
        <v>7553411.7647058824</v>
      </c>
    </row>
    <row r="9" spans="1:2" x14ac:dyDescent="0.25">
      <c r="A9" s="8" t="s">
        <v>112</v>
      </c>
      <c r="B9">
        <f>'Fixed costs'!C11</f>
        <v>1133011.7647058824</v>
      </c>
    </row>
    <row r="11" spans="1:2" x14ac:dyDescent="0.25">
      <c r="A11" s="21" t="s">
        <v>113</v>
      </c>
      <c r="B11">
        <f>B5*(1-0.25)+_am_</f>
        <v>1253026.267731633</v>
      </c>
    </row>
    <row r="12" spans="1:2" x14ac:dyDescent="0.25">
      <c r="A12" s="21" t="s">
        <v>114</v>
      </c>
      <c r="B12">
        <f>Revenue!B12</f>
        <v>0.12</v>
      </c>
    </row>
    <row r="14" spans="1:2" x14ac:dyDescent="0.25">
      <c r="A14" s="5" t="s">
        <v>12</v>
      </c>
      <c r="B14">
        <v>0</v>
      </c>
    </row>
    <row r="15" spans="1:2" x14ac:dyDescent="0.25">
      <c r="A15" s="61" t="s">
        <v>115</v>
      </c>
      <c r="B15">
        <f>-Revenue!B8</f>
        <v>-7553411.7647058824</v>
      </c>
    </row>
    <row r="16" spans="1:2" x14ac:dyDescent="0.25">
      <c r="A16" s="61" t="s">
        <v>116</v>
      </c>
      <c r="B16">
        <f>-Revenue!B8</f>
        <v>-7553411.7647058824</v>
      </c>
    </row>
    <row r="17" spans="1:12" x14ac:dyDescent="0.25">
      <c r="A17" s="61" t="s">
        <v>117</v>
      </c>
    </row>
    <row r="20" spans="1:12" x14ac:dyDescent="0.25">
      <c r="C20">
        <f>Revenue!C20</f>
        <v>1</v>
      </c>
      <c r="D20">
        <f>Revenue!D20</f>
        <v>2</v>
      </c>
      <c r="E20">
        <f>Revenue!E20</f>
        <v>3</v>
      </c>
      <c r="F20">
        <f>Revenue!F20</f>
        <v>4</v>
      </c>
      <c r="G20">
        <f>Revenue!G20</f>
        <v>5</v>
      </c>
      <c r="H20">
        <f>Revenue!H20</f>
        <v>6</v>
      </c>
      <c r="I20">
        <f>Revenue!I20</f>
        <v>7</v>
      </c>
      <c r="J20">
        <f>Revenue!J20</f>
        <v>8</v>
      </c>
      <c r="K20">
        <f>Revenue!K20</f>
        <v>9</v>
      </c>
      <c r="L20">
        <f>Revenue!L20</f>
        <v>10</v>
      </c>
    </row>
    <row r="21" spans="1:12" x14ac:dyDescent="0.25">
      <c r="C21">
        <f>B16+C22</f>
        <v>-6434638.3113740673</v>
      </c>
      <c r="D21">
        <f t="shared" ref="D21" si="0">C21+D22</f>
        <v>-5435733.4423278039</v>
      </c>
      <c r="E21">
        <f t="shared" ref="E21" si="1">D21+E22</f>
        <v>-4543854.0949650686</v>
      </c>
      <c r="F21">
        <f t="shared" ref="F21" si="2">E21+F22</f>
        <v>-3747533.2491054838</v>
      </c>
      <c r="G21">
        <f t="shared" ref="G21" si="3">F21+G22</f>
        <v>-3036532.4938737117</v>
      </c>
      <c r="H21">
        <f t="shared" ref="H21" si="4">G21+H22</f>
        <v>-2401710.3909882009</v>
      </c>
      <c r="I21">
        <f t="shared" ref="I21" si="5">H21+I22</f>
        <v>-1834904.9419832807</v>
      </c>
      <c r="J21">
        <f t="shared" ref="J21" si="6">I21+J22</f>
        <v>-1328828.6482288875</v>
      </c>
      <c r="K21">
        <f t="shared" ref="K21" si="7">J21+K22</f>
        <v>-876974.81451960793</v>
      </c>
      <c r="L21">
        <f>K21+L22</f>
        <v>-473533.89156489406</v>
      </c>
    </row>
    <row r="22" spans="1:12" x14ac:dyDescent="0.25">
      <c r="C22">
        <f>_cfe_*(1+Revenue!$B$12)^(-C20)</f>
        <v>1118773.4533318151</v>
      </c>
      <c r="D22">
        <f>_cfe_*(1+Revenue!$B$12)^(-D20)</f>
        <v>998904.86904626351</v>
      </c>
      <c r="E22">
        <f>_cfe_*(1+Revenue!$B$12)^(-E20)</f>
        <v>891879.34736273508</v>
      </c>
      <c r="F22">
        <f>_cfe_*(1+Revenue!$B$12)^(-F20)</f>
        <v>796320.84585958498</v>
      </c>
      <c r="G22">
        <f>_cfe_*(1+Revenue!$B$12)^(-G20)</f>
        <v>711000.7552317722</v>
      </c>
      <c r="H22">
        <f>_cfe_*(1+Revenue!$B$12)^(-H20)</f>
        <v>634822.10288551089</v>
      </c>
      <c r="I22">
        <f>_cfe_*(1+Revenue!$B$12)^(-I20)</f>
        <v>566805.44900492032</v>
      </c>
      <c r="J22">
        <f>_cfe_*(1+Revenue!$B$12)^(-J20)</f>
        <v>506076.29375439312</v>
      </c>
      <c r="K22">
        <f>_cfe_*(1+Revenue!$B$12)^(-K20)</f>
        <v>451853.8337092796</v>
      </c>
      <c r="L22">
        <f>_cfe_*(1+Revenue!$B$12)^(-L20)</f>
        <v>403440.92295471387</v>
      </c>
    </row>
    <row r="25" spans="1:12" x14ac:dyDescent="0.25">
      <c r="C25" s="28" t="s">
        <v>18</v>
      </c>
      <c r="D25" s="29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tabSelected="1" workbookViewId="0">
      <selection activeCell="B2" sqref="B2"/>
    </sheetView>
  </sheetViews>
  <sheetFormatPr defaultRowHeight="15" x14ac:dyDescent="0.25"/>
  <cols>
    <col min="1" max="1" width="41.7109375" bestFit="1" customWidth="1"/>
    <col min="2" max="2" width="12.7109375" bestFit="1" customWidth="1"/>
    <col min="3" max="3" width="14.5703125" bestFit="1" customWidth="1"/>
    <col min="4" max="5" width="12" bestFit="1" customWidth="1"/>
    <col min="7" max="8" width="12" bestFit="1" customWidth="1"/>
    <col min="10" max="10" width="11" bestFit="1" customWidth="1"/>
    <col min="11" max="11" width="12" bestFit="1" customWidth="1"/>
  </cols>
  <sheetData>
    <row r="1" spans="1:4" x14ac:dyDescent="0.25">
      <c r="A1" s="22" t="s">
        <v>109</v>
      </c>
      <c r="B1" s="26">
        <v>5</v>
      </c>
    </row>
    <row r="2" spans="1:4" ht="15.75" thickBot="1" x14ac:dyDescent="0.3">
      <c r="A2" s="24" t="s">
        <v>35</v>
      </c>
      <c r="B2" s="25">
        <f>0.97*3600*8000</f>
        <v>27936000</v>
      </c>
    </row>
    <row r="3" spans="1:4" ht="15.75" thickBot="1" x14ac:dyDescent="0.3">
      <c r="A3" s="22" t="s">
        <v>36</v>
      </c>
      <c r="B3" s="23">
        <f>B2*B1</f>
        <v>139680000</v>
      </c>
    </row>
    <row r="4" spans="1:4" x14ac:dyDescent="0.25">
      <c r="A4" s="22" t="s">
        <v>111</v>
      </c>
      <c r="B4" s="27">
        <f>B3</f>
        <v>139680000</v>
      </c>
    </row>
    <row r="5" spans="1:4" ht="15.75" thickBot="1" x14ac:dyDescent="0.3">
      <c r="A5" s="24" t="s">
        <v>110</v>
      </c>
      <c r="B5" s="30">
        <f>B4-_sm_</f>
        <v>8241024.3327239007</v>
      </c>
    </row>
    <row r="7" spans="1:4" x14ac:dyDescent="0.25">
      <c r="A7" s="8" t="s">
        <v>29</v>
      </c>
      <c r="B7">
        <f>'Fixed costs'!C9</f>
        <v>6420400</v>
      </c>
    </row>
    <row r="8" spans="1:4" x14ac:dyDescent="0.25">
      <c r="A8" s="8" t="s">
        <v>30</v>
      </c>
      <c r="B8">
        <f>'Fixed costs'!C10</f>
        <v>7553411.7647058824</v>
      </c>
    </row>
    <row r="9" spans="1:4" x14ac:dyDescent="0.25">
      <c r="A9" s="8" t="s">
        <v>112</v>
      </c>
      <c r="B9">
        <f>'Fixed costs'!C11</f>
        <v>1133011.7647058824</v>
      </c>
    </row>
    <row r="10" spans="1:4" x14ac:dyDescent="0.25">
      <c r="C10" s="43"/>
    </row>
    <row r="11" spans="1:4" x14ac:dyDescent="0.25">
      <c r="A11" s="21" t="s">
        <v>113</v>
      </c>
      <c r="B11">
        <f>B5*(1-0.25)+_am_</f>
        <v>6822808.2495429255</v>
      </c>
      <c r="C11" s="43"/>
    </row>
    <row r="12" spans="1:4" x14ac:dyDescent="0.25">
      <c r="A12" s="21" t="s">
        <v>114</v>
      </c>
      <c r="B12">
        <v>0.12</v>
      </c>
    </row>
    <row r="14" spans="1:4" x14ac:dyDescent="0.25">
      <c r="A14" s="5" t="s">
        <v>12</v>
      </c>
      <c r="B14" s="5">
        <v>0</v>
      </c>
    </row>
    <row r="15" spans="1:4" x14ac:dyDescent="0.25">
      <c r="A15" s="31" t="s">
        <v>115</v>
      </c>
      <c r="B15" s="5">
        <f>-B8</f>
        <v>-7553411.7647058824</v>
      </c>
      <c r="D15" s="20"/>
    </row>
    <row r="16" spans="1:4" x14ac:dyDescent="0.25">
      <c r="A16" s="31" t="s">
        <v>116</v>
      </c>
      <c r="B16">
        <f>VAL!B2</f>
        <v>-7553411.7647058824</v>
      </c>
    </row>
    <row r="17" spans="1:12" x14ac:dyDescent="0.25">
      <c r="A17" s="31" t="s">
        <v>117</v>
      </c>
      <c r="B17">
        <f>+C20-C21/D22</f>
        <v>1.2687243157217281</v>
      </c>
      <c r="C17" s="43">
        <f>B11/10^6</f>
        <v>6.8228082495429252</v>
      </c>
    </row>
    <row r="20" spans="1:12" x14ac:dyDescent="0.25"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</row>
    <row r="21" spans="1:12" x14ac:dyDescent="0.25">
      <c r="C21">
        <f>B16+C22</f>
        <v>-1461618.6847568424</v>
      </c>
      <c r="D21">
        <f>C21+D22</f>
        <v>3977482.2794833723</v>
      </c>
      <c r="E21">
        <f>D21+E22</f>
        <v>8833822.4261264205</v>
      </c>
      <c r="F21">
        <f t="shared" ref="F21:L21" si="0">E21+F22</f>
        <v>13169840.41420057</v>
      </c>
      <c r="G21">
        <f t="shared" si="0"/>
        <v>17041285.046409633</v>
      </c>
      <c r="H21">
        <f t="shared" si="0"/>
        <v>20497932.039453439</v>
      </c>
      <c r="I21">
        <f t="shared" si="0"/>
        <v>23584223.997528266</v>
      </c>
      <c r="J21">
        <f t="shared" si="0"/>
        <v>26339841.817237932</v>
      </c>
      <c r="K21">
        <f t="shared" si="0"/>
        <v>28800214.870550133</v>
      </c>
      <c r="L21">
        <f t="shared" si="0"/>
        <v>30996976.525293171</v>
      </c>
    </row>
    <row r="22" spans="1:12" x14ac:dyDescent="0.25">
      <c r="C22">
        <f>VAL!C2</f>
        <v>6091793.07994904</v>
      </c>
      <c r="D22">
        <f>VAL!D2</f>
        <v>5439100.9642402148</v>
      </c>
      <c r="E22">
        <f>VAL!E2</f>
        <v>4856340.1466430472</v>
      </c>
      <c r="F22">
        <f>VAL!F2</f>
        <v>4336017.9880741499</v>
      </c>
      <c r="G22">
        <f>VAL!G2</f>
        <v>3871444.6322090616</v>
      </c>
      <c r="H22">
        <f>VAL!H2</f>
        <v>3456646.993043805</v>
      </c>
      <c r="I22">
        <f>VAL!I2</f>
        <v>3086291.9580748258</v>
      </c>
      <c r="J22">
        <f>VAL!J2</f>
        <v>2755617.8197096656</v>
      </c>
      <c r="K22">
        <f>VAL!K2</f>
        <v>2460373.0533122015</v>
      </c>
      <c r="L22">
        <f>VAL!L2</f>
        <v>2196761.6547430367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topLeftCell="F1" workbookViewId="0">
      <selection activeCell="N2" sqref="N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0" bestFit="1" customWidth="1"/>
  </cols>
  <sheetData>
    <row r="1" spans="1:14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23</v>
      </c>
      <c r="N1" t="s">
        <v>24</v>
      </c>
    </row>
    <row r="2" spans="1:14" x14ac:dyDescent="0.25">
      <c r="A2" t="s">
        <v>15</v>
      </c>
      <c r="B2">
        <f>-Revenue!B8</f>
        <v>-7553411.7647058824</v>
      </c>
      <c r="C2">
        <f>_cf_*(1+Revenue!$B$12)^(-C1)</f>
        <v>6091793.07994904</v>
      </c>
      <c r="D2">
        <f>_cf_*(1+Revenue!$B$12)^(-D1)</f>
        <v>5439100.9642402148</v>
      </c>
      <c r="E2">
        <f>_cf_*(1+Revenue!$B$12)^(-E1)</f>
        <v>4856340.1466430472</v>
      </c>
      <c r="F2">
        <f>_cf_*(1+Revenue!$B$12)^(-F1)</f>
        <v>4336017.9880741499</v>
      </c>
      <c r="G2">
        <f>_cf_*(1+Revenue!$B$12)^(-G1)</f>
        <v>3871444.6322090616</v>
      </c>
      <c r="H2">
        <f>_cf_*(1+Revenue!$B$12)^(-H1)</f>
        <v>3456646.993043805</v>
      </c>
      <c r="I2">
        <f>_cf_*(1+Revenue!$B$12)^(-I1)</f>
        <v>3086291.9580748258</v>
      </c>
      <c r="J2">
        <f>_cf_*(1+Revenue!$B$12)^(-J1)</f>
        <v>2755617.8197096656</v>
      </c>
      <c r="K2">
        <f>_cf_*(1+Revenue!$B$12)^(-K1)</f>
        <v>2460373.0533122015</v>
      </c>
      <c r="L2">
        <f>_cf_*(1+Revenue!$B$12)^(-L1)</f>
        <v>2196761.6547430367</v>
      </c>
      <c r="M2">
        <f>SUM(B2:L2)</f>
        <v>30996976.525293171</v>
      </c>
      <c r="N2">
        <f>M2/10^6</f>
        <v>30.996976525293171</v>
      </c>
    </row>
    <row r="4" spans="1:14" x14ac:dyDescent="0.25">
      <c r="A4" t="s">
        <v>17</v>
      </c>
      <c r="B4">
        <f>'Fixed costs'!C10</f>
        <v>7553411.7647058824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A6" sqref="A6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1" bestFit="1" customWidth="1"/>
    <col min="12" max="12" width="11" bestFit="1" customWidth="1"/>
    <col min="13" max="13" width="12" bestFit="1" customWidth="1"/>
  </cols>
  <sheetData>
    <row r="1" spans="1:13" x14ac:dyDescent="0.25">
      <c r="A1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16</v>
      </c>
    </row>
    <row r="2" spans="1:13" x14ac:dyDescent="0.25">
      <c r="A2" t="s">
        <v>15</v>
      </c>
      <c r="B2">
        <f>-Revenue!B8</f>
        <v>-7553411.7647058824</v>
      </c>
      <c r="C2">
        <f t="shared" ref="C2:L2" si="0">_cf_*(1+$B$5)^(-C1)</f>
        <v>4594964.8619444892</v>
      </c>
      <c r="D2">
        <f t="shared" si="0"/>
        <v>3094576.5013869451</v>
      </c>
      <c r="E2">
        <f t="shared" si="0"/>
        <v>2084108.1511303966</v>
      </c>
      <c r="F2">
        <f t="shared" si="0"/>
        <v>1403586.8183130913</v>
      </c>
      <c r="G2">
        <f t="shared" si="0"/>
        <v>945275.29940024018</v>
      </c>
      <c r="H2">
        <f t="shared" si="0"/>
        <v>636615.69059912255</v>
      </c>
      <c r="I2">
        <f t="shared" si="0"/>
        <v>428742.33334367262</v>
      </c>
      <c r="J2">
        <f t="shared" si="0"/>
        <v>288745.61390088085</v>
      </c>
      <c r="K2">
        <f t="shared" si="0"/>
        <v>194461.85520515268</v>
      </c>
      <c r="L2">
        <f t="shared" si="0"/>
        <v>130964.45905776029</v>
      </c>
      <c r="M2">
        <f>SUM(B2:L2)</f>
        <v>6248629.8195758695</v>
      </c>
    </row>
    <row r="4" spans="1:13" x14ac:dyDescent="0.25">
      <c r="A4" t="s">
        <v>119</v>
      </c>
      <c r="B4">
        <f>'Fixed costs'!C10</f>
        <v>7553411.7647058824</v>
      </c>
    </row>
    <row r="5" spans="1:13" x14ac:dyDescent="0.25">
      <c r="A5" t="s">
        <v>14</v>
      </c>
      <c r="B5">
        <v>0.48484448837671029</v>
      </c>
    </row>
    <row r="6" spans="1:13" x14ac:dyDescent="0.25">
      <c r="A6" t="s">
        <v>120</v>
      </c>
      <c r="B6">
        <f>M2</f>
        <v>6248629.8195758695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workbookViewId="0">
      <selection activeCell="B4" sqref="B4"/>
    </sheetView>
  </sheetViews>
  <sheetFormatPr defaultRowHeight="15" x14ac:dyDescent="0.25"/>
  <cols>
    <col min="1" max="1" width="37.140625" bestFit="1" customWidth="1"/>
    <col min="2" max="2" width="19.7109375" bestFit="1" customWidth="1"/>
    <col min="3" max="3" width="17.28515625" bestFit="1" customWidth="1"/>
    <col min="4" max="4" width="12" bestFit="1" customWidth="1"/>
    <col min="5" max="5" width="15.7109375" bestFit="1" customWidth="1"/>
  </cols>
  <sheetData>
    <row r="1" spans="1:9" x14ac:dyDescent="0.25">
      <c r="A1" t="s">
        <v>121</v>
      </c>
      <c r="B1" t="s">
        <v>7</v>
      </c>
      <c r="C1" t="s">
        <v>9</v>
      </c>
      <c r="D1" t="s">
        <v>8</v>
      </c>
      <c r="E1" t="s">
        <v>10</v>
      </c>
    </row>
    <row r="2" spans="1:9" x14ac:dyDescent="0.25">
      <c r="A2" t="s">
        <v>122</v>
      </c>
      <c r="B2">
        <f>2.1*3600</f>
        <v>7560</v>
      </c>
      <c r="C2">
        <v>0.8</v>
      </c>
      <c r="D2">
        <f>B2*C2</f>
        <v>6048</v>
      </c>
      <c r="E2">
        <f>D2*$I$5*8000</f>
        <v>55157759.999999993</v>
      </c>
    </row>
    <row r="3" spans="1:9" x14ac:dyDescent="0.25">
      <c r="A3" t="s">
        <v>123</v>
      </c>
      <c r="B3">
        <f>6.84*3600</f>
        <v>24624</v>
      </c>
      <c r="C3">
        <v>0.05</v>
      </c>
      <c r="D3">
        <f t="shared" ref="D3:D4" si="0">B3*C3</f>
        <v>1231.2</v>
      </c>
      <c r="E3">
        <f>D3*$I$5*8000</f>
        <v>11228544</v>
      </c>
    </row>
    <row r="4" spans="1:9" x14ac:dyDescent="0.25">
      <c r="A4" t="s">
        <v>34</v>
      </c>
      <c r="B4">
        <f>0.97*3600</f>
        <v>3492</v>
      </c>
      <c r="C4">
        <v>0.8</v>
      </c>
      <c r="D4">
        <f t="shared" si="0"/>
        <v>2793.6000000000004</v>
      </c>
      <c r="E4">
        <f>D4*$I$5*8000</f>
        <v>25477632</v>
      </c>
    </row>
    <row r="5" spans="1:9" x14ac:dyDescent="0.25">
      <c r="A5" t="s">
        <v>5</v>
      </c>
      <c r="B5">
        <f>SUM(B2:B4)</f>
        <v>35676</v>
      </c>
      <c r="D5">
        <f>SUM(D2:D4)</f>
        <v>10072.799999999999</v>
      </c>
      <c r="E5">
        <f>SUM(E2:E4)</f>
        <v>91863936</v>
      </c>
      <c r="H5" t="s">
        <v>125</v>
      </c>
      <c r="I5">
        <v>1.1399999999999999</v>
      </c>
    </row>
    <row r="12" spans="1:9" x14ac:dyDescent="0.25">
      <c r="A12" t="s">
        <v>33</v>
      </c>
    </row>
    <row r="13" spans="1:9" x14ac:dyDescent="0.25">
      <c r="A13" t="s">
        <v>32</v>
      </c>
    </row>
    <row r="14" spans="1:9" x14ac:dyDescent="0.25">
      <c r="A14" t="s">
        <v>124</v>
      </c>
      <c r="B14">
        <f>(B13+B10)*$I$5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E23" sqref="E23"/>
    </sheetView>
  </sheetViews>
  <sheetFormatPr defaultRowHeight="15" x14ac:dyDescent="0.25"/>
  <cols>
    <col min="1" max="1" width="24.28515625" bestFit="1" customWidth="1"/>
    <col min="2" max="2" width="12.85546875" bestFit="1" customWidth="1"/>
  </cols>
  <sheetData>
    <row r="1" spans="1:2" x14ac:dyDescent="0.25">
      <c r="A1" t="s">
        <v>126</v>
      </c>
      <c r="B1" s="32">
        <v>224648.54400000002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1" sqref="B1"/>
    </sheetView>
  </sheetViews>
  <sheetFormatPr defaultRowHeight="15" x14ac:dyDescent="0.25"/>
  <cols>
    <col min="1" max="1" width="47.5703125" bestFit="1" customWidth="1"/>
  </cols>
  <sheetData>
    <row r="1" spans="1:2" x14ac:dyDescent="0.25">
      <c r="A1" t="s">
        <v>11</v>
      </c>
      <c r="B1">
        <v>928000</v>
      </c>
    </row>
    <row r="2" spans="1:2" x14ac:dyDescent="0.25">
      <c r="A2" t="s">
        <v>20</v>
      </c>
      <c r="B2">
        <f>0.15*B3</f>
        <v>163764.70588235295</v>
      </c>
    </row>
    <row r="3" spans="1:2" x14ac:dyDescent="0.25">
      <c r="A3" t="s">
        <v>21</v>
      </c>
      <c r="B3">
        <f>B1/0.85</f>
        <v>1091764.705882353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4</vt:i4>
      </vt:variant>
    </vt:vector>
  </HeadingPairs>
  <TitlesOfParts>
    <vt:vector size="14" baseType="lpstr">
      <vt:lpstr>Fixed costs</vt:lpstr>
      <vt:lpstr>Operation Costs</vt:lpstr>
      <vt:lpstr>Minimum price</vt:lpstr>
      <vt:lpstr>Revenue</vt:lpstr>
      <vt:lpstr>VAL</vt:lpstr>
      <vt:lpstr>TIR</vt:lpstr>
      <vt:lpstr>Raw material</vt:lpstr>
      <vt:lpstr>Utilities</vt:lpstr>
      <vt:lpstr>Eletricity</vt:lpstr>
      <vt:lpstr>Labour</vt:lpstr>
      <vt:lpstr>_am_</vt:lpstr>
      <vt:lpstr>_cf_</vt:lpstr>
      <vt:lpstr>_cfe_</vt:lpstr>
      <vt:lpstr>_sm_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neto</dc:creator>
  <cp:lastModifiedBy>A Filipe</cp:lastModifiedBy>
  <dcterms:created xsi:type="dcterms:W3CDTF">2018-11-29T15:17:05Z</dcterms:created>
  <dcterms:modified xsi:type="dcterms:W3CDTF">2021-02-09T03:53:38Z</dcterms:modified>
</cp:coreProperties>
</file>