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ht/Downloads/"/>
    </mc:Choice>
  </mc:AlternateContent>
  <xr:revisionPtr revIDLastSave="0" documentId="13_ncr:1_{5229F9A1-C8BE-614C-AC15-879F325F6476}" xr6:coauthVersionLast="47" xr6:coauthVersionMax="47" xr10:uidLastSave="{00000000-0000-0000-0000-000000000000}"/>
  <bookViews>
    <workbookView xWindow="0" yWindow="500" windowWidth="33600" windowHeight="20500" xr2:uid="{5FE96707-E043-0F41-80C4-D121D801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9" i="1" l="1"/>
  <c r="AB77" i="1"/>
  <c r="AA83" i="1"/>
  <c r="AA80" i="1"/>
  <c r="AA79" i="1"/>
  <c r="AA77" i="1"/>
  <c r="AA78" i="1"/>
  <c r="W70" i="1"/>
  <c r="AA70" i="1"/>
  <c r="AA69" i="1"/>
  <c r="AA65" i="1"/>
  <c r="AA63" i="1"/>
  <c r="E29" i="1"/>
  <c r="AA82" i="1" l="1"/>
  <c r="AA84" i="1"/>
  <c r="C117" i="1"/>
  <c r="V38" i="1"/>
  <c r="U38" i="1"/>
  <c r="T38" i="1"/>
  <c r="S38" i="1"/>
  <c r="R38" i="1"/>
  <c r="Q38" i="1"/>
  <c r="R37" i="1"/>
  <c r="S37" i="1"/>
  <c r="T37" i="1"/>
  <c r="U37" i="1"/>
  <c r="V37" i="1"/>
  <c r="Q37" i="1"/>
  <c r="P37" i="1"/>
  <c r="U75" i="1"/>
  <c r="U74" i="1"/>
  <c r="U73" i="1"/>
  <c r="T75" i="1"/>
  <c r="T74" i="1"/>
  <c r="T73" i="1"/>
  <c r="Q77" i="1"/>
  <c r="P77" i="1"/>
  <c r="P86" i="1"/>
  <c r="P85" i="1"/>
  <c r="S48" i="1"/>
  <c r="S47" i="1"/>
  <c r="S46" i="1"/>
  <c r="S45" i="1"/>
  <c r="S44" i="1"/>
  <c r="S43" i="1"/>
  <c r="Q48" i="1"/>
  <c r="Q47" i="1"/>
  <c r="Q46" i="1"/>
  <c r="Q45" i="1"/>
  <c r="Q44" i="1"/>
  <c r="Q43" i="1"/>
  <c r="S58" i="1"/>
  <c r="S57" i="1"/>
  <c r="S56" i="1"/>
  <c r="S55" i="1"/>
  <c r="S54" i="1"/>
  <c r="S53" i="1"/>
  <c r="Q58" i="1"/>
  <c r="Q57" i="1"/>
  <c r="Q56" i="1"/>
  <c r="Q55" i="1"/>
  <c r="Q54" i="1"/>
  <c r="Q53" i="1"/>
  <c r="S68" i="1"/>
  <c r="S67" i="1"/>
  <c r="S66" i="1"/>
  <c r="S65" i="1"/>
  <c r="S64" i="1"/>
  <c r="S63" i="1"/>
  <c r="Q68" i="1"/>
  <c r="Q67" i="1"/>
  <c r="Q66" i="1"/>
  <c r="Q65" i="1"/>
  <c r="Q64" i="1"/>
  <c r="Q63" i="1"/>
  <c r="C29" i="1"/>
  <c r="C30" i="1" s="1" a="1"/>
  <c r="C30" i="1" s="1"/>
  <c r="L16" i="1"/>
  <c r="L8" i="1"/>
  <c r="L9" i="1"/>
  <c r="L10" i="1"/>
  <c r="L11" i="1"/>
  <c r="L12" i="1"/>
  <c r="L13" i="1"/>
  <c r="L14" i="1"/>
  <c r="L15" i="1"/>
  <c r="L7" i="1"/>
  <c r="L47" i="1"/>
  <c r="L48" i="1" s="1" a="1"/>
  <c r="L48" i="1" s="1"/>
  <c r="K47" i="1"/>
  <c r="K48" i="1" s="1" a="1"/>
  <c r="K48" i="1" s="1"/>
  <c r="J47" i="1"/>
  <c r="J48" i="1" s="1" a="1"/>
  <c r="J48" i="1" s="1"/>
  <c r="I47" i="1"/>
  <c r="I48" i="1" s="1" a="1"/>
  <c r="I48" i="1" s="1"/>
  <c r="H47" i="1"/>
  <c r="H48" i="1" s="1" a="1"/>
  <c r="H48" i="1" s="1"/>
  <c r="G47" i="1"/>
  <c r="G48" i="1" s="1" a="1"/>
  <c r="G48" i="1" s="1"/>
  <c r="F47" i="1"/>
  <c r="F48" i="1" s="1" a="1"/>
  <c r="F48" i="1" s="1"/>
  <c r="E47" i="1"/>
  <c r="E48" i="1" s="1" a="1"/>
  <c r="E48" i="1" s="1"/>
  <c r="D47" i="1"/>
  <c r="D48" i="1" s="1" a="1"/>
  <c r="D48" i="1" s="1"/>
  <c r="C47" i="1"/>
  <c r="C48" i="1" s="1" a="1"/>
  <c r="C48" i="1" s="1"/>
  <c r="L38" i="1"/>
  <c r="K38" i="1"/>
  <c r="K39" i="1" s="1" a="1"/>
  <c r="K39" i="1" s="1"/>
  <c r="J38" i="1"/>
  <c r="J39" i="1" s="1" a="1"/>
  <c r="J39" i="1" s="1"/>
  <c r="I38" i="1"/>
  <c r="I39" i="1" s="1" a="1"/>
  <c r="I39" i="1" s="1"/>
  <c r="H38" i="1"/>
  <c r="H39" i="1" s="1" a="1"/>
  <c r="H39" i="1" s="1"/>
  <c r="G38" i="1"/>
  <c r="G39" i="1" s="1" a="1"/>
  <c r="G39" i="1" s="1"/>
  <c r="F38" i="1"/>
  <c r="F39" i="1" s="1" a="1"/>
  <c r="F39" i="1" s="1"/>
  <c r="E38" i="1"/>
  <c r="E39" i="1" s="1" a="1"/>
  <c r="E39" i="1" s="1"/>
  <c r="D38" i="1"/>
  <c r="D39" i="1" s="1" a="1"/>
  <c r="D39" i="1" s="1"/>
  <c r="C38" i="1"/>
  <c r="C39" i="1" s="1" a="1"/>
  <c r="C39" i="1" s="1"/>
  <c r="L29" i="1"/>
  <c r="L30" i="1" s="1" a="1"/>
  <c r="L30" i="1" s="1"/>
  <c r="K29" i="1"/>
  <c r="K30" i="1" s="1" a="1"/>
  <c r="K30" i="1" s="1"/>
  <c r="J29" i="1"/>
  <c r="J30" i="1" s="1" a="1"/>
  <c r="J30" i="1" s="1"/>
  <c r="I29" i="1"/>
  <c r="I30" i="1" s="1" a="1"/>
  <c r="I30" i="1" s="1"/>
  <c r="H29" i="1"/>
  <c r="H30" i="1" s="1" a="1"/>
  <c r="H30" i="1" s="1"/>
  <c r="G29" i="1"/>
  <c r="G30" i="1" s="1" a="1"/>
  <c r="G30" i="1" s="1"/>
  <c r="F29" i="1"/>
  <c r="F30" i="1" s="1" a="1"/>
  <c r="F30" i="1" s="1"/>
  <c r="E30" i="1" a="1"/>
  <c r="E30" i="1" s="1"/>
  <c r="D29" i="1"/>
  <c r="D30" i="1" s="1" a="1"/>
  <c r="D30" i="1" s="1"/>
  <c r="G11" i="1"/>
  <c r="G12" i="1"/>
  <c r="G13" i="1"/>
  <c r="G14" i="1"/>
  <c r="G15" i="1"/>
  <c r="G16" i="1"/>
  <c r="G17" i="1"/>
  <c r="G10" i="1"/>
  <c r="B6" i="1"/>
  <c r="C5" i="1" s="1"/>
  <c r="B18" i="1"/>
  <c r="G4" i="1"/>
  <c r="G5" i="1"/>
  <c r="G3" i="1"/>
  <c r="V33" i="1" l="1"/>
  <c r="Q36" i="1"/>
  <c r="C10" i="1"/>
  <c r="AA64" i="1"/>
  <c r="AA66" i="1"/>
  <c r="U34" i="1"/>
  <c r="S35" i="1"/>
  <c r="R33" i="1"/>
  <c r="T34" i="1"/>
  <c r="V34" i="1"/>
  <c r="V35" i="1"/>
  <c r="R35" i="1"/>
  <c r="R34" i="1"/>
  <c r="T36" i="1"/>
  <c r="R36" i="1"/>
  <c r="P73" i="1"/>
  <c r="S33" i="1"/>
  <c r="S34" i="1"/>
  <c r="T33" i="1"/>
  <c r="Q35" i="1"/>
  <c r="U33" i="1"/>
  <c r="Q34" i="1"/>
  <c r="V36" i="1"/>
  <c r="U36" i="1"/>
  <c r="Q33" i="1"/>
  <c r="U35" i="1"/>
  <c r="S36" i="1"/>
  <c r="T35" i="1"/>
  <c r="P87" i="1"/>
  <c r="P78" i="1" s="1"/>
  <c r="L39" i="1" a="1"/>
  <c r="L39" i="1" s="1"/>
  <c r="C4" i="1"/>
  <c r="C12" i="1"/>
  <c r="C11" i="1"/>
  <c r="C13" i="1"/>
  <c r="C16" i="1"/>
  <c r="C17" i="1"/>
  <c r="C14" i="1"/>
  <c r="C15" i="1"/>
  <c r="C3" i="1"/>
  <c r="C6" i="1" s="1"/>
  <c r="AA68" i="1" l="1"/>
  <c r="P75" i="1"/>
  <c r="P74" i="1"/>
  <c r="Q78" i="1"/>
  <c r="P38" i="1"/>
  <c r="P76" i="1"/>
  <c r="C18" i="1"/>
  <c r="P33" i="1" l="1"/>
  <c r="P34" i="1"/>
  <c r="P35" i="1"/>
  <c r="Q75" i="1"/>
  <c r="Q74" i="1"/>
  <c r="Q73" i="1"/>
  <c r="P36" i="1"/>
  <c r="Q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<sst xmlns="http://schemas.openxmlformats.org/spreadsheetml/2006/main" count="283" uniqueCount="139">
  <si>
    <t>Female</t>
  </si>
  <si>
    <t>Male</t>
  </si>
  <si>
    <t>Number</t>
  </si>
  <si>
    <t>Percent</t>
  </si>
  <si>
    <t>Another/No response</t>
  </si>
  <si>
    <t>Total</t>
  </si>
  <si>
    <t>Test takers</t>
  </si>
  <si>
    <t>Mean score</t>
  </si>
  <si>
    <t>ERW</t>
  </si>
  <si>
    <t>Math</t>
  </si>
  <si>
    <t>NMSQT Selection Index</t>
  </si>
  <si>
    <t>Asian</t>
  </si>
  <si>
    <t>Hispanic/Latino</t>
  </si>
  <si>
    <t>White</t>
  </si>
  <si>
    <t>American Indian/Alaska Native</t>
  </si>
  <si>
    <t>Black/African American</t>
  </si>
  <si>
    <t>Native Hawaiian/Other Pacific Islander</t>
  </si>
  <si>
    <t>Two or More Races</t>
  </si>
  <si>
    <t>No Response</t>
  </si>
  <si>
    <t>Test Takers</t>
  </si>
  <si>
    <t>American Indian</t>
  </si>
  <si>
    <t>African American</t>
  </si>
  <si>
    <t>Hispanic</t>
  </si>
  <si>
    <t>Native Hawaiian</t>
  </si>
  <si>
    <t>Total Students</t>
  </si>
  <si>
    <t>Avg. Score Bins</t>
  </si>
  <si>
    <t>Avg. ERW Score Bins</t>
  </si>
  <si>
    <t>Avg. Math Score Bins</t>
  </si>
  <si>
    <t>Approx. Mean</t>
  </si>
  <si>
    <t>Approx. Standard Deviation</t>
  </si>
  <si>
    <t>True Mean</t>
  </si>
  <si>
    <t>Error</t>
  </si>
  <si>
    <t>10th &amp; 11th graders included</t>
  </si>
  <si>
    <t>Only 11th</t>
  </si>
  <si>
    <t>Fem Norm.</t>
  </si>
  <si>
    <t>Male Norm.</t>
  </si>
  <si>
    <t>1520-1400</t>
  </si>
  <si>
    <t>760-700</t>
  </si>
  <si>
    <t>Math Score Bins</t>
  </si>
  <si>
    <t>ERW Score Bins</t>
  </si>
  <si>
    <t>Total Score Bins</t>
  </si>
  <si>
    <t>NMSQT Selection Index Bins</t>
  </si>
  <si>
    <t>690-600</t>
  </si>
  <si>
    <t>590-500</t>
  </si>
  <si>
    <t>490-400</t>
  </si>
  <si>
    <t>390-300</t>
  </si>
  <si>
    <t>290-160</t>
  </si>
  <si>
    <t>1390-1200</t>
  </si>
  <si>
    <t>1190-1000</t>
  </si>
  <si>
    <t>990-800</t>
  </si>
  <si>
    <t>790-600</t>
  </si>
  <si>
    <t>590-320</t>
  </si>
  <si>
    <t>&lt;200</t>
  </si>
  <si>
    <t>PSAT Math</t>
  </si>
  <si>
    <t>PSAT Writing</t>
  </si>
  <si>
    <t>ACT English</t>
  </si>
  <si>
    <t>ACT Math</t>
  </si>
  <si>
    <t>ACT Reading</t>
  </si>
  <si>
    <t>Act Writing</t>
  </si>
  <si>
    <t>Correlations</t>
  </si>
  <si>
    <t>Math → ERW Avg.</t>
  </si>
  <si>
    <t>ERW →  Math Avg.</t>
  </si>
  <si>
    <t>Est. Correlation</t>
  </si>
  <si>
    <t>For MI</t>
  </si>
  <si>
    <t>228-215</t>
  </si>
  <si>
    <t>Semifinalist (228-215)</t>
  </si>
  <si>
    <t>Commended (215-208)</t>
  </si>
  <si>
    <t>Nada (&lt;208)</t>
  </si>
  <si>
    <t>State</t>
  </si>
  <si>
    <t>Class of 2025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</si>
  <si>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</si>
  <si>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</si>
  <si>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</si>
  <si>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</si>
  <si>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</si>
  <si>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</si>
  <si>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</si>
  <si>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</si>
  <si>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</si>
  <si>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</si>
  <si>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</si>
  <si>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</si>
  <si>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</si>
  <si>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</si>
  <si>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</si>
  <si>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</si>
  <si>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</si>
  <si>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</si>
  <si>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</si>
  <si>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</si>
  <si>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</si>
  <si>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</si>
  <si>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</si>
  <si>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</si>
  <si>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</si>
  <si>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</si>
  <si>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</si>
  <si>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</si>
  <si>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</si>
  <si>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</si>
  <si>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</si>
  <si>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</si>
  <si>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</si>
  <si>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</si>
  <si>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</si>
  <si>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</si>
  <si>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</si>
  <si>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</si>
  <si>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</si>
  <si>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</si>
  <si>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</si>
  <si>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</si>
  <si>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</si>
  <si>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</si>
  <si>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</si>
  <si>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</si>
  <si>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</si>
  <si>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</si>
  <si>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</si>
  <si>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</si>
  <si>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</si>
  <si>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​U.S. Territories</t>
  </si>
  <si>
    <t>​​Studying Abroad</t>
  </si>
  <si>
    <t>​​​Commended</t>
  </si>
  <si>
    <t>Avg</t>
  </si>
  <si>
    <t>207-200</t>
  </si>
  <si>
    <t>214-208</t>
  </si>
  <si>
    <t>PSAT (Expected)</t>
  </si>
  <si>
    <t>Selection Index (Actual)</t>
  </si>
  <si>
    <t>Male PSAT proportion</t>
  </si>
  <si>
    <t>PSAT size</t>
  </si>
  <si>
    <t>Male SI proportion</t>
  </si>
  <si>
    <t>SI size</t>
  </si>
  <si>
    <t>pooled proportion</t>
  </si>
  <si>
    <t>test statistic</t>
  </si>
  <si>
    <t>p-value</t>
  </si>
  <si>
    <t>Chi-square:</t>
  </si>
  <si>
    <t>White PSAT proportion</t>
  </si>
  <si>
    <t>White SI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</si>
</sst>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000000000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rgb="FF000000"/>
      <name val="Aptos Narrow"/>
      <scheme val="minor"/>
    </font>
    <font>
      <sz val="10"/>
      <color rgb="FF000000"/>
      <name val="Arial"/>
      <family val="2"/>
    </font>
    <font>
      <i/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9" fontId="5" fillId="0" borderId="0" xfId="0" applyNumberFormat="1" applyFont="1"/>
    <xf numFmtId="0" fontId="7" fillId="0" borderId="0" xfId="0" applyFont="1"/>
    <xf numFmtId="9" fontId="7" fillId="0" borderId="0" xfId="0" applyNumberFormat="1" applyFont="1"/>
    <xf numFmtId="0" fontId="8" fillId="0" borderId="0" xfId="0" applyFont="1"/>
    <xf numFmtId="9" fontId="8" fillId="0" borderId="0" xfId="0" applyNumberFormat="1" applyFont="1"/>
    <xf numFmtId="2" fontId="2" fillId="0" borderId="0" xfId="0" applyNumberFormat="1" applyFont="1"/>
    <xf numFmtId="0" fontId="9" fillId="0" borderId="0" xfId="0" applyFont="1"/>
    <xf numFmtId="10" fontId="9" fillId="0" borderId="0" xfId="0" applyNumberFormat="1" applyFont="1"/>
    <xf numFmtId="9" fontId="4" fillId="0" borderId="0" xfId="1" applyFont="1"/>
    <xf numFmtId="10" fontId="4" fillId="0" borderId="0" xfId="1" applyNumberFormat="1" applyFont="1"/>
    <xf numFmtId="10" fontId="9" fillId="0" borderId="0" xfId="1" applyNumberFormat="1" applyFont="1"/>
    <xf numFmtId="2" fontId="3" fillId="0" borderId="0" xfId="0" applyNumberFormat="1" applyFont="1"/>
    <xf numFmtId="2" fontId="9" fillId="0" borderId="0" xfId="0" applyNumberFormat="1" applyFont="1"/>
    <xf numFmtId="0" fontId="5" fillId="0" borderId="0" xfId="0" applyFont="1" applyAlignment="1">
      <alignment horizontal="center"/>
    </xf>
    <xf numFmtId="182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Total</a:t>
            </a:r>
            <a:r>
              <a:rPr lang="en-US" baseline="0"/>
              <a:t> s</a:t>
            </a:r>
            <a:r>
              <a:rPr lang="en-US"/>
              <a:t>core distribution</a:t>
            </a:r>
            <a:r>
              <a:rPr lang="en-US" baseline="0"/>
              <a:t>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Sheet1!$P$43:$P$48</c:f>
              <c:numCache>
                <c:formatCode>0.00%</c:formatCode>
                <c:ptCount val="6"/>
                <c:pt idx="0">
                  <c:v>0.02</c:v>
                </c:pt>
                <c:pt idx="1">
                  <c:v>0.13</c:v>
                </c:pt>
                <c:pt idx="2">
                  <c:v>0.32</c:v>
                </c:pt>
                <c:pt idx="3">
                  <c:v>0.36</c:v>
                </c:pt>
                <c:pt idx="4">
                  <c:v>0.16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C-B549-81E0-5D8F6692475C}"/>
            </c:ext>
          </c:extLst>
        </c:ser>
        <c:ser>
          <c:idx val="2"/>
          <c:order val="2"/>
          <c:tx>
            <c:strRef>
              <c:f>Sheet1!$R$42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Sheet1!$R$43:$R$48</c:f>
              <c:numCache>
                <c:formatCode>0.00%</c:formatCode>
                <c:ptCount val="6"/>
                <c:pt idx="0">
                  <c:v>0.04</c:v>
                </c:pt>
                <c:pt idx="1">
                  <c:v>0.14000000000000001</c:v>
                </c:pt>
                <c:pt idx="2">
                  <c:v>0.28000000000000003</c:v>
                </c:pt>
                <c:pt idx="3">
                  <c:v>0.32</c:v>
                </c:pt>
                <c:pt idx="4">
                  <c:v>0.2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C-B549-81E0-5D8F6692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40272"/>
        <c:axId val="50328272"/>
      </c:barChart>
      <c:lineChart>
        <c:grouping val="standard"/>
        <c:varyColors val="0"/>
        <c:ser>
          <c:idx val="1"/>
          <c:order val="1"/>
          <c:tx>
            <c:strRef>
              <c:f>Sheet1!$Q$42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Sheet1!$Q$43:$Q$48</c:f>
              <c:numCache>
                <c:formatCode>0.00%</c:formatCode>
                <c:ptCount val="6"/>
                <c:pt idx="0">
                  <c:v>1.5463969861589488E-2</c:v>
                </c:pt>
                <c:pt idx="1">
                  <c:v>0.12309804035346872</c:v>
                </c:pt>
                <c:pt idx="2">
                  <c:v>0.32954737629162256</c:v>
                </c:pt>
                <c:pt idx="3">
                  <c:v>0.35159345631024286</c:v>
                </c:pt>
                <c:pt idx="4">
                  <c:v>0.14956776667708935</c:v>
                </c:pt>
                <c:pt idx="5">
                  <c:v>2.6481945102130807E-2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C-B549-81E0-5D8F6692475C}"/>
            </c:ext>
          </c:extLst>
        </c:ser>
        <c:ser>
          <c:idx val="3"/>
          <c:order val="3"/>
          <c:tx>
            <c:strRef>
              <c:f>Sheet1!$S$42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Sheet1!$S$43:$S$48</c:f>
              <c:numCache>
                <c:formatCode>0.00%</c:formatCode>
                <c:ptCount val="6"/>
                <c:pt idx="0">
                  <c:v>2.0152616274583868E-2</c:v>
                </c:pt>
                <c:pt idx="1">
                  <c:v>0.1272481006331897</c:v>
                </c:pt>
                <c:pt idx="2">
                  <c:v>0.30289704143613783</c:v>
                </c:pt>
                <c:pt idx="3">
                  <c:v>0.33207511871923157</c:v>
                </c:pt>
                <c:pt idx="4">
                  <c:v>0.16774765760836566</c:v>
                </c:pt>
                <c:pt idx="5">
                  <c:v>4.1861207837349569E-2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0C-B549-81E0-5D8F6692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0272"/>
        <c:axId val="50328272"/>
      </c:lineChart>
      <c:catAx>
        <c:axId val="50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8272"/>
        <c:crosses val="autoZero"/>
        <c:auto val="1"/>
        <c:lblAlgn val="ctr"/>
        <c:lblOffset val="100"/>
        <c:noMultiLvlLbl val="0"/>
      </c:catAx>
      <c:valAx>
        <c:axId val="503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ERW score</a:t>
            </a:r>
            <a:r>
              <a:rPr lang="en-US" baseline="0"/>
              <a:t> distributions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Sheet1!$P$53:$P$58</c:f>
              <c:numCache>
                <c:formatCode>0.00%</c:formatCode>
                <c:ptCount val="6"/>
                <c:pt idx="0">
                  <c:v>0.04</c:v>
                </c:pt>
                <c:pt idx="1">
                  <c:v>0.19</c:v>
                </c:pt>
                <c:pt idx="2">
                  <c:v>0.31</c:v>
                </c:pt>
                <c:pt idx="3">
                  <c:v>0.28000000000000003</c:v>
                </c:pt>
                <c:pt idx="4">
                  <c:v>0.17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5-104B-938F-9F6231A9A12F}"/>
            </c:ext>
          </c:extLst>
        </c:ser>
        <c:ser>
          <c:idx val="2"/>
          <c:order val="2"/>
          <c:tx>
            <c:strRef>
              <c:f>Sheet1!$R$52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Sheet1!$R$53:$R$58</c:f>
              <c:numCache>
                <c:formatCode>0.00%</c:formatCode>
                <c:ptCount val="6"/>
                <c:pt idx="0">
                  <c:v>0.04</c:v>
                </c:pt>
                <c:pt idx="1">
                  <c:v>0.18</c:v>
                </c:pt>
                <c:pt idx="2">
                  <c:v>0.27</c:v>
                </c:pt>
                <c:pt idx="3">
                  <c:v>0.26</c:v>
                </c:pt>
                <c:pt idx="4">
                  <c:v>0.22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95-104B-938F-9F6231A9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681631"/>
        <c:axId val="2022004431"/>
      </c:barChart>
      <c:lineChart>
        <c:grouping val="standard"/>
        <c:varyColors val="0"/>
        <c:ser>
          <c:idx val="1"/>
          <c:order val="1"/>
          <c:tx>
            <c:strRef>
              <c:f>Sheet1!$Q$52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Sheet1!$Q$53:$Q$58</c:f>
              <c:numCache>
                <c:formatCode>0.00%</c:formatCode>
                <c:ptCount val="6"/>
                <c:pt idx="0">
                  <c:v>3.3439952050672406E-2</c:v>
                </c:pt>
                <c:pt idx="1">
                  <c:v>0.16502756899816673</c:v>
                </c:pt>
                <c:pt idx="2">
                  <c:v>0.31658195285244517</c:v>
                </c:pt>
                <c:pt idx="3">
                  <c:v>0.29811556808142647</c:v>
                </c:pt>
                <c:pt idx="4">
                  <c:v>0.13777208762128429</c:v>
                </c:pt>
                <c:pt idx="5">
                  <c:v>3.3583685378797586E-2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5-104B-938F-9F6231A9A12F}"/>
            </c:ext>
          </c:extLst>
        </c:ser>
        <c:ser>
          <c:idx val="3"/>
          <c:order val="3"/>
          <c:tx>
            <c:strRef>
              <c:f>Sheet1!$S$52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Sheet1!$S$53:$S$58</c:f>
              <c:numCache>
                <c:formatCode>0.00%</c:formatCode>
                <c:ptCount val="6"/>
                <c:pt idx="0">
                  <c:v>2.611084839531963E-2</c:v>
                </c:pt>
                <c:pt idx="1">
                  <c:v>0.13620102218380392</c:v>
                </c:pt>
                <c:pt idx="2">
                  <c:v>0.28823866578963697</c:v>
                </c:pt>
                <c:pt idx="3">
                  <c:v>0.31130087367509396</c:v>
                </c:pt>
                <c:pt idx="4">
                  <c:v>0.17161771391183472</c:v>
                </c:pt>
                <c:pt idx="5">
                  <c:v>5.2851142894514216E-2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95-104B-938F-9F6231A9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681631"/>
        <c:axId val="2022004431"/>
      </c:lineChart>
      <c:catAx>
        <c:axId val="202268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4431"/>
        <c:crosses val="autoZero"/>
        <c:auto val="1"/>
        <c:lblAlgn val="ctr"/>
        <c:lblOffset val="100"/>
        <c:noMultiLvlLbl val="0"/>
      </c:catAx>
      <c:valAx>
        <c:axId val="202200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Math</a:t>
            </a:r>
            <a:r>
              <a:rPr lang="en-US" baseline="0"/>
              <a:t> score distributions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Sheet1!$P$63:$P$68</c:f>
              <c:numCache>
                <c:formatCode>0.00%</c:formatCode>
                <c:ptCount val="6"/>
                <c:pt idx="0">
                  <c:v>0.03</c:v>
                </c:pt>
                <c:pt idx="1">
                  <c:v>7.0000000000000007E-2</c:v>
                </c:pt>
                <c:pt idx="2">
                  <c:v>0.31</c:v>
                </c:pt>
                <c:pt idx="3">
                  <c:v>0.42</c:v>
                </c:pt>
                <c:pt idx="4">
                  <c:v>0.16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4-A74A-BE30-EF08D9E5DE81}"/>
            </c:ext>
          </c:extLst>
        </c:ser>
        <c:ser>
          <c:idx val="2"/>
          <c:order val="2"/>
          <c:tx>
            <c:strRef>
              <c:f>Sheet1!$R$62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Sheet1!$R$63:$R$68</c:f>
              <c:numCache>
                <c:formatCode>0.00%</c:formatCode>
                <c:ptCount val="6"/>
                <c:pt idx="0">
                  <c:v>0.05</c:v>
                </c:pt>
                <c:pt idx="1">
                  <c:v>0.11</c:v>
                </c:pt>
                <c:pt idx="2">
                  <c:v>0.3</c:v>
                </c:pt>
                <c:pt idx="3">
                  <c:v>0.36</c:v>
                </c:pt>
                <c:pt idx="4">
                  <c:v>0.16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4-A74A-BE30-EF08D9E5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399296"/>
        <c:axId val="2063733535"/>
      </c:barChart>
      <c:lineChart>
        <c:grouping val="standard"/>
        <c:varyColors val="0"/>
        <c:ser>
          <c:idx val="1"/>
          <c:order val="1"/>
          <c:tx>
            <c:strRef>
              <c:f>Sheet1!$Q$62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Sheet1!$Q$63:$Q$68</c:f>
              <c:numCache>
                <c:formatCode>0.00%</c:formatCode>
                <c:ptCount val="6"/>
                <c:pt idx="0">
                  <c:v>9.15703549096758E-3</c:v>
                </c:pt>
                <c:pt idx="1">
                  <c:v>9.4853076125344771E-2</c:v>
                </c:pt>
                <c:pt idx="2">
                  <c:v>0.31295327367810655</c:v>
                </c:pt>
                <c:pt idx="3">
                  <c:v>0.38055938612305451</c:v>
                </c:pt>
                <c:pt idx="4">
                  <c:v>0.17089366327384262</c:v>
                </c:pt>
                <c:pt idx="5">
                  <c:v>2.9422970415713637E-2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4-A74A-BE30-EF08D9E5DE81}"/>
            </c:ext>
          </c:extLst>
        </c:ser>
        <c:ser>
          <c:idx val="3"/>
          <c:order val="3"/>
          <c:tx>
            <c:strRef>
              <c:f>Sheet1!$S$62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Sheet1!$S$63:$S$68</c:f>
              <c:numCache>
                <c:formatCode>0.00%</c:formatCode>
                <c:ptCount val="6"/>
                <c:pt idx="0">
                  <c:v>2.0879503143743539E-2</c:v>
                </c:pt>
                <c:pt idx="1">
                  <c:v>0.13105050156837894</c:v>
                </c:pt>
                <c:pt idx="2">
                  <c:v>0.30782426057917889</c:v>
                </c:pt>
                <c:pt idx="3">
                  <c:v>0.33064609940250722</c:v>
                </c:pt>
                <c:pt idx="4">
                  <c:v>0.16246711765969027</c:v>
                </c:pt>
                <c:pt idx="5">
                  <c:v>3.9047267667029963E-2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54-A74A-BE30-EF08D9E5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399296"/>
        <c:axId val="2063733535"/>
      </c:lineChart>
      <c:catAx>
        <c:axId val="11783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733535"/>
        <c:crosses val="autoZero"/>
        <c:auto val="1"/>
        <c:lblAlgn val="ctr"/>
        <c:lblOffset val="100"/>
        <c:noMultiLvlLbl val="0"/>
      </c:catAx>
      <c:valAx>
        <c:axId val="206373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Selection</a:t>
            </a:r>
            <a:r>
              <a:rPr lang="en-US" baseline="0"/>
              <a:t> Index slices </a:t>
            </a:r>
            <a:r>
              <a:rPr lang="en-US"/>
              <a:t>by race</a:t>
            </a:r>
            <a:r>
              <a:rPr lang="en-US" baseline="0"/>
              <a:t>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Sheet1!$P$32</c:f>
              <c:strCache>
                <c:ptCount val="1"/>
                <c:pt idx="0">
                  <c:v>American Indian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Sheet1!$P$33:$P$34</c:f>
              <c:numCache>
                <c:formatCode>0.00%</c:formatCode>
                <c:ptCount val="2"/>
                <c:pt idx="0">
                  <c:v>1.7694823696456918E-3</c:v>
                </c:pt>
                <c:pt idx="1">
                  <c:v>2.5841212073122177E-3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1-0649-B033-1DE90636B51B}"/>
            </c:ext>
          </c:extLst>
        </c:ser>
        <c:ser>
          <c:idx val="1"/>
          <c:order val="1"/>
          <c:tx>
            <c:strRef>
              <c:f>Sheet1!$Q$32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Sheet1!$Q$33:$Q$34</c:f>
              <c:numCache>
                <c:formatCode>0.00%</c:formatCode>
                <c:ptCount val="2"/>
                <c:pt idx="0">
                  <c:v>1.5783672829724482E-2</c:v>
                </c:pt>
                <c:pt idx="1">
                  <c:v>3.501823260838155E-2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1-0649-B033-1DE90636B51B}"/>
            </c:ext>
          </c:extLst>
        </c:ser>
        <c:ser>
          <c:idx val="2"/>
          <c:order val="2"/>
          <c:tx>
            <c:strRef>
              <c:f>Sheet1!$R$32</c:f>
              <c:strCache>
                <c:ptCount val="1"/>
                <c:pt idx="0">
                  <c:v>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Sheet1!$R$33:$R$34</c:f>
              <c:numCache>
                <c:formatCode>0.00%</c:formatCode>
                <c:ptCount val="2"/>
                <c:pt idx="0">
                  <c:v>1.0353463104362248E-4</c:v>
                </c:pt>
                <c:pt idx="1">
                  <c:v>2.5613485760045407E-4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01-0649-B033-1DE90636B51B}"/>
            </c:ext>
          </c:extLst>
        </c:ser>
        <c:ser>
          <c:idx val="3"/>
          <c:order val="3"/>
          <c:tx>
            <c:strRef>
              <c:f>Sheet1!$S$32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Sheet1!$S$33:$S$34</c:f>
              <c:numCache>
                <c:formatCode>0.00%</c:formatCode>
                <c:ptCount val="2"/>
                <c:pt idx="0">
                  <c:v>4.2562071400098489E-4</c:v>
                </c:pt>
                <c:pt idx="1">
                  <c:v>8.7654934775338589E-4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01-0649-B033-1DE90636B51B}"/>
            </c:ext>
          </c:extLst>
        </c:ser>
        <c:ser>
          <c:idx val="4"/>
          <c:order val="4"/>
          <c:tx>
            <c:strRef>
              <c:f>Sheet1!$T$32</c:f>
              <c:strCache>
                <c:ptCount val="1"/>
                <c:pt idx="0">
                  <c:v>Native Hawaiian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Sheet1!$T$33:$T$34</c:f>
              <c:numCache>
                <c:formatCode>0.00%</c:formatCode>
                <c:ptCount val="2"/>
                <c:pt idx="0">
                  <c:v>3.2636436222299725E-4</c:v>
                </c:pt>
                <c:pt idx="1">
                  <c:v>6.9736549116905522E-4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01-0649-B033-1DE90636B51B}"/>
            </c:ext>
          </c:extLst>
        </c:ser>
        <c:ser>
          <c:idx val="5"/>
          <c:order val="5"/>
          <c:tx>
            <c:strRef>
              <c:f>Sheet1!$U$32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Sheet1!$U$33:$U$34</c:f>
              <c:numCache>
                <c:formatCode>0.00%</c:formatCode>
                <c:ptCount val="2"/>
                <c:pt idx="0">
                  <c:v>6.2077615427518218E-3</c:v>
                </c:pt>
                <c:pt idx="1">
                  <c:v>9.1347982180319809E-3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301-0649-B033-1DE90636B51B}"/>
            </c:ext>
          </c:extLst>
        </c:ser>
        <c:ser>
          <c:idx val="6"/>
          <c:order val="6"/>
          <c:tx>
            <c:strRef>
              <c:f>Sheet1!$V$32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Sheet1!$V$33:$V$34</c:f>
              <c:numCache>
                <c:formatCode>0.00%</c:formatCode>
                <c:ptCount val="2"/>
                <c:pt idx="0">
                  <c:v>1.1354619124044563E-2</c:v>
                </c:pt>
                <c:pt idx="1">
                  <c:v>1.4481263681585865E-2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01-0649-B033-1DE90636B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77583408"/>
        <c:axId val="1186007952"/>
      </c:barChart>
      <c:catAx>
        <c:axId val="117758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07952"/>
        <c:crosses val="autoZero"/>
        <c:auto val="1"/>
        <c:lblAlgn val="ctr"/>
        <c:lblOffset val="100"/>
        <c:noMultiLvlLbl val="0"/>
      </c:catAx>
      <c:valAx>
        <c:axId val="118600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8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PSAT slices by race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American Indian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Sheet1!$P$3:$P$4</c:f>
              <c:numCache>
                <c:formatCode>0%</c:formatCode>
                <c:ptCount val="2"/>
                <c:pt idx="0">
                  <c:v>0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2-404C-A761-472E95332B7C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Sheet1!$Q$3:$Q$4</c:f>
              <c:numCache>
                <c:formatCode>0%</c:formatCode>
                <c:ptCount val="2"/>
                <c:pt idx="0">
                  <c:v>0.15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2-404C-A761-472E95332B7C}"/>
            </c:ext>
          </c:extLst>
        </c:ser>
        <c:ser>
          <c:idx val="2"/>
          <c:order val="2"/>
          <c:tx>
            <c:strRef>
              <c:f>Sheet1!$R$2</c:f>
              <c:strCache>
                <c:ptCount val="1"/>
                <c:pt idx="0">
                  <c:v>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Sheet1!$R$3:$R$4</c:f>
              <c:numCache>
                <c:formatCode>0%</c:formatCode>
                <c:ptCount val="2"/>
                <c:pt idx="0">
                  <c:v>0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2-404C-A761-472E95332B7C}"/>
            </c:ext>
          </c:extLst>
        </c:ser>
        <c:ser>
          <c:idx val="3"/>
          <c:order val="3"/>
          <c:tx>
            <c:strRef>
              <c:f>Sheet1!$S$2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Sheet1!$S$3:$S$4</c:f>
              <c:numCache>
                <c:formatCode>0%</c:formatCode>
                <c:ptCount val="2"/>
                <c:pt idx="0">
                  <c:v>0.01</c:v>
                </c:pt>
                <c:pt idx="1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2-404C-A761-472E95332B7C}"/>
            </c:ext>
          </c:extLst>
        </c:ser>
        <c:ser>
          <c:idx val="4"/>
          <c:order val="4"/>
          <c:tx>
            <c:strRef>
              <c:f>Sheet1!$T$2</c:f>
              <c:strCache>
                <c:ptCount val="1"/>
                <c:pt idx="0">
                  <c:v>Native Hawaiian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Sheet1!$T$3:$T$4</c:f>
              <c:numCache>
                <c:formatCode>0%</c:formatCode>
                <c:ptCount val="2"/>
                <c:pt idx="0">
                  <c:v>0.01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22-404C-A761-472E95332B7C}"/>
            </c:ext>
          </c:extLst>
        </c:ser>
        <c:ser>
          <c:idx val="5"/>
          <c:order val="5"/>
          <c:tx>
            <c:strRef>
              <c:f>Sheet1!$U$2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Sheet1!$U$3:$U$4</c:f>
              <c:numCache>
                <c:formatCode>0%</c:formatCode>
                <c:ptCount val="2"/>
                <c:pt idx="0">
                  <c:v>0.03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22-404C-A761-472E95332B7C}"/>
            </c:ext>
          </c:extLst>
        </c:ser>
        <c:ser>
          <c:idx val="6"/>
          <c:order val="6"/>
          <c:tx>
            <c:strRef>
              <c:f>Sheet1!$V$2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Sheet1!$V$3:$V$4</c:f>
              <c:numCache>
                <c:formatCode>0%</c:formatCode>
                <c:ptCount val="2"/>
                <c:pt idx="0">
                  <c:v>0.04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22-404C-A761-472E9533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296112208"/>
        <c:axId val="61702384"/>
      </c:barChart>
      <c:catAx>
        <c:axId val="129611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2384"/>
        <c:crosses val="autoZero"/>
        <c:auto val="1"/>
        <c:lblAlgn val="ctr"/>
        <c:lblOffset val="100"/>
        <c:noMultiLvlLbl val="0"/>
      </c:catAx>
      <c:valAx>
        <c:axId val="617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11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PSAT slices</a:t>
            </a:r>
            <a:r>
              <a:rPr lang="en-US" baseline="0"/>
              <a:t> by gender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Sheet1!$O$43:$O$44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Sheet1!$P$43:$P$44</c:f>
              <c:numCache>
                <c:formatCode>0.00%</c:formatCode>
                <c:ptCount val="2"/>
                <c:pt idx="0">
                  <c:v>0.02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7-2646-AD4D-BDEDB147456C}"/>
            </c:ext>
          </c:extLst>
        </c:ser>
        <c:ser>
          <c:idx val="2"/>
          <c:order val="1"/>
          <c:tx>
            <c:strRef>
              <c:f>Sheet1!$R$42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Sheet1!$O$43:$O$44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Sheet1!$R$43:$R$44</c:f>
              <c:numCache>
                <c:formatCode>0.00%</c:formatCode>
                <c:ptCount val="2"/>
                <c:pt idx="0">
                  <c:v>0.04</c:v>
                </c:pt>
                <c:pt idx="1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87-2646-AD4D-BDEDB147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77637968"/>
        <c:axId val="1186201184"/>
      </c:barChart>
      <c:catAx>
        <c:axId val="117763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01184"/>
        <c:crosses val="autoZero"/>
        <c:auto val="1"/>
        <c:lblAlgn val="ctr"/>
        <c:lblOffset val="100"/>
        <c:noMultiLvlLbl val="0"/>
      </c:catAx>
      <c:valAx>
        <c:axId val="118620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63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Selection</a:t>
            </a:r>
            <a:r>
              <a:rPr lang="en-US" baseline="0"/>
              <a:t> Index slices by gender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Sheet1!$P$72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Sheet1!$O$73:$O$74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Sheet1!$P$73:$P$74</c:f>
              <c:numCache>
                <c:formatCode>0.00%</c:formatCode>
                <c:ptCount val="2"/>
                <c:pt idx="0">
                  <c:v>1.0415558781926015E-2</c:v>
                </c:pt>
                <c:pt idx="1">
                  <c:v>1.1385101621528393E-2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6-3B4F-9946-EDFF60899A7C}"/>
            </c:ext>
          </c:extLst>
        </c:ser>
        <c:ser>
          <c:idx val="1"/>
          <c:order val="1"/>
          <c:tx>
            <c:strRef>
              <c:f>Sheet1!$Q$72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Sheet1!$O$73:$O$74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Sheet1!$Q$73:$Q$74</c:f>
              <c:numCache>
                <c:formatCode>0.00%</c:formatCode>
                <c:ptCount val="2"/>
                <c:pt idx="0">
                  <c:v>1.0788303936862476E-2</c:v>
                </c:pt>
                <c:pt idx="1">
                  <c:v>1.1250376271177309E-2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6-3B4F-9946-EDFF60899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04304"/>
        <c:axId val="1542797007"/>
      </c:barChart>
      <c:catAx>
        <c:axId val="130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797007"/>
        <c:crosses val="autoZero"/>
        <c:auto val="1"/>
        <c:lblAlgn val="ctr"/>
        <c:lblOffset val="100"/>
        <c:noMultiLvlLbl val="0"/>
      </c:catAx>
      <c:valAx>
        <c:axId val="154279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ERW</a:t>
            </a:r>
            <a:r>
              <a:rPr lang="en-US" baseline="0"/>
              <a:t> score distributions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Sheet1!$O$13</c:f>
              <c:strCache>
                <c:ptCount val="1"/>
                <c:pt idx="0">
                  <c:v>760-700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Sheet1!$P$13:$V$13</c:f>
              <c:numCache>
                <c:formatCode>0%</c:formatCode>
                <c:ptCount val="7"/>
                <c:pt idx="0">
                  <c:v>0.01</c:v>
                </c:pt>
                <c:pt idx="1">
                  <c:v>0.14000000000000001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0.05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7-284C-9070-CA1DC34573D6}"/>
            </c:ext>
          </c:extLst>
        </c:ser>
        <c:ser>
          <c:idx val="1"/>
          <c:order val="1"/>
          <c:tx>
            <c:strRef>
              <c:f>Sheet1!$O$14</c:f>
              <c:strCache>
                <c:ptCount val="1"/>
                <c:pt idx="0">
                  <c:v>690-600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Sheet1!$P$14:$V$14</c:f>
              <c:numCache>
                <c:formatCode>0%</c:formatCode>
                <c:ptCount val="7"/>
                <c:pt idx="0">
                  <c:v>0.08</c:v>
                </c:pt>
                <c:pt idx="1">
                  <c:v>0.33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0.09</c:v>
                </c:pt>
                <c:pt idx="5">
                  <c:v>0.25</c:v>
                </c:pt>
                <c:pt idx="6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7-284C-9070-CA1DC34573D6}"/>
            </c:ext>
          </c:extLst>
        </c:ser>
        <c:ser>
          <c:idx val="2"/>
          <c:order val="2"/>
          <c:tx>
            <c:strRef>
              <c:f>Sheet1!$O$15</c:f>
              <c:strCache>
                <c:ptCount val="1"/>
                <c:pt idx="0">
                  <c:v>590-500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Sheet1!$P$15:$V$15</c:f>
              <c:numCache>
                <c:formatCode>0%</c:formatCode>
                <c:ptCount val="7"/>
                <c:pt idx="0">
                  <c:v>0.23</c:v>
                </c:pt>
                <c:pt idx="1">
                  <c:v>0.3</c:v>
                </c:pt>
                <c:pt idx="2">
                  <c:v>0.21</c:v>
                </c:pt>
                <c:pt idx="3">
                  <c:v>0.25</c:v>
                </c:pt>
                <c:pt idx="4">
                  <c:v>0.24</c:v>
                </c:pt>
                <c:pt idx="5">
                  <c:v>0.35</c:v>
                </c:pt>
                <c:pt idx="6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F7-284C-9070-CA1DC34573D6}"/>
            </c:ext>
          </c:extLst>
        </c:ser>
        <c:ser>
          <c:idx val="3"/>
          <c:order val="3"/>
          <c:tx>
            <c:strRef>
              <c:f>Sheet1!$O$16</c:f>
              <c:strCache>
                <c:ptCount val="1"/>
                <c:pt idx="0">
                  <c:v>490-400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Sheet1!$P$16:$V$16</c:f>
              <c:numCache>
                <c:formatCode>0%</c:formatCode>
                <c:ptCount val="7"/>
                <c:pt idx="0">
                  <c:v>0.34</c:v>
                </c:pt>
                <c:pt idx="1">
                  <c:v>0.16</c:v>
                </c:pt>
                <c:pt idx="2">
                  <c:v>0.34</c:v>
                </c:pt>
                <c:pt idx="3">
                  <c:v>0.33</c:v>
                </c:pt>
                <c:pt idx="4">
                  <c:v>0.33</c:v>
                </c:pt>
                <c:pt idx="5">
                  <c:v>0.24</c:v>
                </c:pt>
                <c:pt idx="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F7-284C-9070-CA1DC34573D6}"/>
            </c:ext>
          </c:extLst>
        </c:ser>
        <c:ser>
          <c:idx val="4"/>
          <c:order val="4"/>
          <c:tx>
            <c:strRef>
              <c:f>Sheet1!$O$17</c:f>
              <c:strCache>
                <c:ptCount val="1"/>
                <c:pt idx="0">
                  <c:v>390-300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Sheet1!$P$17:$V$17</c:f>
              <c:numCache>
                <c:formatCode>0%</c:formatCode>
                <c:ptCount val="7"/>
                <c:pt idx="0">
                  <c:v>0.32</c:v>
                </c:pt>
                <c:pt idx="1">
                  <c:v>7.0000000000000007E-2</c:v>
                </c:pt>
                <c:pt idx="2">
                  <c:v>0.33</c:v>
                </c:pt>
                <c:pt idx="3">
                  <c:v>0.28000000000000003</c:v>
                </c:pt>
                <c:pt idx="4">
                  <c:v>0.3</c:v>
                </c:pt>
                <c:pt idx="5">
                  <c:v>0.1</c:v>
                </c:pt>
                <c:pt idx="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F7-284C-9070-CA1DC34573D6}"/>
            </c:ext>
          </c:extLst>
        </c:ser>
        <c:ser>
          <c:idx val="5"/>
          <c:order val="5"/>
          <c:tx>
            <c:strRef>
              <c:f>Sheet1!$O$18</c:f>
              <c:strCache>
                <c:ptCount val="1"/>
                <c:pt idx="0">
                  <c:v>290-160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Sheet1!$P$12:$V$12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Sheet1!$P$18:$V$18</c:f>
              <c:numCache>
                <c:formatCode>0%</c:formatCode>
                <c:ptCount val="7"/>
                <c:pt idx="0">
                  <c:v>0.03</c:v>
                </c:pt>
                <c:pt idx="1">
                  <c:v>0</c:v>
                </c:pt>
                <c:pt idx="2">
                  <c:v>0.04</c:v>
                </c:pt>
                <c:pt idx="3">
                  <c:v>0.03</c:v>
                </c:pt>
                <c:pt idx="4">
                  <c:v>0.03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F7-284C-9070-CA1DC345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08448"/>
        <c:axId val="77440864"/>
      </c:barChart>
      <c:catAx>
        <c:axId val="7750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40864"/>
        <c:crosses val="autoZero"/>
        <c:auto val="1"/>
        <c:lblAlgn val="ctr"/>
        <c:lblOffset val="100"/>
        <c:noMultiLvlLbl val="0"/>
      </c:catAx>
      <c:valAx>
        <c:axId val="774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Math score distributions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Sheet1!$O$23</c:f>
              <c:strCache>
                <c:ptCount val="1"/>
                <c:pt idx="0">
                  <c:v>760-700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Sheet1!$P$23:$V$23</c:f>
              <c:numCache>
                <c:formatCode>0%</c:formatCode>
                <c:ptCount val="7"/>
                <c:pt idx="0">
                  <c:v>0.01</c:v>
                </c:pt>
                <c:pt idx="1">
                  <c:v>0.21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0.03</c:v>
                </c:pt>
                <c:pt idx="6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5-6941-B1FA-B55CB581A3C8}"/>
            </c:ext>
          </c:extLst>
        </c:ser>
        <c:ser>
          <c:idx val="1"/>
          <c:order val="1"/>
          <c:tx>
            <c:strRef>
              <c:f>Sheet1!$O$24</c:f>
              <c:strCache>
                <c:ptCount val="1"/>
                <c:pt idx="0">
                  <c:v>690-600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Sheet1!$P$24:$V$24</c:f>
              <c:numCache>
                <c:formatCode>0%</c:formatCode>
                <c:ptCount val="7"/>
                <c:pt idx="0">
                  <c:v>0.03</c:v>
                </c:pt>
                <c:pt idx="1">
                  <c:v>0.22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0.12</c:v>
                </c:pt>
                <c:pt idx="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5-6941-B1FA-B55CB581A3C8}"/>
            </c:ext>
          </c:extLst>
        </c:ser>
        <c:ser>
          <c:idx val="2"/>
          <c:order val="2"/>
          <c:tx>
            <c:strRef>
              <c:f>Sheet1!$O$25</c:f>
              <c:strCache>
                <c:ptCount val="1"/>
                <c:pt idx="0">
                  <c:v>590-500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Sheet1!$P$25:$V$25</c:f>
              <c:numCache>
                <c:formatCode>0%</c:formatCode>
                <c:ptCount val="7"/>
                <c:pt idx="0">
                  <c:v>0.21</c:v>
                </c:pt>
                <c:pt idx="1">
                  <c:v>0.33</c:v>
                </c:pt>
                <c:pt idx="2">
                  <c:v>0.17</c:v>
                </c:pt>
                <c:pt idx="3">
                  <c:v>0.23</c:v>
                </c:pt>
                <c:pt idx="4">
                  <c:v>0.22</c:v>
                </c:pt>
                <c:pt idx="5">
                  <c:v>0.4</c:v>
                </c:pt>
                <c:pt idx="6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B5-6941-B1FA-B55CB581A3C8}"/>
            </c:ext>
          </c:extLst>
        </c:ser>
        <c:ser>
          <c:idx val="3"/>
          <c:order val="3"/>
          <c:tx>
            <c:strRef>
              <c:f>Sheet1!$O$26</c:f>
              <c:strCache>
                <c:ptCount val="1"/>
                <c:pt idx="0">
                  <c:v>490-400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Sheet1!$P$26:$V$26</c:f>
              <c:numCache>
                <c:formatCode>0%</c:formatCode>
                <c:ptCount val="7"/>
                <c:pt idx="0">
                  <c:v>0.49</c:v>
                </c:pt>
                <c:pt idx="1">
                  <c:v>0.2</c:v>
                </c:pt>
                <c:pt idx="2">
                  <c:v>0.49</c:v>
                </c:pt>
                <c:pt idx="3">
                  <c:v>0.48</c:v>
                </c:pt>
                <c:pt idx="4">
                  <c:v>0.48</c:v>
                </c:pt>
                <c:pt idx="5">
                  <c:v>0.35</c:v>
                </c:pt>
                <c:pt idx="6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B5-6941-B1FA-B55CB581A3C8}"/>
            </c:ext>
          </c:extLst>
        </c:ser>
        <c:ser>
          <c:idx val="4"/>
          <c:order val="4"/>
          <c:tx>
            <c:strRef>
              <c:f>Sheet1!$O$27</c:f>
              <c:strCache>
                <c:ptCount val="1"/>
                <c:pt idx="0">
                  <c:v>390-300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Sheet1!$P$27:$V$27</c:f>
              <c:numCache>
                <c:formatCode>0%</c:formatCode>
                <c:ptCount val="7"/>
                <c:pt idx="0">
                  <c:v>0.25</c:v>
                </c:pt>
                <c:pt idx="1">
                  <c:v>0.05</c:v>
                </c:pt>
                <c:pt idx="2">
                  <c:v>0.28000000000000003</c:v>
                </c:pt>
                <c:pt idx="3">
                  <c:v>0.23</c:v>
                </c:pt>
                <c:pt idx="4">
                  <c:v>0.24</c:v>
                </c:pt>
                <c:pt idx="5">
                  <c:v>0.09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B5-6941-B1FA-B55CB581A3C8}"/>
            </c:ext>
          </c:extLst>
        </c:ser>
        <c:ser>
          <c:idx val="5"/>
          <c:order val="5"/>
          <c:tx>
            <c:strRef>
              <c:f>Sheet1!$O$28</c:f>
              <c:strCache>
                <c:ptCount val="1"/>
                <c:pt idx="0">
                  <c:v>290-160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Sheet1!$P$22:$V$22</c:f>
              <c:strCache>
                <c:ptCount val="7"/>
                <c:pt idx="0">
                  <c:v>American Indian</c:v>
                </c:pt>
                <c:pt idx="1">
                  <c:v>Asian</c:v>
                </c:pt>
                <c:pt idx="2">
                  <c:v>African American</c:v>
                </c:pt>
                <c:pt idx="3">
                  <c:v>Hispanic</c:v>
                </c:pt>
                <c:pt idx="4">
                  <c:v>Native Hawaiian</c:v>
                </c:pt>
                <c:pt idx="5">
                  <c:v>White</c:v>
                </c:pt>
                <c:pt idx="6">
                  <c:v>Two or More Races</c:v>
                </c:pt>
              </c:strCache>
            </c:strRef>
          </c:cat>
          <c:val>
            <c:numRef>
              <c:f>Sheet1!$P$28:$V$28</c:f>
              <c:numCache>
                <c:formatCode>0%</c:formatCode>
                <c:ptCount val="7"/>
                <c:pt idx="0">
                  <c:v>0.02</c:v>
                </c:pt>
                <c:pt idx="1">
                  <c:v>0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B5-6941-B1FA-B55CB581A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847344"/>
        <c:axId val="1291163200"/>
      </c:barChart>
      <c:catAx>
        <c:axId val="13188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63200"/>
        <c:crosses val="autoZero"/>
        <c:auto val="1"/>
        <c:lblAlgn val="ctr"/>
        <c:lblOffset val="100"/>
        <c:noMultiLvlLbl val="0"/>
      </c:catAx>
      <c:valAx>
        <c:axId val="12911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8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990599</xdr:colOff>
      <xdr:row>57</xdr:row>
      <xdr:rowOff>29634</xdr:rowOff>
    </xdr:from>
    <xdr:to>
      <xdr:col>11</xdr:col>
      <xdr:colOff>651932</xdr:colOff>
      <xdr:row>75</xdr:row>
      <xdr:rowOff>152403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46EEBE-2DA3-3104-D2B7-FEAE3170E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1045631</xdr:colOff>
      <xdr:row>25</xdr:row>
      <xdr:rowOff>55035</xdr:rowOff>
    </xdr:from>
    <xdr:to>
      <xdr:col>12</xdr:col>
      <xdr:colOff>634999</xdr:colOff>
      <xdr:row>44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01141F-41B3-8316-0AB7-797362EDD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897466</xdr:colOff>
      <xdr:row>65</xdr:row>
      <xdr:rowOff>97365</xdr:rowOff>
    </xdr:from>
    <xdr:to>
      <xdr:col>12</xdr:col>
      <xdr:colOff>508002</xdr:colOff>
      <xdr:row>84</xdr:row>
      <xdr:rowOff>42333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89248B-F20C-59E9-A7FC-BCDCF7709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313266</xdr:colOff>
      <xdr:row>0</xdr:row>
      <xdr:rowOff>0</xdr:rowOff>
    </xdr:from>
    <xdr:to>
      <xdr:col>12</xdr:col>
      <xdr:colOff>635000</xdr:colOff>
      <xdr:row>15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36FC7C6-CCAE-6E7D-77D2-9377F70C2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203199</xdr:colOff>
      <xdr:row>0</xdr:row>
      <xdr:rowOff>0</xdr:rowOff>
    </xdr:from>
    <xdr:to>
      <xdr:col>8</xdr:col>
      <xdr:colOff>330199</xdr:colOff>
      <xdr:row>15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2ED3CA8-AE45-C506-AA53-986AC4963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237066</xdr:colOff>
      <xdr:row>12</xdr:row>
      <xdr:rowOff>105834</xdr:rowOff>
    </xdr:from>
    <xdr:to>
      <xdr:col>11</xdr:col>
      <xdr:colOff>762000</xdr:colOff>
      <xdr:row>28</xdr:row>
      <xdr:rowOff>4234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CAD3E7A-D76E-DA8F-A230-75174BAFB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482602</xdr:colOff>
      <xdr:row>25</xdr:row>
      <xdr:rowOff>148166</xdr:rowOff>
    </xdr:from>
    <xdr:to>
      <xdr:col>13</xdr:col>
      <xdr:colOff>855135</xdr:colOff>
      <xdr:row>41</xdr:row>
      <xdr:rowOff>46566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C3AE907-7993-0D8F-EC08-147BC09A4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296334</xdr:colOff>
      <xdr:row>11</xdr:row>
      <xdr:rowOff>4233</xdr:rowOff>
    </xdr:from>
    <xdr:to>
      <xdr:col>12</xdr:col>
      <xdr:colOff>618068</xdr:colOff>
      <xdr:row>26</xdr:row>
      <xdr:rowOff>80433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FC68E4D-7210-9B50-7BCB-E6C5D785D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715432</xdr:colOff>
      <xdr:row>8</xdr:row>
      <xdr:rowOff>29634</xdr:rowOff>
    </xdr:from>
    <xdr:to>
      <xdr:col>11</xdr:col>
      <xdr:colOff>1240366</xdr:colOff>
      <xdr:row>23</xdr:row>
      <xdr:rowOff>105834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3CDE91D-5C3D-AC8D-80D1-056479CB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6516-8B46-344C-B5C5-CBA3EF4E8891}">
  <dimension ref="A1:AB117"/>
  <sheetViews>
    <sheetView tabSelected="1" topLeftCell="Q57" zoomScale="150" zoomScaleNormal="150" workbookViewId="0">
      <selection activeCell="AB80" sqref="AB80"/>
    </sheetView>
  </sheetViews>
  <sheetFormatPr baseColWidth="10" defaultRowHeight="14" x14ac:dyDescent="0.2"/>
  <cols>
    <col min="1" max="1" width="28.33203125" style="4" customWidth="1"/>
    <col min="2" max="2" width="10.83203125" style="4"/>
    <col min="3" max="3" width="12.6640625" style="4" customWidth="1"/>
    <col min="4" max="5" width="10.83203125" style="4" customWidth="1"/>
    <col min="6" max="6" width="13.5" style="4" customWidth="1"/>
    <col min="7" max="7" width="17.83203125" style="4" customWidth="1"/>
    <col min="8" max="8" width="16" style="4" customWidth="1"/>
    <col min="9" max="9" width="11.5" style="4" customWidth="1"/>
    <col min="10" max="10" width="14.6640625" style="4" customWidth="1"/>
    <col min="11" max="11" width="10.83203125" style="4"/>
    <col min="12" max="12" width="18.6640625" style="4" customWidth="1"/>
    <col min="13" max="13" width="10.83203125" style="4"/>
    <col min="14" max="14" width="19.6640625" style="4" customWidth="1"/>
    <col min="15" max="15" width="14" style="4" customWidth="1"/>
    <col min="16" max="16" width="11" style="4" customWidth="1"/>
    <col min="17" max="17" width="10.83203125" style="17"/>
    <col min="18" max="18" width="10" style="4" customWidth="1"/>
    <col min="19" max="19" width="13.83203125" style="4" customWidth="1"/>
    <col min="20" max="20" width="13.6640625" style="4" customWidth="1"/>
    <col min="21" max="21" width="10.83203125" style="4" customWidth="1"/>
    <col min="22" max="22" width="17.83203125" style="4" customWidth="1"/>
    <col min="23" max="23" width="16.6640625" style="4" customWidth="1"/>
    <col min="24" max="26" width="10.83203125" style="4"/>
    <col min="27" max="27" width="22" style="4" bestFit="1" customWidth="1"/>
    <col min="28" max="16384" width="10.83203125" style="4"/>
  </cols>
  <sheetData>
    <row r="1" spans="1:22" x14ac:dyDescent="0.2">
      <c r="A1" s="4" t="s">
        <v>32</v>
      </c>
      <c r="B1" s="24" t="s">
        <v>6</v>
      </c>
      <c r="C1" s="24"/>
      <c r="D1" s="24" t="s">
        <v>7</v>
      </c>
      <c r="E1" s="24"/>
      <c r="F1" s="24"/>
      <c r="G1" s="24"/>
    </row>
    <row r="2" spans="1:22" x14ac:dyDescent="0.2">
      <c r="A2" s="3"/>
      <c r="B2" s="4" t="s">
        <v>2</v>
      </c>
      <c r="C2" s="4" t="s">
        <v>3</v>
      </c>
      <c r="D2" s="4" t="s">
        <v>5</v>
      </c>
      <c r="E2" s="4" t="s">
        <v>8</v>
      </c>
      <c r="F2" s="4" t="s">
        <v>9</v>
      </c>
      <c r="G2" s="4" t="s">
        <v>10</v>
      </c>
      <c r="N2" s="4" t="s">
        <v>40</v>
      </c>
      <c r="P2" s="10" t="s">
        <v>20</v>
      </c>
      <c r="Q2" s="10" t="s">
        <v>11</v>
      </c>
      <c r="R2" s="10" t="s">
        <v>21</v>
      </c>
      <c r="S2" s="10" t="s">
        <v>22</v>
      </c>
      <c r="T2" s="10" t="s">
        <v>23</v>
      </c>
      <c r="U2" s="10" t="s">
        <v>13</v>
      </c>
      <c r="V2" s="10" t="s">
        <v>17</v>
      </c>
    </row>
    <row r="3" spans="1:22" x14ac:dyDescent="0.2">
      <c r="A3" s="9" t="s">
        <v>0</v>
      </c>
      <c r="B3" s="4">
        <v>1839251</v>
      </c>
      <c r="C3" s="6">
        <f>B3/B6</f>
        <v>0.49937444170823025</v>
      </c>
      <c r="D3" s="4">
        <v>942</v>
      </c>
      <c r="E3" s="4">
        <v>482</v>
      </c>
      <c r="F3" s="4">
        <v>460</v>
      </c>
      <c r="G3" s="8">
        <f>(2*E3+F3)/10</f>
        <v>142.4</v>
      </c>
      <c r="O3" s="4" t="s">
        <v>36</v>
      </c>
      <c r="P3" s="5">
        <v>0</v>
      </c>
      <c r="Q3" s="5">
        <v>0.15</v>
      </c>
      <c r="R3" s="5">
        <v>0</v>
      </c>
      <c r="S3" s="5">
        <v>0.01</v>
      </c>
      <c r="T3" s="5">
        <v>0.01</v>
      </c>
      <c r="U3" s="5">
        <v>0.03</v>
      </c>
      <c r="V3" s="5">
        <v>0.04</v>
      </c>
    </row>
    <row r="4" spans="1:22" x14ac:dyDescent="0.2">
      <c r="A4" s="9" t="s">
        <v>1</v>
      </c>
      <c r="B4" s="4">
        <v>1801975</v>
      </c>
      <c r="C4" s="6">
        <f>B4/B6</f>
        <v>0.48925364705371277</v>
      </c>
      <c r="D4" s="4">
        <v>936</v>
      </c>
      <c r="E4" s="4">
        <v>466</v>
      </c>
      <c r="F4" s="4">
        <v>469</v>
      </c>
      <c r="G4" s="8">
        <f t="shared" ref="G4:G5" si="0">(2*E4+F4)/10</f>
        <v>140.1</v>
      </c>
      <c r="O4" s="4" t="s">
        <v>47</v>
      </c>
      <c r="P4" s="5">
        <v>0.04</v>
      </c>
      <c r="Q4" s="5">
        <v>0.28000000000000003</v>
      </c>
      <c r="R4" s="5">
        <v>0.04</v>
      </c>
      <c r="S4" s="5">
        <v>0.06</v>
      </c>
      <c r="T4" s="5">
        <v>0.05</v>
      </c>
      <c r="U4" s="5">
        <v>0.18</v>
      </c>
      <c r="V4" s="5">
        <v>0.2</v>
      </c>
    </row>
    <row r="5" spans="1:22" x14ac:dyDescent="0.2">
      <c r="A5" s="10" t="s">
        <v>4</v>
      </c>
      <c r="B5" s="4">
        <v>41884</v>
      </c>
      <c r="C5" s="6">
        <f>B5/B6</f>
        <v>1.1371911238056968E-2</v>
      </c>
      <c r="D5" s="4">
        <v>938</v>
      </c>
      <c r="E5" s="4">
        <v>484</v>
      </c>
      <c r="F5" s="4">
        <v>454</v>
      </c>
      <c r="G5" s="8">
        <f t="shared" si="0"/>
        <v>142.19999999999999</v>
      </c>
      <c r="O5" s="4" t="s">
        <v>48</v>
      </c>
      <c r="P5" s="5">
        <v>0.21</v>
      </c>
      <c r="Q5" s="5">
        <v>0.32</v>
      </c>
      <c r="R5" s="5">
        <v>0.18</v>
      </c>
      <c r="S5" s="5">
        <v>0.23</v>
      </c>
      <c r="T5" s="5">
        <v>0.22</v>
      </c>
      <c r="U5" s="5">
        <v>0.39</v>
      </c>
      <c r="V5" s="5">
        <v>0.36</v>
      </c>
    </row>
    <row r="6" spans="1:22" x14ac:dyDescent="0.2">
      <c r="A6" s="9" t="s">
        <v>5</v>
      </c>
      <c r="B6" s="4">
        <f>SUM(B3:B5)</f>
        <v>3683110</v>
      </c>
      <c r="C6" s="6">
        <f>C3+C4+C5</f>
        <v>0.99999999999999989</v>
      </c>
      <c r="D6" s="8"/>
      <c r="E6" s="8"/>
      <c r="F6" s="8"/>
      <c r="G6" s="8"/>
      <c r="J6" s="4" t="s">
        <v>30</v>
      </c>
      <c r="K6" s="4" t="s">
        <v>28</v>
      </c>
      <c r="L6" s="4" t="s">
        <v>31</v>
      </c>
      <c r="O6" s="4" t="s">
        <v>49</v>
      </c>
      <c r="P6" s="5">
        <v>0.43</v>
      </c>
      <c r="Q6" s="5">
        <v>0.19</v>
      </c>
      <c r="R6" s="5">
        <v>0.42</v>
      </c>
      <c r="S6" s="5">
        <v>0.42</v>
      </c>
      <c r="T6" s="5">
        <v>0.42</v>
      </c>
      <c r="U6" s="5">
        <v>0.3</v>
      </c>
      <c r="V6" s="5">
        <v>0.28999999999999998</v>
      </c>
    </row>
    <row r="7" spans="1:22" x14ac:dyDescent="0.2">
      <c r="J7" s="4">
        <v>986</v>
      </c>
      <c r="K7" s="4">
        <v>979.4</v>
      </c>
      <c r="L7" s="6">
        <f>ABS((K7-J7)/J7)</f>
        <v>6.6937119675456623E-3</v>
      </c>
      <c r="O7" s="4" t="s">
        <v>50</v>
      </c>
      <c r="P7" s="5">
        <v>0.3</v>
      </c>
      <c r="Q7" s="5">
        <v>0.05</v>
      </c>
      <c r="R7" s="5">
        <v>0.33</v>
      </c>
      <c r="S7" s="5">
        <v>0.27</v>
      </c>
      <c r="T7" s="5">
        <v>0.28000000000000003</v>
      </c>
      <c r="U7" s="5">
        <v>0.09</v>
      </c>
      <c r="V7" s="5">
        <v>0.1</v>
      </c>
    </row>
    <row r="8" spans="1:22" x14ac:dyDescent="0.2">
      <c r="A8" s="4" t="s">
        <v>33</v>
      </c>
      <c r="B8" s="24" t="s">
        <v>6</v>
      </c>
      <c r="C8" s="24"/>
      <c r="D8" s="24" t="s">
        <v>7</v>
      </c>
      <c r="E8" s="24"/>
      <c r="F8" s="24"/>
      <c r="G8" s="24"/>
      <c r="J8" s="4">
        <v>942</v>
      </c>
      <c r="K8" s="4">
        <v>990.80000000000007</v>
      </c>
      <c r="L8" s="6">
        <f t="shared" ref="L8:L15" si="1">ABS((K8-J8)/J8)</f>
        <v>5.1804670912951239E-2</v>
      </c>
      <c r="O8" s="4" t="s">
        <v>51</v>
      </c>
      <c r="P8" s="5">
        <v>0.01</v>
      </c>
      <c r="Q8" s="5">
        <v>0</v>
      </c>
      <c r="R8" s="5">
        <v>0.03</v>
      </c>
      <c r="S8" s="5">
        <v>0.01</v>
      </c>
      <c r="T8" s="5">
        <v>0.02</v>
      </c>
      <c r="U8" s="5">
        <v>0</v>
      </c>
      <c r="V8" s="5">
        <v>0</v>
      </c>
    </row>
    <row r="9" spans="1:22" x14ac:dyDescent="0.2">
      <c r="B9" s="4" t="s">
        <v>2</v>
      </c>
      <c r="C9" s="4" t="s">
        <v>3</v>
      </c>
      <c r="D9" s="4" t="s">
        <v>5</v>
      </c>
      <c r="E9" s="4" t="s">
        <v>8</v>
      </c>
      <c r="F9" s="4" t="s">
        <v>9</v>
      </c>
      <c r="G9" s="4" t="s">
        <v>10</v>
      </c>
      <c r="J9" s="4">
        <v>936</v>
      </c>
      <c r="K9" s="4">
        <v>981.00000000000011</v>
      </c>
      <c r="L9" s="6">
        <f t="shared" si="1"/>
        <v>4.8076923076923198E-2</v>
      </c>
      <c r="N9" s="4" t="s">
        <v>28</v>
      </c>
      <c r="P9" s="4">
        <v>884.6</v>
      </c>
      <c r="Q9" s="4">
        <v>1141</v>
      </c>
      <c r="R9" s="4">
        <v>872.8</v>
      </c>
      <c r="S9" s="4">
        <v>917.2</v>
      </c>
      <c r="T9" s="4">
        <v>904.80000000000007</v>
      </c>
      <c r="U9" s="4">
        <v>1039.8</v>
      </c>
      <c r="V9" s="4">
        <v>1045.4000000000001</v>
      </c>
    </row>
    <row r="10" spans="1:22" x14ac:dyDescent="0.2">
      <c r="A10" s="9" t="s">
        <v>14</v>
      </c>
      <c r="B10" s="4">
        <v>12809</v>
      </c>
      <c r="C10" s="6">
        <f>B10/B18</f>
        <v>8.6139936879580953E-3</v>
      </c>
      <c r="D10" s="4">
        <v>891</v>
      </c>
      <c r="E10" s="4">
        <v>447</v>
      </c>
      <c r="F10" s="4">
        <v>444</v>
      </c>
      <c r="G10" s="8">
        <f>(2*E10+F10)/10</f>
        <v>133.80000000000001</v>
      </c>
      <c r="J10" s="4">
        <v>891</v>
      </c>
      <c r="K10" s="4">
        <v>884.6</v>
      </c>
      <c r="L10" s="6">
        <f t="shared" si="1"/>
        <v>7.1829405162738237E-3</v>
      </c>
      <c r="N10" s="4" t="s">
        <v>29</v>
      </c>
      <c r="P10" s="7">
        <v>169.62802952342517</v>
      </c>
      <c r="Q10" s="7">
        <v>208.90234560674517</v>
      </c>
      <c r="R10" s="7">
        <v>178.51655385425747</v>
      </c>
      <c r="S10" s="7">
        <v>185.40809043836248</v>
      </c>
      <c r="T10" s="7">
        <v>187.04266892877681</v>
      </c>
      <c r="U10" s="7">
        <v>187.48898527646898</v>
      </c>
      <c r="V10" s="7">
        <v>197.41891601363838</v>
      </c>
    </row>
    <row r="11" spans="1:22" x14ac:dyDescent="0.2">
      <c r="A11" s="9" t="s">
        <v>11</v>
      </c>
      <c r="B11" s="4">
        <v>127921</v>
      </c>
      <c r="C11" s="6">
        <f>B11/B18</f>
        <v>8.6026285155538104E-2</v>
      </c>
      <c r="D11" s="4">
        <v>1150</v>
      </c>
      <c r="E11" s="4">
        <v>574</v>
      </c>
      <c r="F11" s="4">
        <v>576</v>
      </c>
      <c r="G11" s="8">
        <f t="shared" ref="G11:G17" si="2">(2*E11+F11)/10</f>
        <v>172.4</v>
      </c>
      <c r="J11" s="4">
        <v>1150</v>
      </c>
      <c r="K11" s="4">
        <v>1141</v>
      </c>
      <c r="L11" s="6">
        <f t="shared" si="1"/>
        <v>7.8260869565217397E-3</v>
      </c>
    </row>
    <row r="12" spans="1:22" x14ac:dyDescent="0.2">
      <c r="A12" s="9" t="s">
        <v>15</v>
      </c>
      <c r="B12" s="4">
        <v>155044</v>
      </c>
      <c r="C12" s="6">
        <f>B12/B18</f>
        <v>0.10426637812130338</v>
      </c>
      <c r="D12" s="4">
        <v>873</v>
      </c>
      <c r="E12" s="4">
        <v>441</v>
      </c>
      <c r="F12" s="4">
        <v>433</v>
      </c>
      <c r="G12" s="8">
        <f t="shared" si="2"/>
        <v>131.5</v>
      </c>
      <c r="J12" s="4">
        <v>873</v>
      </c>
      <c r="K12" s="4">
        <v>872.8</v>
      </c>
      <c r="L12" s="6">
        <f t="shared" si="1"/>
        <v>2.2909507445595129E-4</v>
      </c>
      <c r="N12" s="4" t="s">
        <v>39</v>
      </c>
      <c r="P12" s="10" t="s">
        <v>20</v>
      </c>
      <c r="Q12" s="10" t="s">
        <v>11</v>
      </c>
      <c r="R12" s="10" t="s">
        <v>21</v>
      </c>
      <c r="S12" s="10" t="s">
        <v>22</v>
      </c>
      <c r="T12" s="10" t="s">
        <v>23</v>
      </c>
      <c r="U12" s="10" t="s">
        <v>13</v>
      </c>
      <c r="V12" s="10" t="s">
        <v>17</v>
      </c>
    </row>
    <row r="13" spans="1:22" x14ac:dyDescent="0.2">
      <c r="A13" s="9" t="s">
        <v>12</v>
      </c>
      <c r="B13" s="4">
        <v>368734</v>
      </c>
      <c r="C13" s="6">
        <f>B13/B18</f>
        <v>0.24797192197170273</v>
      </c>
      <c r="D13" s="4">
        <v>911</v>
      </c>
      <c r="E13" s="4">
        <v>460</v>
      </c>
      <c r="F13" s="4">
        <v>451</v>
      </c>
      <c r="G13" s="8">
        <f t="shared" si="2"/>
        <v>137.1</v>
      </c>
      <c r="J13" s="4">
        <v>911</v>
      </c>
      <c r="K13" s="4">
        <v>917.2</v>
      </c>
      <c r="L13" s="6">
        <f t="shared" si="1"/>
        <v>6.8057080131723883E-3</v>
      </c>
      <c r="O13" s="4" t="s">
        <v>37</v>
      </c>
      <c r="P13" s="19">
        <v>0.01</v>
      </c>
      <c r="Q13" s="19">
        <v>0.14000000000000001</v>
      </c>
      <c r="R13" s="19">
        <v>0.01</v>
      </c>
      <c r="S13" s="19">
        <v>0.01</v>
      </c>
      <c r="T13" s="19">
        <v>0.01</v>
      </c>
      <c r="U13" s="19">
        <v>0.05</v>
      </c>
      <c r="V13" s="19">
        <v>7.0000000000000007E-2</v>
      </c>
    </row>
    <row r="14" spans="1:22" x14ac:dyDescent="0.2">
      <c r="A14" s="9" t="s">
        <v>16</v>
      </c>
      <c r="B14" s="4">
        <v>3486</v>
      </c>
      <c r="C14" s="6">
        <f>B14/B18</f>
        <v>2.3443189941620675E-3</v>
      </c>
      <c r="D14" s="4">
        <v>903</v>
      </c>
      <c r="E14" s="4">
        <v>455</v>
      </c>
      <c r="F14" s="4">
        <v>448</v>
      </c>
      <c r="G14" s="8">
        <f t="shared" si="2"/>
        <v>135.80000000000001</v>
      </c>
      <c r="J14" s="4">
        <v>903</v>
      </c>
      <c r="K14" s="4">
        <v>904.80000000000007</v>
      </c>
      <c r="L14" s="6">
        <f t="shared" si="1"/>
        <v>1.9933554817276504E-3</v>
      </c>
      <c r="O14" s="4" t="s">
        <v>42</v>
      </c>
      <c r="P14" s="19">
        <v>0.08</v>
      </c>
      <c r="Q14" s="19">
        <v>0.33</v>
      </c>
      <c r="R14" s="19">
        <v>7.0000000000000007E-2</v>
      </c>
      <c r="S14" s="19">
        <v>0.1</v>
      </c>
      <c r="T14" s="19">
        <v>0.09</v>
      </c>
      <c r="U14" s="19">
        <v>0.25</v>
      </c>
      <c r="V14" s="19">
        <v>0.26</v>
      </c>
    </row>
    <row r="15" spans="1:22" x14ac:dyDescent="0.2">
      <c r="A15" s="9" t="s">
        <v>13</v>
      </c>
      <c r="B15" s="4">
        <v>598684</v>
      </c>
      <c r="C15" s="6">
        <f>B15/B18</f>
        <v>0.40261224116492345</v>
      </c>
      <c r="D15" s="4">
        <v>1044</v>
      </c>
      <c r="E15" s="4">
        <v>535</v>
      </c>
      <c r="F15" s="4">
        <v>509</v>
      </c>
      <c r="G15" s="8">
        <f t="shared" si="2"/>
        <v>157.9</v>
      </c>
      <c r="J15" s="4">
        <v>1044</v>
      </c>
      <c r="K15" s="4">
        <v>1039.8</v>
      </c>
      <c r="L15" s="6">
        <f t="shared" si="1"/>
        <v>4.0229885057471697E-3</v>
      </c>
      <c r="O15" s="4" t="s">
        <v>43</v>
      </c>
      <c r="P15" s="19">
        <v>0.23</v>
      </c>
      <c r="Q15" s="19">
        <v>0.3</v>
      </c>
      <c r="R15" s="19">
        <v>0.21</v>
      </c>
      <c r="S15" s="19">
        <v>0.25</v>
      </c>
      <c r="T15" s="19">
        <v>0.24</v>
      </c>
      <c r="U15" s="19">
        <v>0.35</v>
      </c>
      <c r="V15" s="19">
        <v>0.33</v>
      </c>
    </row>
    <row r="16" spans="1:22" x14ac:dyDescent="0.2">
      <c r="A16" s="9" t="s">
        <v>17</v>
      </c>
      <c r="B16" s="4">
        <v>57996</v>
      </c>
      <c r="C16" s="6">
        <f>B16/B18</f>
        <v>3.9002043713546548E-2</v>
      </c>
      <c r="D16" s="4">
        <v>1050</v>
      </c>
      <c r="E16" s="4">
        <v>539</v>
      </c>
      <c r="F16" s="4">
        <v>511</v>
      </c>
      <c r="G16" s="8">
        <f t="shared" si="2"/>
        <v>158.9</v>
      </c>
      <c r="J16" s="4">
        <v>1050</v>
      </c>
      <c r="K16" s="4">
        <v>1045.4000000000001</v>
      </c>
      <c r="L16" s="6">
        <f>ABS((K16-J16)/J16)</f>
        <v>4.3809523809522945E-3</v>
      </c>
      <c r="O16" s="4" t="s">
        <v>44</v>
      </c>
      <c r="P16" s="19">
        <v>0.34</v>
      </c>
      <c r="Q16" s="19">
        <v>0.16</v>
      </c>
      <c r="R16" s="19">
        <v>0.34</v>
      </c>
      <c r="S16" s="19">
        <v>0.33</v>
      </c>
      <c r="T16" s="19">
        <v>0.33</v>
      </c>
      <c r="U16" s="19">
        <v>0.24</v>
      </c>
      <c r="V16" s="19">
        <v>0.23</v>
      </c>
    </row>
    <row r="17" spans="1:23" x14ac:dyDescent="0.2">
      <c r="A17" s="9" t="s">
        <v>18</v>
      </c>
      <c r="B17" s="4">
        <v>162325</v>
      </c>
      <c r="C17" s="6">
        <f>B17/B18</f>
        <v>0.10916281719086562</v>
      </c>
      <c r="D17" s="4">
        <v>906</v>
      </c>
      <c r="E17" s="4">
        <v>454</v>
      </c>
      <c r="F17" s="4">
        <v>452</v>
      </c>
      <c r="G17" s="8">
        <f t="shared" si="2"/>
        <v>136</v>
      </c>
      <c r="J17" s="4">
        <v>906</v>
      </c>
      <c r="O17" s="4" t="s">
        <v>45</v>
      </c>
      <c r="P17" s="19">
        <v>0.32</v>
      </c>
      <c r="Q17" s="19">
        <v>7.0000000000000007E-2</v>
      </c>
      <c r="R17" s="19">
        <v>0.33</v>
      </c>
      <c r="S17" s="19">
        <v>0.28000000000000003</v>
      </c>
      <c r="T17" s="19">
        <v>0.3</v>
      </c>
      <c r="U17" s="19">
        <v>0.1</v>
      </c>
      <c r="V17" s="19">
        <v>0.11</v>
      </c>
    </row>
    <row r="18" spans="1:23" x14ac:dyDescent="0.2">
      <c r="A18" s="11" t="s">
        <v>5</v>
      </c>
      <c r="B18" s="4">
        <f>SUM(B10:B17)</f>
        <v>1486999</v>
      </c>
      <c r="C18" s="6">
        <f>SUM(C10:C17)</f>
        <v>1</v>
      </c>
      <c r="D18" s="8"/>
      <c r="E18" s="8"/>
      <c r="F18" s="8"/>
      <c r="G18" s="8"/>
      <c r="O18" s="4" t="s">
        <v>46</v>
      </c>
      <c r="P18" s="19">
        <v>0.03</v>
      </c>
      <c r="Q18" s="19">
        <v>0</v>
      </c>
      <c r="R18" s="19">
        <v>0.04</v>
      </c>
      <c r="S18" s="19">
        <v>0.03</v>
      </c>
      <c r="T18" s="19">
        <v>0.03</v>
      </c>
      <c r="U18" s="19">
        <v>0.01</v>
      </c>
      <c r="V18" s="19">
        <v>0.01</v>
      </c>
    </row>
    <row r="19" spans="1:23" x14ac:dyDescent="0.2">
      <c r="N19" s="4" t="s">
        <v>28</v>
      </c>
      <c r="P19" s="7">
        <v>457.7</v>
      </c>
      <c r="Q19" s="7">
        <v>578.20000000000005</v>
      </c>
      <c r="R19" s="7">
        <v>446</v>
      </c>
      <c r="S19" s="7">
        <v>463.2</v>
      </c>
      <c r="T19" s="7">
        <v>458.2</v>
      </c>
      <c r="U19" s="7">
        <v>536.79999999999995</v>
      </c>
      <c r="V19" s="7">
        <v>545.9</v>
      </c>
      <c r="W19" s="7"/>
    </row>
    <row r="20" spans="1:23" x14ac:dyDescent="0.2">
      <c r="A20" s="4" t="s">
        <v>33</v>
      </c>
      <c r="C20" s="10" t="s">
        <v>24</v>
      </c>
      <c r="D20" s="10" t="s">
        <v>0</v>
      </c>
      <c r="E20" s="10" t="s">
        <v>1</v>
      </c>
      <c r="F20" s="10" t="s">
        <v>20</v>
      </c>
      <c r="G20" s="10" t="s">
        <v>11</v>
      </c>
      <c r="H20" s="10" t="s">
        <v>21</v>
      </c>
      <c r="I20" s="10" t="s">
        <v>22</v>
      </c>
      <c r="J20" s="10" t="s">
        <v>23</v>
      </c>
      <c r="K20" s="10" t="s">
        <v>13</v>
      </c>
      <c r="L20" s="10" t="s">
        <v>17</v>
      </c>
      <c r="N20" s="4" t="s">
        <v>29</v>
      </c>
      <c r="P20" s="7">
        <v>104.62601445147378</v>
      </c>
      <c r="Q20" s="7">
        <v>106.96148839652523</v>
      </c>
      <c r="R20" s="7">
        <v>104.42221985765291</v>
      </c>
      <c r="S20" s="7">
        <v>106.59155688890185</v>
      </c>
      <c r="T20" s="7">
        <v>105.68235425083981</v>
      </c>
      <c r="U20" s="7">
        <v>106.62907670987309</v>
      </c>
      <c r="V20" s="7">
        <v>111.9386354213772</v>
      </c>
    </row>
    <row r="21" spans="1:23" x14ac:dyDescent="0.2">
      <c r="A21" s="14" t="s">
        <v>19</v>
      </c>
      <c r="C21" s="4">
        <v>1486999</v>
      </c>
      <c r="D21" s="4">
        <v>756907</v>
      </c>
      <c r="E21" s="4">
        <v>717534</v>
      </c>
      <c r="F21" s="4">
        <v>12809</v>
      </c>
      <c r="G21" s="4">
        <v>127921</v>
      </c>
      <c r="H21" s="4">
        <v>155044</v>
      </c>
      <c r="I21" s="4">
        <v>368734</v>
      </c>
      <c r="J21" s="4">
        <v>3486</v>
      </c>
      <c r="K21" s="4">
        <v>598684</v>
      </c>
      <c r="L21" s="4">
        <v>57996</v>
      </c>
      <c r="Q21" s="4"/>
      <c r="S21" s="17"/>
    </row>
    <row r="22" spans="1:23" x14ac:dyDescent="0.2">
      <c r="A22" s="14" t="s">
        <v>25</v>
      </c>
      <c r="N22" s="4" t="s">
        <v>38</v>
      </c>
      <c r="P22" s="10" t="s">
        <v>20</v>
      </c>
      <c r="Q22" s="10" t="s">
        <v>11</v>
      </c>
      <c r="R22" s="10" t="s">
        <v>21</v>
      </c>
      <c r="S22" s="10" t="s">
        <v>22</v>
      </c>
      <c r="T22" s="10" t="s">
        <v>23</v>
      </c>
      <c r="U22" s="10" t="s">
        <v>13</v>
      </c>
      <c r="V22" s="10" t="s">
        <v>17</v>
      </c>
    </row>
    <row r="23" spans="1:23" x14ac:dyDescent="0.2">
      <c r="B23" s="4">
        <v>1460</v>
      </c>
      <c r="C23" s="5">
        <v>0.03</v>
      </c>
      <c r="D23" s="5">
        <v>0.02</v>
      </c>
      <c r="E23" s="5">
        <v>0.04</v>
      </c>
      <c r="F23" s="5">
        <v>0</v>
      </c>
      <c r="G23" s="5">
        <v>0.15</v>
      </c>
      <c r="H23" s="5">
        <v>0</v>
      </c>
      <c r="I23" s="5">
        <v>0.01</v>
      </c>
      <c r="J23" s="5">
        <v>0.01</v>
      </c>
      <c r="K23" s="5">
        <v>0.03</v>
      </c>
      <c r="L23" s="5">
        <v>0.04</v>
      </c>
      <c r="O23" s="4" t="s">
        <v>37</v>
      </c>
      <c r="P23" s="19">
        <v>0.01</v>
      </c>
      <c r="Q23" s="19">
        <v>0.21</v>
      </c>
      <c r="R23" s="19">
        <v>0</v>
      </c>
      <c r="S23" s="19">
        <v>0.01</v>
      </c>
      <c r="T23" s="19">
        <v>0.01</v>
      </c>
      <c r="U23" s="19">
        <v>0.03</v>
      </c>
      <c r="V23" s="19">
        <v>0.06</v>
      </c>
    </row>
    <row r="24" spans="1:23" x14ac:dyDescent="0.2">
      <c r="B24" s="4">
        <v>1300</v>
      </c>
      <c r="C24" s="5">
        <v>0.13</v>
      </c>
      <c r="D24" s="5">
        <v>0.13</v>
      </c>
      <c r="E24" s="5">
        <v>0.14000000000000001</v>
      </c>
      <c r="F24" s="5">
        <v>0.04</v>
      </c>
      <c r="G24" s="5">
        <v>0.28000000000000003</v>
      </c>
      <c r="H24" s="5">
        <v>0.04</v>
      </c>
      <c r="I24" s="5">
        <v>0.06</v>
      </c>
      <c r="J24" s="5">
        <v>0.05</v>
      </c>
      <c r="K24" s="5">
        <v>0.18</v>
      </c>
      <c r="L24" s="5">
        <v>0.2</v>
      </c>
      <c r="O24" s="4" t="s">
        <v>42</v>
      </c>
      <c r="P24" s="19">
        <v>0.03</v>
      </c>
      <c r="Q24" s="19">
        <v>0.22</v>
      </c>
      <c r="R24" s="19">
        <v>0.02</v>
      </c>
      <c r="S24" s="19">
        <v>0.04</v>
      </c>
      <c r="T24" s="19">
        <v>0.04</v>
      </c>
      <c r="U24" s="19">
        <v>0.12</v>
      </c>
      <c r="V24" s="19">
        <v>0.13</v>
      </c>
    </row>
    <row r="25" spans="1:23" x14ac:dyDescent="0.2">
      <c r="B25" s="4">
        <v>1100</v>
      </c>
      <c r="C25" s="5">
        <v>0.3</v>
      </c>
      <c r="D25" s="5">
        <v>0.32</v>
      </c>
      <c r="E25" s="5">
        <v>0.28000000000000003</v>
      </c>
      <c r="F25" s="5">
        <v>0.21</v>
      </c>
      <c r="G25" s="5">
        <v>0.32</v>
      </c>
      <c r="H25" s="5">
        <v>0.18</v>
      </c>
      <c r="I25" s="5">
        <v>0.23</v>
      </c>
      <c r="J25" s="5">
        <v>0.22</v>
      </c>
      <c r="K25" s="5">
        <v>0.39</v>
      </c>
      <c r="L25" s="5">
        <v>0.36</v>
      </c>
      <c r="O25" s="4" t="s">
        <v>43</v>
      </c>
      <c r="P25" s="19">
        <v>0.21</v>
      </c>
      <c r="Q25" s="19">
        <v>0.33</v>
      </c>
      <c r="R25" s="19">
        <v>0.17</v>
      </c>
      <c r="S25" s="19">
        <v>0.23</v>
      </c>
      <c r="T25" s="19">
        <v>0.22</v>
      </c>
      <c r="U25" s="19">
        <v>0.4</v>
      </c>
      <c r="V25" s="19">
        <v>0.37</v>
      </c>
    </row>
    <row r="26" spans="1:23" x14ac:dyDescent="0.2">
      <c r="B26" s="4">
        <v>900</v>
      </c>
      <c r="C26" s="5">
        <v>0.34</v>
      </c>
      <c r="D26" s="5">
        <v>0.36</v>
      </c>
      <c r="E26" s="5">
        <v>0.32</v>
      </c>
      <c r="F26" s="5">
        <v>0.43</v>
      </c>
      <c r="G26" s="5">
        <v>0.19</v>
      </c>
      <c r="H26" s="5">
        <v>0.42</v>
      </c>
      <c r="I26" s="5">
        <v>0.42</v>
      </c>
      <c r="J26" s="5">
        <v>0.42</v>
      </c>
      <c r="K26" s="5">
        <v>0.3</v>
      </c>
      <c r="L26" s="5">
        <v>0.28999999999999998</v>
      </c>
      <c r="O26" s="4" t="s">
        <v>44</v>
      </c>
      <c r="P26" s="19">
        <v>0.49</v>
      </c>
      <c r="Q26" s="19">
        <v>0.2</v>
      </c>
      <c r="R26" s="19">
        <v>0.49</v>
      </c>
      <c r="S26" s="19">
        <v>0.48</v>
      </c>
      <c r="T26" s="19">
        <v>0.48</v>
      </c>
      <c r="U26" s="19">
        <v>0.35</v>
      </c>
      <c r="V26" s="19">
        <v>0.34</v>
      </c>
    </row>
    <row r="27" spans="1:23" x14ac:dyDescent="0.2">
      <c r="B27" s="4">
        <v>700</v>
      </c>
      <c r="C27" s="5">
        <v>0.18</v>
      </c>
      <c r="D27" s="5">
        <v>0.16</v>
      </c>
      <c r="E27" s="5">
        <v>0.2</v>
      </c>
      <c r="F27" s="5">
        <v>0.3</v>
      </c>
      <c r="G27" s="5">
        <v>0.05</v>
      </c>
      <c r="H27" s="5">
        <v>0.33</v>
      </c>
      <c r="I27" s="5">
        <v>0.27</v>
      </c>
      <c r="J27" s="5">
        <v>0.28000000000000003</v>
      </c>
      <c r="K27" s="5">
        <v>0.09</v>
      </c>
      <c r="L27" s="5">
        <v>0.1</v>
      </c>
      <c r="O27" s="4" t="s">
        <v>45</v>
      </c>
      <c r="P27" s="19">
        <v>0.25</v>
      </c>
      <c r="Q27" s="19">
        <v>0.05</v>
      </c>
      <c r="R27" s="19">
        <v>0.28000000000000003</v>
      </c>
      <c r="S27" s="19">
        <v>0.23</v>
      </c>
      <c r="T27" s="19">
        <v>0.24</v>
      </c>
      <c r="U27" s="19">
        <v>0.09</v>
      </c>
      <c r="V27" s="19">
        <v>0.1</v>
      </c>
    </row>
    <row r="28" spans="1:23" x14ac:dyDescent="0.2">
      <c r="B28" s="4">
        <v>460</v>
      </c>
      <c r="C28" s="5">
        <v>0.01</v>
      </c>
      <c r="D28" s="5">
        <v>0.01</v>
      </c>
      <c r="E28" s="5">
        <v>0.01</v>
      </c>
      <c r="F28" s="5">
        <v>0.01</v>
      </c>
      <c r="G28" s="5">
        <v>0</v>
      </c>
      <c r="H28" s="5">
        <v>0.03</v>
      </c>
      <c r="I28" s="5">
        <v>0.01</v>
      </c>
      <c r="J28" s="5">
        <v>0.02</v>
      </c>
      <c r="K28" s="5">
        <v>0</v>
      </c>
      <c r="L28" s="5">
        <v>0</v>
      </c>
      <c r="O28" s="4" t="s">
        <v>46</v>
      </c>
      <c r="P28" s="19">
        <v>0.02</v>
      </c>
      <c r="Q28" s="19">
        <v>0</v>
      </c>
      <c r="R28" s="19">
        <v>0.03</v>
      </c>
      <c r="S28" s="19">
        <v>0.02</v>
      </c>
      <c r="T28" s="19">
        <v>0.02</v>
      </c>
      <c r="U28" s="19">
        <v>0.01</v>
      </c>
      <c r="V28" s="19">
        <v>0.01</v>
      </c>
    </row>
    <row r="29" spans="1:23" x14ac:dyDescent="0.2">
      <c r="A29" s="14" t="s">
        <v>28</v>
      </c>
      <c r="C29" s="7">
        <f>SUMPRODUCT(C23:C28,(B23:B28))</f>
        <v>979.4</v>
      </c>
      <c r="D29" s="7">
        <f>SUMPRODUCT(D23:D28,B23:B28)</f>
        <v>990.80000000000007</v>
      </c>
      <c r="E29" s="7">
        <f>SUMPRODUCT(E23:E28,B23:B28)</f>
        <v>981.00000000000011</v>
      </c>
      <c r="F29" s="4">
        <f>SUMPRODUCT(F23:F28,B23:B28)</f>
        <v>884.6</v>
      </c>
      <c r="G29" s="4">
        <f>SUMPRODUCT(G23:G28,B23:B28)</f>
        <v>1141</v>
      </c>
      <c r="H29" s="4">
        <f>SUMPRODUCT(H23:H28,B23:B28)</f>
        <v>872.8</v>
      </c>
      <c r="I29" s="4">
        <f>SUMPRODUCT(I23:I28,B23:B28)</f>
        <v>917.2</v>
      </c>
      <c r="J29" s="4">
        <f>SUMPRODUCT(J23:J28,B23:B28)</f>
        <v>904.80000000000007</v>
      </c>
      <c r="K29" s="4">
        <f>SUMPRODUCT(K23:K28,B23:B28)</f>
        <v>1039.8</v>
      </c>
      <c r="L29" s="4">
        <f>SUMPRODUCT(L23:L28,B23:B28)</f>
        <v>1045.4000000000001</v>
      </c>
      <c r="N29" s="4" t="s">
        <v>28</v>
      </c>
      <c r="P29" s="7">
        <v>454.90000000000003</v>
      </c>
      <c r="Q29" s="7">
        <v>585.29999999999995</v>
      </c>
      <c r="R29" s="7">
        <v>431.9</v>
      </c>
      <c r="S29" s="7">
        <v>460.90000000000003</v>
      </c>
      <c r="T29" s="7">
        <v>458.90000000000003</v>
      </c>
      <c r="U29" s="7">
        <v>511.2</v>
      </c>
      <c r="V29" s="7">
        <v>522.09999999999991</v>
      </c>
    </row>
    <row r="30" spans="1:23" x14ac:dyDescent="0.2">
      <c r="A30" s="14" t="s">
        <v>29</v>
      </c>
      <c r="C30" s="7" cm="1">
        <f t="array" ref="C30">SQRT(SUMPRODUCT(C23:C28,(B23:B28-C29)^2))</f>
        <v>208.68012938466373</v>
      </c>
      <c r="D30" s="7" cm="1">
        <f t="array" ref="D30">SQRT(SUMPRODUCT(D23:D28,(B23:B28-D29)^2))</f>
        <v>199.90837901398731</v>
      </c>
      <c r="E30" s="7" cm="1">
        <f t="array" ref="E30">SQRT(SUMPRODUCT(E23:E28,(B23:B28-E29)^2))</f>
        <v>219.07850191198588</v>
      </c>
      <c r="F30" s="7" cm="1">
        <f t="array" ref="F30">SQRT(SUMPRODUCT(F23:F28,(B23:B28-F29)^2))</f>
        <v>169.62802952342517</v>
      </c>
      <c r="G30" s="7" cm="1">
        <f t="array" ref="G30">SQRT(SUMPRODUCT(G23:G28,(B23:B28-G29)^2))</f>
        <v>208.90234560674517</v>
      </c>
      <c r="H30" s="7" cm="1">
        <f t="array" ref="H30">SQRT(SUMPRODUCT(H23:H28,(B23:B28-H29)^2))</f>
        <v>178.51655385425747</v>
      </c>
      <c r="I30" s="7" cm="1">
        <f t="array" ref="I30">SQRT(SUMPRODUCT(I23:I28,(B23:B28-I29)^2))</f>
        <v>185.40809043836248</v>
      </c>
      <c r="J30" s="7" cm="1">
        <f t="array" ref="J30">SQRT(SUMPRODUCT(J23:J28,(B23:B28-J29)^2))</f>
        <v>187.04266892877681</v>
      </c>
      <c r="K30" s="7" cm="1">
        <f t="array" ref="K30">SQRT(SUMPRODUCT(K23:K28,(B23:B28-K29)^2))</f>
        <v>187.48898527646898</v>
      </c>
      <c r="L30" s="7" cm="1">
        <f t="array" ref="L30">SQRT(SUMPRODUCT(L23:L28,(B23:B28-L29)^2))</f>
        <v>197.41891601363838</v>
      </c>
      <c r="N30" s="4" t="s">
        <v>29</v>
      </c>
      <c r="P30" s="22">
        <v>87.019136401138809</v>
      </c>
      <c r="Q30" s="7">
        <v>110.26636341151367</v>
      </c>
      <c r="R30" s="7">
        <v>81.141936752828386</v>
      </c>
      <c r="S30" s="7">
        <v>89.064460364390015</v>
      </c>
      <c r="T30" s="7">
        <v>89.183418301834564</v>
      </c>
      <c r="U30" s="7">
        <v>93.757986326499136</v>
      </c>
      <c r="V30" s="7">
        <v>102.91002915168181</v>
      </c>
    </row>
    <row r="31" spans="1:23" x14ac:dyDescent="0.2">
      <c r="A31" s="14" t="s">
        <v>26</v>
      </c>
      <c r="C31" s="5"/>
      <c r="P31" s="7"/>
      <c r="R31" s="6"/>
    </row>
    <row r="32" spans="1:23" x14ac:dyDescent="0.2">
      <c r="B32" s="4">
        <v>730</v>
      </c>
      <c r="C32" s="5">
        <v>0.04</v>
      </c>
      <c r="D32" s="5">
        <v>0.04</v>
      </c>
      <c r="E32" s="5">
        <v>0.04</v>
      </c>
      <c r="F32" s="5">
        <v>0.01</v>
      </c>
      <c r="G32" s="5">
        <v>0.14000000000000001</v>
      </c>
      <c r="H32" s="5">
        <v>0.01</v>
      </c>
      <c r="I32" s="5">
        <v>0.01</v>
      </c>
      <c r="J32" s="5">
        <v>0.01</v>
      </c>
      <c r="K32" s="5">
        <v>0.05</v>
      </c>
      <c r="L32" s="5">
        <v>7.0000000000000007E-2</v>
      </c>
      <c r="N32" s="4" t="s">
        <v>41</v>
      </c>
      <c r="P32" s="10" t="s">
        <v>20</v>
      </c>
      <c r="Q32" s="10" t="s">
        <v>11</v>
      </c>
      <c r="R32" s="10" t="s">
        <v>21</v>
      </c>
      <c r="S32" s="10" t="s">
        <v>22</v>
      </c>
      <c r="T32" s="10" t="s">
        <v>23</v>
      </c>
      <c r="U32" s="10" t="s">
        <v>13</v>
      </c>
      <c r="V32" s="10" t="s">
        <v>17</v>
      </c>
    </row>
    <row r="33" spans="1:22" x14ac:dyDescent="0.2">
      <c r="B33" s="4">
        <v>650</v>
      </c>
      <c r="C33" s="5">
        <v>0.19</v>
      </c>
      <c r="D33" s="5">
        <v>0.19</v>
      </c>
      <c r="E33" s="5">
        <v>0.18</v>
      </c>
      <c r="F33" s="5">
        <v>0.08</v>
      </c>
      <c r="G33" s="5">
        <v>0.33</v>
      </c>
      <c r="H33" s="5">
        <v>7.0000000000000007E-2</v>
      </c>
      <c r="I33" s="5">
        <v>0.1</v>
      </c>
      <c r="J33" s="5">
        <v>0.09</v>
      </c>
      <c r="K33" s="5">
        <v>0.25</v>
      </c>
      <c r="L33" s="5">
        <v>0.26</v>
      </c>
      <c r="O33" s="4" t="s">
        <v>64</v>
      </c>
      <c r="P33" s="6">
        <f>_xlfn.NORM.DIST(228,P37,P38,TRUE)-_xlfn.NORM.DIST(215,P37,P38,TRUE)</f>
        <v>1.7694823696456918E-3</v>
      </c>
      <c r="Q33" s="6">
        <f>_xlfn.NORM.DIST(228,Q37,Q38,TRUE)-_xlfn.NORM.DIST(220,Q37,Q38,TRUE)</f>
        <v>1.5783672829724482E-2</v>
      </c>
      <c r="R33" s="6">
        <f>_xlfn.NORM.DIST(228,R37,R38,TRUE)-_xlfn.NORM.DIST(215,R37,R38,TRUE)</f>
        <v>1.0353463104362248E-4</v>
      </c>
      <c r="S33" s="6">
        <f>_xlfn.NORM.DIST(228,S37,S38,TRUE)-_xlfn.NORM.DIST(215,S37,S38,TRUE)</f>
        <v>4.2562071400098489E-4</v>
      </c>
      <c r="T33" s="6">
        <f>_xlfn.NORM.DIST(228,T37,T38,TRUE)-_xlfn.NORM.DIST(215,T37,T38,TRUE)</f>
        <v>3.2636436222299725E-4</v>
      </c>
      <c r="U33" s="6">
        <f>_xlfn.NORM.DIST(228,U37,U38,TRUE)-_xlfn.NORM.DIST(215,U37,U38,TRUE)</f>
        <v>6.2077615427518218E-3</v>
      </c>
      <c r="V33" s="6">
        <f>_xlfn.NORM.DIST(228,V37,V38,TRUE)-_xlfn.NORM.DIST(215,V37,V38,TRUE)</f>
        <v>1.1354619124044563E-2</v>
      </c>
    </row>
    <row r="34" spans="1:22" x14ac:dyDescent="0.2">
      <c r="B34" s="4">
        <v>550</v>
      </c>
      <c r="C34" s="5">
        <v>0.28999999999999998</v>
      </c>
      <c r="D34" s="5">
        <v>0.31</v>
      </c>
      <c r="E34" s="5">
        <v>0.27</v>
      </c>
      <c r="F34" s="5">
        <v>0.23</v>
      </c>
      <c r="G34" s="5">
        <v>0.3</v>
      </c>
      <c r="H34" s="5">
        <v>0.21</v>
      </c>
      <c r="I34" s="5">
        <v>0.25</v>
      </c>
      <c r="J34" s="5">
        <v>0.24</v>
      </c>
      <c r="K34" s="5">
        <v>0.35</v>
      </c>
      <c r="L34" s="5">
        <v>0.33</v>
      </c>
      <c r="O34" s="4" t="s">
        <v>126</v>
      </c>
      <c r="P34" s="6">
        <f>_xlfn.NORM.DIST(215,P37,P38,TRUE)-_xlfn.NORM.DIST(208,P37,P38,TRUE)</f>
        <v>2.5841212073122177E-3</v>
      </c>
      <c r="Q34" s="6">
        <f t="shared" ref="Q34:V34" si="3">_xlfn.NORM.DIST(215,Q37,Q38,TRUE)-_xlfn.NORM.DIST(208,Q37,Q38,TRUE)</f>
        <v>3.501823260838155E-2</v>
      </c>
      <c r="R34" s="6">
        <f t="shared" si="3"/>
        <v>2.5613485760045407E-4</v>
      </c>
      <c r="S34" s="6">
        <f t="shared" si="3"/>
        <v>8.7654934775338589E-4</v>
      </c>
      <c r="T34" s="6">
        <f t="shared" si="3"/>
        <v>6.9736549116905522E-4</v>
      </c>
      <c r="U34" s="6">
        <f t="shared" si="3"/>
        <v>9.1347982180319809E-3</v>
      </c>
      <c r="V34" s="6">
        <f t="shared" si="3"/>
        <v>1.4481263681585865E-2</v>
      </c>
    </row>
    <row r="35" spans="1:22" x14ac:dyDescent="0.2">
      <c r="B35" s="4">
        <v>450</v>
      </c>
      <c r="C35" s="5">
        <v>0.27</v>
      </c>
      <c r="D35" s="5">
        <v>0.28000000000000003</v>
      </c>
      <c r="E35" s="5">
        <v>0.26</v>
      </c>
      <c r="F35" s="5">
        <v>0.34</v>
      </c>
      <c r="G35" s="5">
        <v>0.16</v>
      </c>
      <c r="H35" s="5">
        <v>0.34</v>
      </c>
      <c r="I35" s="5">
        <v>0.33</v>
      </c>
      <c r="J35" s="5">
        <v>0.33</v>
      </c>
      <c r="K35" s="5">
        <v>0.24</v>
      </c>
      <c r="L35" s="5">
        <v>0.23</v>
      </c>
      <c r="O35" s="4" t="s">
        <v>125</v>
      </c>
      <c r="P35" s="6">
        <f>_xlfn.NORM.DIST(208,P37,P38,TRUE)-_xlfn.NORM.DIST(200,P37,P38,TRUE)</f>
        <v>5.9856341943202995E-3</v>
      </c>
      <c r="Q35" s="6">
        <f t="shared" ref="Q35:V35" si="4">_xlfn.NORM.DIST(208,Q37,Q38,TRUE)-_xlfn.NORM.DIST(200,Q37,Q38,TRUE)</f>
        <v>6.1665854745342585E-2</v>
      </c>
      <c r="R35" s="6">
        <f t="shared" si="4"/>
        <v>9.0443941041917775E-4</v>
      </c>
      <c r="S35" s="6">
        <f t="shared" si="4"/>
        <v>2.6437840835754622E-3</v>
      </c>
      <c r="T35" s="6">
        <f t="shared" si="4"/>
        <v>2.16997543015085E-3</v>
      </c>
      <c r="U35" s="6">
        <f t="shared" si="4"/>
        <v>2.058670271360985E-2</v>
      </c>
      <c r="V35" s="6">
        <f t="shared" si="4"/>
        <v>2.9291329850713144E-2</v>
      </c>
    </row>
    <row r="36" spans="1:22" x14ac:dyDescent="0.2">
      <c r="B36" s="4">
        <v>350</v>
      </c>
      <c r="C36" s="5">
        <v>0.19</v>
      </c>
      <c r="D36" s="5">
        <v>0.17</v>
      </c>
      <c r="E36" s="5">
        <v>0.22</v>
      </c>
      <c r="F36" s="5">
        <v>0.32</v>
      </c>
      <c r="G36" s="5">
        <v>7.0000000000000007E-2</v>
      </c>
      <c r="H36" s="5">
        <v>0.33</v>
      </c>
      <c r="I36" s="5">
        <v>0.28000000000000003</v>
      </c>
      <c r="J36" s="5">
        <v>0.3</v>
      </c>
      <c r="K36" s="5">
        <v>0.1</v>
      </c>
      <c r="L36" s="5">
        <v>0.11</v>
      </c>
      <c r="O36" s="4" t="s">
        <v>52</v>
      </c>
      <c r="P36" s="6">
        <f>_xlfn.NORM.DIST(200,P37,P38,TRUE)</f>
        <v>0.98920960631625288</v>
      </c>
      <c r="Q36" s="6">
        <f t="shared" ref="Q36:V36" si="5">_xlfn.NORM.DIST(200,Q37,Q38,TRUE)</f>
        <v>0.85842208079987026</v>
      </c>
      <c r="R36" s="6">
        <f t="shared" si="5"/>
        <v>0.99872599767658099</v>
      </c>
      <c r="S36" s="6">
        <f t="shared" si="5"/>
        <v>0.99599823480190242</v>
      </c>
      <c r="T36" s="6">
        <f t="shared" si="5"/>
        <v>0.99676616145375774</v>
      </c>
      <c r="U36" s="6">
        <f t="shared" si="5"/>
        <v>0.96264924583054934</v>
      </c>
      <c r="V36" s="6">
        <f t="shared" si="5"/>
        <v>0.941440672384525</v>
      </c>
    </row>
    <row r="37" spans="1:22" x14ac:dyDescent="0.2">
      <c r="A37" s="5"/>
      <c r="B37" s="4">
        <v>230</v>
      </c>
      <c r="C37" s="5">
        <v>0.02</v>
      </c>
      <c r="D37" s="5">
        <v>0.02</v>
      </c>
      <c r="E37" s="5">
        <v>0.02</v>
      </c>
      <c r="F37" s="5">
        <v>0.03</v>
      </c>
      <c r="G37" s="5">
        <v>0</v>
      </c>
      <c r="H37" s="5">
        <v>0.04</v>
      </c>
      <c r="I37" s="5">
        <v>0.03</v>
      </c>
      <c r="J37" s="5">
        <v>0.03</v>
      </c>
      <c r="K37" s="5">
        <v>0.01</v>
      </c>
      <c r="L37" s="5">
        <v>0.01</v>
      </c>
      <c r="N37" s="4" t="s">
        <v>28</v>
      </c>
      <c r="P37" s="7">
        <f>(2*P19+P29)/10</f>
        <v>137.03</v>
      </c>
      <c r="Q37" s="23">
        <f>(2*Q19+Q29)/10</f>
        <v>174.17000000000002</v>
      </c>
      <c r="R37" s="7">
        <f t="shared" ref="R37:V37" si="6">(2*R19+R29)/10</f>
        <v>132.39000000000001</v>
      </c>
      <c r="S37" s="23">
        <f t="shared" si="6"/>
        <v>138.72999999999999</v>
      </c>
      <c r="T37" s="7">
        <f t="shared" si="6"/>
        <v>137.53</v>
      </c>
      <c r="U37" s="23">
        <f t="shared" si="6"/>
        <v>158.47999999999999</v>
      </c>
      <c r="V37" s="7">
        <f t="shared" si="6"/>
        <v>161.38999999999999</v>
      </c>
    </row>
    <row r="38" spans="1:22" x14ac:dyDescent="0.2">
      <c r="A38" s="15" t="s">
        <v>28</v>
      </c>
      <c r="C38" s="7">
        <f>SUMPRODUCT(C32:C37,B32:B37)</f>
        <v>504.8</v>
      </c>
      <c r="D38" s="4">
        <f>SUMPRODUCT(D32:D37,B32:B37)</f>
        <v>513.29999999999995</v>
      </c>
      <c r="E38" s="4">
        <f>SUMPRODUCT(E32:E37,B32:B37)</f>
        <v>493.3</v>
      </c>
      <c r="F38" s="4">
        <f>SUMPRODUCT(F32:F37,B32:B37)</f>
        <v>457.7</v>
      </c>
      <c r="G38" s="7">
        <f>SUMPRODUCT(G32:G37,B32:B37)</f>
        <v>578.20000000000005</v>
      </c>
      <c r="H38" s="4">
        <f>SUMPRODUCT(H32:H37,B32:B37)</f>
        <v>446</v>
      </c>
      <c r="I38" s="4">
        <f>SUMPRODUCT(I32:I37,B32:B37)</f>
        <v>463.2</v>
      </c>
      <c r="J38" s="4">
        <f>SUMPRODUCT(J32:J37,B32:B37)</f>
        <v>458.2</v>
      </c>
      <c r="K38" s="7">
        <f>SUMPRODUCT(K32:K37,B32:B37)</f>
        <v>536.79999999999995</v>
      </c>
      <c r="L38" s="4">
        <f>SUMPRODUCT(L32:L37,B32:B37)</f>
        <v>545.9</v>
      </c>
      <c r="N38" s="4" t="s">
        <v>29</v>
      </c>
      <c r="P38" s="7">
        <f t="shared" ref="P38:V38" si="7">SQRT(4*P20^2+P30^2+4*P87*P20*P30)/10</f>
        <v>27.406068153953278</v>
      </c>
      <c r="Q38" s="7">
        <f t="shared" si="7"/>
        <v>24.066929779263496</v>
      </c>
      <c r="R38" s="7">
        <f t="shared" si="7"/>
        <v>22.405359604344675</v>
      </c>
      <c r="S38" s="7">
        <f t="shared" si="7"/>
        <v>23.104007899063745</v>
      </c>
      <c r="T38" s="7">
        <f t="shared" si="7"/>
        <v>22.940950743157963</v>
      </c>
      <c r="U38" s="7">
        <f t="shared" si="7"/>
        <v>23.295836537888054</v>
      </c>
      <c r="V38" s="7">
        <f t="shared" si="7"/>
        <v>24.639705050994422</v>
      </c>
    </row>
    <row r="39" spans="1:22" x14ac:dyDescent="0.2">
      <c r="A39" s="14" t="s">
        <v>29</v>
      </c>
      <c r="C39" s="7" cm="1">
        <f t="array" ref="C39">SQRT(SUMPRODUCT(C32:C37,(B32:B37-C38)^2))</f>
        <v>116.19363149501784</v>
      </c>
      <c r="D39" s="7" cm="1">
        <f t="array" ref="D39">SQRT(SUMPRODUCT(D32:D37,(B32:B37-D38)^2))</f>
        <v>114.48527809286223</v>
      </c>
      <c r="E39" s="7" cm="1">
        <f t="array" ref="E39">SQRT(SUMPRODUCT(E32:E37,(B32:B37-E38)^2))</f>
        <v>117.98585127039597</v>
      </c>
      <c r="F39" s="7" cm="1">
        <f t="array" ref="F39">SQRT(SUMPRODUCT(F32:F37,(B32:B37-F38)^2))</f>
        <v>104.62601445147378</v>
      </c>
      <c r="G39" s="7" cm="1">
        <f t="array" ref="G39">SQRT(SUMPRODUCT(G32:G37,(B32:B37-G38)^2))</f>
        <v>106.96148839652523</v>
      </c>
      <c r="H39" s="7" cm="1">
        <f t="array" ref="H39">SQRT(SUMPRODUCT(H32:H37,(B32:B37-H38)^2))</f>
        <v>104.42221985765291</v>
      </c>
      <c r="I39" s="7" cm="1">
        <f t="array" ref="I39">SQRT(SUMPRODUCT(I32:I37,(B32:B37-I38)^2))</f>
        <v>106.59155688890185</v>
      </c>
      <c r="J39" s="7" cm="1">
        <f t="array" ref="J39">SQRT(SUMPRODUCT(J32:J37,(B32:B37-J38)^2))</f>
        <v>105.68235425083981</v>
      </c>
      <c r="K39" s="7" cm="1">
        <f t="array" ref="K39">SQRT(SUMPRODUCT(K32:K37,(B32:B37-K38)^2))</f>
        <v>106.62907670987309</v>
      </c>
      <c r="L39" s="7" cm="1">
        <f t="array" ref="L39">SQRT(SUMPRODUCT(L32:L37,(B32:B37-L38)^2))</f>
        <v>111.9386354213772</v>
      </c>
    </row>
    <row r="40" spans="1:22" x14ac:dyDescent="0.2">
      <c r="A40" s="14" t="s">
        <v>27</v>
      </c>
      <c r="B40" s="13"/>
      <c r="C40" s="5"/>
      <c r="N40" s="4" t="s">
        <v>33</v>
      </c>
    </row>
    <row r="41" spans="1:22" x14ac:dyDescent="0.2">
      <c r="A41" s="5"/>
      <c r="B41" s="4">
        <v>730</v>
      </c>
      <c r="C41" s="5">
        <v>0.04</v>
      </c>
      <c r="D41" s="5">
        <v>0.03</v>
      </c>
      <c r="E41" s="5">
        <v>0.05</v>
      </c>
      <c r="F41" s="5">
        <v>0.01</v>
      </c>
      <c r="G41" s="5">
        <v>0.21</v>
      </c>
      <c r="H41" s="5">
        <v>0</v>
      </c>
      <c r="I41" s="5">
        <v>0.01</v>
      </c>
      <c r="J41" s="5">
        <v>0.01</v>
      </c>
      <c r="K41" s="5">
        <v>0.03</v>
      </c>
      <c r="L41" s="5">
        <v>0.06</v>
      </c>
    </row>
    <row r="42" spans="1:22" x14ac:dyDescent="0.2">
      <c r="A42" s="5"/>
      <c r="B42" s="4">
        <v>650</v>
      </c>
      <c r="C42" s="5">
        <v>0.09</v>
      </c>
      <c r="D42" s="5">
        <v>7.0000000000000007E-2</v>
      </c>
      <c r="E42" s="5">
        <v>0.11</v>
      </c>
      <c r="F42" s="5">
        <v>0.03</v>
      </c>
      <c r="G42" s="5">
        <v>0.22</v>
      </c>
      <c r="H42" s="5">
        <v>0.02</v>
      </c>
      <c r="I42" s="5">
        <v>0.04</v>
      </c>
      <c r="J42" s="5">
        <v>0.04</v>
      </c>
      <c r="K42" s="5">
        <v>0.12</v>
      </c>
      <c r="L42" s="5">
        <v>0.13</v>
      </c>
      <c r="N42" s="4" t="s">
        <v>40</v>
      </c>
      <c r="P42" s="4" t="s">
        <v>0</v>
      </c>
      <c r="Q42" s="17" t="s">
        <v>34</v>
      </c>
      <c r="R42" s="4" t="s">
        <v>1</v>
      </c>
      <c r="S42" s="4" t="s">
        <v>35</v>
      </c>
      <c r="U42" s="10" t="s">
        <v>11</v>
      </c>
    </row>
    <row r="43" spans="1:22" x14ac:dyDescent="0.2">
      <c r="B43" s="4">
        <v>550</v>
      </c>
      <c r="C43" s="5">
        <v>0.31</v>
      </c>
      <c r="D43" s="5">
        <v>0.31</v>
      </c>
      <c r="E43" s="5">
        <v>0.3</v>
      </c>
      <c r="F43" s="5">
        <v>0.21</v>
      </c>
      <c r="G43" s="5">
        <v>0.33</v>
      </c>
      <c r="H43" s="5">
        <v>0.17</v>
      </c>
      <c r="I43" s="5">
        <v>0.23</v>
      </c>
      <c r="J43" s="5">
        <v>0.22</v>
      </c>
      <c r="K43" s="5">
        <v>0.4</v>
      </c>
      <c r="L43" s="5">
        <v>0.37</v>
      </c>
      <c r="O43" s="4" t="s">
        <v>36</v>
      </c>
      <c r="P43" s="6">
        <v>0.02</v>
      </c>
      <c r="Q43" s="18">
        <f>_xlfn.NORM.DIST(1520,P49,P50,TRUE)-_xlfn.NORM.DIST(1400,P49,P50,TRUE)</f>
        <v>1.5463969861589488E-2</v>
      </c>
      <c r="R43" s="6">
        <v>0.04</v>
      </c>
      <c r="S43" s="18">
        <f>_xlfn.NORM.DIST(1520,R49,R50,TRUE)-_xlfn.NORM.DIST(1400,R49,R50,TRUE)</f>
        <v>2.0152616274583868E-2</v>
      </c>
      <c r="T43" s="4" t="s">
        <v>37</v>
      </c>
      <c r="U43" s="19">
        <v>0.21</v>
      </c>
    </row>
    <row r="44" spans="1:22" x14ac:dyDescent="0.2">
      <c r="B44" s="4">
        <v>450</v>
      </c>
      <c r="C44" s="5">
        <v>0.39</v>
      </c>
      <c r="D44" s="5">
        <v>0.42</v>
      </c>
      <c r="E44" s="5">
        <v>0.36</v>
      </c>
      <c r="F44" s="5">
        <v>0.49</v>
      </c>
      <c r="G44" s="5">
        <v>0.2</v>
      </c>
      <c r="H44" s="5">
        <v>0.49</v>
      </c>
      <c r="I44" s="5">
        <v>0.48</v>
      </c>
      <c r="J44" s="5">
        <v>0.48</v>
      </c>
      <c r="K44" s="5">
        <v>0.35</v>
      </c>
      <c r="L44" s="5">
        <v>0.34</v>
      </c>
      <c r="O44" s="4" t="s">
        <v>47</v>
      </c>
      <c r="P44" s="6">
        <v>0.13</v>
      </c>
      <c r="Q44" s="18">
        <f>_xlfn.NORM.DIST(1400,P49,P50,TRUE)-_xlfn.NORM.DIST(1200,P49,P50,TRUE)</f>
        <v>0.12309804035346872</v>
      </c>
      <c r="R44" s="6">
        <v>0.14000000000000001</v>
      </c>
      <c r="S44" s="18">
        <f>_xlfn.NORM.DIST(1400,R49,R50,TRUE)-_xlfn.NORM.DIST(1200,R49,R50,TRUE)</f>
        <v>0.1272481006331897</v>
      </c>
      <c r="T44" s="4" t="s">
        <v>42</v>
      </c>
      <c r="U44" s="19">
        <v>0.22</v>
      </c>
    </row>
    <row r="45" spans="1:22" x14ac:dyDescent="0.2">
      <c r="B45" s="4">
        <v>350</v>
      </c>
      <c r="C45" s="5">
        <v>0.16</v>
      </c>
      <c r="D45" s="5">
        <v>0.16</v>
      </c>
      <c r="E45" s="5">
        <v>0.16</v>
      </c>
      <c r="F45" s="5">
        <v>0.25</v>
      </c>
      <c r="G45" s="5">
        <v>0.05</v>
      </c>
      <c r="H45" s="5">
        <v>0.28000000000000003</v>
      </c>
      <c r="I45" s="5">
        <v>0.23</v>
      </c>
      <c r="J45" s="5">
        <v>0.24</v>
      </c>
      <c r="K45" s="5">
        <v>0.09</v>
      </c>
      <c r="L45" s="5">
        <v>0.1</v>
      </c>
      <c r="O45" s="4" t="s">
        <v>48</v>
      </c>
      <c r="P45" s="6">
        <v>0.32</v>
      </c>
      <c r="Q45" s="18">
        <f>_xlfn.NORM.DIST(1200,P49,P50,TRUE)-_xlfn.NORM.DIST(1000,P49,P50,TRUE)</f>
        <v>0.32954737629162256</v>
      </c>
      <c r="R45" s="6">
        <v>0.28000000000000003</v>
      </c>
      <c r="S45" s="18">
        <f>_xlfn.NORM.DIST(1200,R49,R50,TRUE)-_xlfn.NORM.DIST(1000,R49,R50,TRUE)</f>
        <v>0.30289704143613783</v>
      </c>
      <c r="T45" s="4" t="s">
        <v>43</v>
      </c>
      <c r="U45" s="19">
        <v>0.33</v>
      </c>
    </row>
    <row r="46" spans="1:22" x14ac:dyDescent="0.2">
      <c r="B46" s="4">
        <v>230</v>
      </c>
      <c r="C46" s="5">
        <v>0.01</v>
      </c>
      <c r="D46" s="5">
        <v>0.01</v>
      </c>
      <c r="E46" s="5">
        <v>0.02</v>
      </c>
      <c r="F46" s="5">
        <v>0.02</v>
      </c>
      <c r="G46" s="5">
        <v>0</v>
      </c>
      <c r="H46" s="5">
        <v>0.03</v>
      </c>
      <c r="I46" s="5">
        <v>0.02</v>
      </c>
      <c r="J46" s="5">
        <v>0.02</v>
      </c>
      <c r="K46" s="5">
        <v>0.01</v>
      </c>
      <c r="L46" s="5">
        <v>0.01</v>
      </c>
      <c r="O46" s="4" t="s">
        <v>49</v>
      </c>
      <c r="P46" s="6">
        <v>0.36</v>
      </c>
      <c r="Q46" s="18">
        <f>_xlfn.NORM.DIST(1000,P49,P50,TRUE)-_xlfn.NORM.DIST(800,P49,P50,TRUE)</f>
        <v>0.35159345631024286</v>
      </c>
      <c r="R46" s="6">
        <v>0.32</v>
      </c>
      <c r="S46" s="18">
        <f>_xlfn.NORM.DIST(1000,R49,R50,TRUE)-_xlfn.NORM.DIST(800,R49,R50,TRUE)</f>
        <v>0.33207511871923157</v>
      </c>
      <c r="T46" s="4" t="s">
        <v>44</v>
      </c>
      <c r="U46" s="19">
        <v>0.2</v>
      </c>
    </row>
    <row r="47" spans="1:22" x14ac:dyDescent="0.2">
      <c r="A47" s="14" t="s">
        <v>28</v>
      </c>
      <c r="C47" s="7">
        <f>SUMPRODUCT(C41:C46,B41:B46)</f>
        <v>492</v>
      </c>
      <c r="D47" s="4">
        <f>SUMPRODUCT(D41:D46,B41:B46)</f>
        <v>485.2</v>
      </c>
      <c r="E47" s="4">
        <f>SUMPRODUCT(E41:E46,B41:B46)</f>
        <v>495.6</v>
      </c>
      <c r="F47" s="4">
        <f>SUMPRODUCT(F41:F46,B41:B46)</f>
        <v>454.90000000000003</v>
      </c>
      <c r="G47" s="7">
        <f>SUMPRODUCT(G41:G46,B41:B46)</f>
        <v>585.29999999999995</v>
      </c>
      <c r="H47" s="4">
        <f>SUMPRODUCT(H41:H46,B41:B46)</f>
        <v>431.9</v>
      </c>
      <c r="I47" s="4">
        <f>SUMPRODUCT(I41:I46,B41:B46)</f>
        <v>460.90000000000003</v>
      </c>
      <c r="J47" s="4">
        <f>SUMPRODUCT(J41:J46,B41:B46)</f>
        <v>458.90000000000003</v>
      </c>
      <c r="K47" s="7">
        <f>SUMPRODUCT(K41:K46,B41:B46)</f>
        <v>511.2</v>
      </c>
      <c r="L47" s="4">
        <f>SUMPRODUCT(L41:L46,B41:B46)</f>
        <v>522.09999999999991</v>
      </c>
      <c r="O47" s="4" t="s">
        <v>50</v>
      </c>
      <c r="P47" s="6">
        <v>0.16</v>
      </c>
      <c r="Q47" s="18">
        <f>_xlfn.NORM.DIST(800,P49,P50,TRUE)-_xlfn.NORM.DIST(600,P49,P50,TRUE)</f>
        <v>0.14956776667708935</v>
      </c>
      <c r="R47" s="6">
        <v>0.2</v>
      </c>
      <c r="S47" s="18">
        <f>_xlfn.NORM.DIST(800,R49,R50,TRUE)-_xlfn.NORM.DIST(600,R49,R50,TRUE)</f>
        <v>0.16774765760836566</v>
      </c>
      <c r="T47" s="4" t="s">
        <v>45</v>
      </c>
      <c r="U47" s="19">
        <v>0.05</v>
      </c>
    </row>
    <row r="48" spans="1:22" x14ac:dyDescent="0.2">
      <c r="A48" s="14" t="s">
        <v>29</v>
      </c>
      <c r="C48" s="7" cm="1">
        <f t="array" ref="C48">SQRT(SUMPRODUCT(C41:C46,(B41:B46-C47)^2))</f>
        <v>100.77698149875299</v>
      </c>
      <c r="D48" s="7" cm="1">
        <f t="array" ref="D48">SQRT(SUMPRODUCT(D41:D46,(B41:B46-D47)^2))</f>
        <v>95.377984881208306</v>
      </c>
      <c r="E48" s="7" cm="1">
        <f t="array" ref="E48">SQRT(SUMPRODUCT(E41:E46,(B41:B46-E47)^2))</f>
        <v>108.66756645844242</v>
      </c>
      <c r="F48" s="7" cm="1">
        <f t="array" ref="F48">SQRT(SUMPRODUCT(F41:F46,(B41:B46-F47)^2))</f>
        <v>87.019136401138809</v>
      </c>
      <c r="G48" s="7" cm="1">
        <f t="array" ref="G48">SQRT(SUMPRODUCT(G41:G46,(B41:B46-G47)^2))</f>
        <v>110.26636341151367</v>
      </c>
      <c r="H48" s="7" cm="1">
        <f t="array" ref="H48">SQRT(SUMPRODUCT(H41:H46,(B41:B46-H47)^2))</f>
        <v>81.141936752828386</v>
      </c>
      <c r="I48" s="7" cm="1">
        <f t="array" ref="I48">SQRT(SUMPRODUCT(I41:I46,(B41:B46-I47)^2))</f>
        <v>89.064460364390015</v>
      </c>
      <c r="J48" s="7" cm="1">
        <f t="array" ref="J48">SQRT(SUMPRODUCT(J41:J46,(B41:B46-J47)^2))</f>
        <v>89.183418301834564</v>
      </c>
      <c r="K48" s="7" cm="1">
        <f t="array" ref="K48">SQRT(SUMPRODUCT(K41:K46,(B41:B46-K47)^2))</f>
        <v>93.757986326499136</v>
      </c>
      <c r="L48" s="7" cm="1">
        <f t="array" ref="L48">SQRT(SUMPRODUCT(L41:L46,(B41:B46-L47)^2))</f>
        <v>102.91002915168181</v>
      </c>
      <c r="O48" s="4" t="s">
        <v>51</v>
      </c>
      <c r="P48" s="6">
        <v>0.01</v>
      </c>
      <c r="Q48" s="18">
        <f>_xlfn.NORM.DIST(600,P49,P50,TRUE)-_xlfn.NORM.DIST(320,P49,P50,TRUE)</f>
        <v>2.6481945102130807E-2</v>
      </c>
      <c r="R48" s="6">
        <v>0.01</v>
      </c>
      <c r="S48" s="18">
        <f>_xlfn.NORM.DIST(600,R49,R50,TRUE)-_xlfn.NORM.DIST(320,R49,R50,TRUE)</f>
        <v>4.1861207837349569E-2</v>
      </c>
      <c r="T48" s="4" t="s">
        <v>46</v>
      </c>
      <c r="U48" s="19">
        <v>0</v>
      </c>
    </row>
    <row r="49" spans="2:27" x14ac:dyDescent="0.2">
      <c r="C49" s="2"/>
      <c r="N49" s="4" t="s">
        <v>28</v>
      </c>
      <c r="P49" s="4">
        <v>985.9</v>
      </c>
      <c r="R49" s="4">
        <v>976.25</v>
      </c>
      <c r="U49" s="7">
        <v>585.29999999999995</v>
      </c>
    </row>
    <row r="50" spans="2:27" x14ac:dyDescent="0.2">
      <c r="C50" s="2"/>
      <c r="N50" s="4" t="s">
        <v>29</v>
      </c>
      <c r="P50" s="4">
        <v>200.14417303533972</v>
      </c>
      <c r="R50" s="4">
        <v>219.50637092121039</v>
      </c>
      <c r="U50" s="7">
        <v>110.26636341151367</v>
      </c>
    </row>
    <row r="51" spans="2:27" x14ac:dyDescent="0.2">
      <c r="C51" s="2"/>
    </row>
    <row r="52" spans="2:27" x14ac:dyDescent="0.2">
      <c r="C52" s="16"/>
      <c r="N52" s="4" t="s">
        <v>39</v>
      </c>
      <c r="P52" s="4" t="s">
        <v>0</v>
      </c>
      <c r="Q52" s="17" t="s">
        <v>34</v>
      </c>
      <c r="R52" s="4" t="s">
        <v>1</v>
      </c>
      <c r="S52" s="4" t="s">
        <v>35</v>
      </c>
    </row>
    <row r="53" spans="2:27" x14ac:dyDescent="0.2">
      <c r="C53" s="16"/>
      <c r="O53" s="4" t="s">
        <v>37</v>
      </c>
      <c r="P53" s="20">
        <v>0.04</v>
      </c>
      <c r="Q53" s="21">
        <f>_xlfn.NORM.DIST(760,P59,P60,TRUE)-_xlfn.NORM.DIST(700,P59,P60,TRUE)</f>
        <v>3.3439952050672406E-2</v>
      </c>
      <c r="R53" s="20">
        <v>0.04</v>
      </c>
      <c r="S53" s="21">
        <f>_xlfn.NORM.DIST(760,R59,R60,TRUE)-_xlfn.NORM.DIST(700,R59,R60,TRUE)</f>
        <v>2.611084839531963E-2</v>
      </c>
    </row>
    <row r="54" spans="2:27" x14ac:dyDescent="0.2">
      <c r="C54" s="16"/>
      <c r="O54" s="4" t="s">
        <v>42</v>
      </c>
      <c r="P54" s="20">
        <v>0.19</v>
      </c>
      <c r="Q54" s="21">
        <f>_xlfn.NORM.DIST(700,P59,P60,TRUE)-_xlfn.NORM.DIST(600,P59,P60,TRUE)</f>
        <v>0.16502756899816673</v>
      </c>
      <c r="R54" s="20">
        <v>0.18</v>
      </c>
      <c r="S54" s="21">
        <f>_xlfn.NORM.DIST(700,R59,R60,TRUE)-_xlfn.NORM.DIST(600,R59,R60,TRUE)</f>
        <v>0.13620102218380392</v>
      </c>
    </row>
    <row r="55" spans="2:27" x14ac:dyDescent="0.2">
      <c r="B55" s="13"/>
      <c r="C55" s="16"/>
      <c r="E55" s="1"/>
      <c r="O55" s="4" t="s">
        <v>43</v>
      </c>
      <c r="P55" s="20">
        <v>0.31</v>
      </c>
      <c r="Q55" s="21">
        <f>_xlfn.NORM.DIST(600,P59,P60,TRUE)-_xlfn.NORM.DIST(500,P59,P60,TRUE)</f>
        <v>0.31658195285244517</v>
      </c>
      <c r="R55" s="20">
        <v>0.27</v>
      </c>
      <c r="S55" s="21">
        <f>_xlfn.NORM.DIST(600,R59,R60,TRUE)-_xlfn.NORM.DIST(500,R59,R60,TRUE)</f>
        <v>0.28823866578963697</v>
      </c>
    </row>
    <row r="56" spans="2:27" x14ac:dyDescent="0.2">
      <c r="B56" s="13"/>
      <c r="C56" s="7"/>
      <c r="O56" s="4" t="s">
        <v>44</v>
      </c>
      <c r="P56" s="20">
        <v>0.28000000000000003</v>
      </c>
      <c r="Q56" s="21">
        <f>_xlfn.NORM.DIST(500,P59,P60,TRUE)-_xlfn.NORM.DIST(400,P59,P60,TRUE)</f>
        <v>0.29811556808142647</v>
      </c>
      <c r="R56" s="20">
        <v>0.26</v>
      </c>
      <c r="S56" s="21">
        <f>_xlfn.NORM.DIST(500,R59,R60,TRUE)-_xlfn.NORM.DIST(400,R59,R60,TRUE)</f>
        <v>0.31130087367509396</v>
      </c>
    </row>
    <row r="57" spans="2:27" x14ac:dyDescent="0.2">
      <c r="B57" s="13"/>
      <c r="C57" s="7"/>
      <c r="O57" s="4" t="s">
        <v>45</v>
      </c>
      <c r="P57" s="20">
        <v>0.17</v>
      </c>
      <c r="Q57" s="21">
        <f>_xlfn.NORM.DIST(400,P59,P60,TRUE)-_xlfn.NORM.DIST(300,P59,P60,TRUE)</f>
        <v>0.13777208762128429</v>
      </c>
      <c r="R57" s="20">
        <v>0.22</v>
      </c>
      <c r="S57" s="21">
        <f>_xlfn.NORM.DIST(400,R59,R60,TRUE)-_xlfn.NORM.DIST(300,R59,R60,TRUE)</f>
        <v>0.17161771391183472</v>
      </c>
    </row>
    <row r="58" spans="2:27" x14ac:dyDescent="0.2">
      <c r="B58" s="13"/>
      <c r="O58" s="4" t="s">
        <v>46</v>
      </c>
      <c r="P58" s="20">
        <v>0.02</v>
      </c>
      <c r="Q58" s="21">
        <f>_xlfn.NORM.DIST(300,P59,P60,TRUE)-_xlfn.NORM.DIST(160,P59,P60,TRUE)</f>
        <v>3.3583685378797586E-2</v>
      </c>
      <c r="R58" s="20">
        <v>0.02</v>
      </c>
      <c r="S58" s="21">
        <f>_xlfn.NORM.DIST(300,R59,R60,TRUE)-_xlfn.NORM.DIST(160,R59,R60,TRUE)</f>
        <v>5.2851142894514216E-2</v>
      </c>
    </row>
    <row r="59" spans="2:27" x14ac:dyDescent="0.2">
      <c r="N59" s="4" t="s">
        <v>28</v>
      </c>
      <c r="P59" s="4">
        <v>508.45000000000005</v>
      </c>
      <c r="R59" s="4">
        <v>488.54999999999995</v>
      </c>
      <c r="X59" s="18"/>
    </row>
    <row r="60" spans="2:27" x14ac:dyDescent="0.2">
      <c r="B60" s="13"/>
      <c r="N60" s="4" t="s">
        <v>29</v>
      </c>
      <c r="P60" s="4">
        <v>114.87411163965535</v>
      </c>
      <c r="R60" s="4">
        <v>118.38005100100271</v>
      </c>
      <c r="X60" s="18"/>
    </row>
    <row r="61" spans="2:27" x14ac:dyDescent="0.2">
      <c r="B61" s="13"/>
      <c r="W61" s="9"/>
    </row>
    <row r="62" spans="2:27" x14ac:dyDescent="0.2">
      <c r="B62" s="13" t="s">
        <v>68</v>
      </c>
      <c r="C62" s="4" t="s">
        <v>69</v>
      </c>
      <c r="N62" s="4" t="s">
        <v>38</v>
      </c>
      <c r="P62" s="4" t="s">
        <v>0</v>
      </c>
      <c r="Q62" s="17" t="s">
        <v>34</v>
      </c>
      <c r="R62" s="4" t="s">
        <v>1</v>
      </c>
      <c r="S62" s="4" t="s">
        <v>35</v>
      </c>
      <c r="V62" s="4" t="s">
        <v>127</v>
      </c>
      <c r="W62" s="4" t="s">
        <v>0</v>
      </c>
      <c r="X62" s="4" t="s">
        <v>1</v>
      </c>
    </row>
    <row r="63" spans="2:27" x14ac:dyDescent="0.2">
      <c r="B63" s="13" t="s">
        <v>70</v>
      </c>
      <c r="C63" s="4">
        <v>212</v>
      </c>
      <c r="O63" s="4" t="s">
        <v>37</v>
      </c>
      <c r="P63" s="20">
        <v>0.03</v>
      </c>
      <c r="Q63" s="21">
        <f>_xlfn.NORM.DIST(760,P69,P70,TRUE)-_xlfn.NORM.DIST(700,P69,P70,TRUE)</f>
        <v>9.15703549096758E-3</v>
      </c>
      <c r="R63" s="20">
        <v>0.05</v>
      </c>
      <c r="S63" s="21">
        <f>_xlfn.NORM.DIST(760,R69,R70,TRUE)-_xlfn.NORM.DIST(700,R69,R70,TRUE)</f>
        <v>2.0879503143743539E-2</v>
      </c>
      <c r="V63" s="4" t="s">
        <v>37</v>
      </c>
      <c r="W63" s="7">
        <v>0.02</v>
      </c>
      <c r="X63" s="7">
        <v>0.04</v>
      </c>
      <c r="Z63" s="21" t="s">
        <v>129</v>
      </c>
      <c r="AA63" s="4">
        <f>X63/(X63+W63)</f>
        <v>0.66666666666666674</v>
      </c>
    </row>
    <row r="64" spans="2:27" x14ac:dyDescent="0.2">
      <c r="B64" s="13" t="s">
        <v>71</v>
      </c>
      <c r="C64" s="4">
        <v>214</v>
      </c>
      <c r="O64" s="4" t="s">
        <v>42</v>
      </c>
      <c r="P64" s="20">
        <v>7.0000000000000007E-2</v>
      </c>
      <c r="Q64" s="21">
        <f>_xlfn.NORM.DIST(700,P69,P70,TRUE)-_xlfn.NORM.DIST(600,P69,P70,TRUE)</f>
        <v>9.4853076125344771E-2</v>
      </c>
      <c r="R64" s="20">
        <v>0.11</v>
      </c>
      <c r="S64" s="21">
        <f>_xlfn.NORM.DIST(700,R69,R70,TRUE)-_xlfn.NORM.DIST(600,R69,R70,TRUE)</f>
        <v>0.13105050156837894</v>
      </c>
      <c r="V64" s="4" t="s">
        <v>42</v>
      </c>
      <c r="W64" s="7">
        <v>0.13</v>
      </c>
      <c r="X64" s="7">
        <v>0.14000000000000001</v>
      </c>
      <c r="Z64" s="21" t="s">
        <v>130</v>
      </c>
      <c r="AA64" s="7">
        <f>(W63+X63)*B18</f>
        <v>89219.94</v>
      </c>
    </row>
    <row r="65" spans="2:28" x14ac:dyDescent="0.2">
      <c r="B65" s="13" t="s">
        <v>72</v>
      </c>
      <c r="C65" s="4">
        <v>217</v>
      </c>
      <c r="O65" s="4" t="s">
        <v>43</v>
      </c>
      <c r="P65" s="20">
        <v>0.31</v>
      </c>
      <c r="Q65" s="21">
        <f>_xlfn.NORM.DIST(600,P69,P70,TRUE)-_xlfn.NORM.DIST(500,P69,P70,TRUE)</f>
        <v>0.31295327367810655</v>
      </c>
      <c r="R65" s="20">
        <v>0.3</v>
      </c>
      <c r="S65" s="21">
        <f>_xlfn.NORM.DIST(600,R69,R70,TRUE)-_xlfn.NORM.DIST(500,R69,R70,TRUE)</f>
        <v>0.30782426057917889</v>
      </c>
      <c r="Z65" s="4" t="s">
        <v>131</v>
      </c>
      <c r="AA65" s="4">
        <f>X67/(X67+W67)</f>
        <v>0.50878955782443769</v>
      </c>
    </row>
    <row r="66" spans="2:28" x14ac:dyDescent="0.2">
      <c r="B66" s="13" t="s">
        <v>73</v>
      </c>
      <c r="C66" s="4">
        <v>213</v>
      </c>
      <c r="O66" s="4" t="s">
        <v>44</v>
      </c>
      <c r="P66" s="20">
        <v>0.42</v>
      </c>
      <c r="Q66" s="21">
        <f>_xlfn.NORM.DIST(500,P69,P70,TRUE)-_xlfn.NORM.DIST(400,P69,P70,TRUE)</f>
        <v>0.38055938612305451</v>
      </c>
      <c r="R66" s="20">
        <v>0.36</v>
      </c>
      <c r="S66" s="21">
        <f>_xlfn.NORM.DIST(500,R69,R70,TRUE)-_xlfn.NORM.DIST(400,R69,R70,TRUE)</f>
        <v>0.33064609940250722</v>
      </c>
      <c r="V66" s="4" t="s">
        <v>128</v>
      </c>
      <c r="W66" s="4" t="s">
        <v>0</v>
      </c>
      <c r="X66" s="4" t="s">
        <v>1</v>
      </c>
      <c r="Z66" s="4" t="s">
        <v>132</v>
      </c>
      <c r="AA66" s="4">
        <f>(X67+W67)*B18</f>
        <v>31530.122658975768</v>
      </c>
    </row>
    <row r="67" spans="2:28" x14ac:dyDescent="0.2">
      <c r="B67" s="13" t="s">
        <v>74</v>
      </c>
      <c r="C67" s="4">
        <v>221</v>
      </c>
      <c r="O67" s="4" t="s">
        <v>45</v>
      </c>
      <c r="P67" s="20">
        <v>0.16</v>
      </c>
      <c r="Q67" s="21">
        <f>_xlfn.NORM.DIST(400,P69,P70,TRUE)-_xlfn.NORM.DIST(300,P69,P70,TRUE)</f>
        <v>0.17089366327384262</v>
      </c>
      <c r="R67" s="20">
        <v>0.16</v>
      </c>
      <c r="S67" s="21">
        <f>_xlfn.NORM.DIST(400,R69,R70,TRUE)-_xlfn.NORM.DIST(300,R69,R70,TRUE)</f>
        <v>0.16246711765969027</v>
      </c>
      <c r="V67" s="4" t="s">
        <v>64</v>
      </c>
      <c r="W67" s="4">
        <v>1.0415558781926015E-2</v>
      </c>
      <c r="X67" s="4">
        <v>1.0788303936862476E-2</v>
      </c>
    </row>
    <row r="68" spans="2:28" x14ac:dyDescent="0.2">
      <c r="B68" s="13" t="s">
        <v>75</v>
      </c>
      <c r="C68" s="4">
        <v>218</v>
      </c>
      <c r="O68" s="4" t="s">
        <v>46</v>
      </c>
      <c r="P68" s="20">
        <v>0.01</v>
      </c>
      <c r="Q68" s="21">
        <f>_xlfn.NORM.DIST(300,P69,P70,TRUE)-_xlfn.NORM.DIST(160,P69,P70,TRUE)</f>
        <v>2.9422970415713637E-2</v>
      </c>
      <c r="R68" s="20">
        <v>0.02</v>
      </c>
      <c r="S68" s="21">
        <f>_xlfn.NORM.DIST(300,R69,R70,TRUE)-_xlfn.NORM.DIST(160,R69,R70,TRUE)</f>
        <v>3.9047267667029963E-2</v>
      </c>
      <c r="V68" s="4" t="s">
        <v>126</v>
      </c>
      <c r="W68" s="4">
        <v>1.1385101621528393E-2</v>
      </c>
      <c r="X68" s="4">
        <v>1.1250376271177309E-2</v>
      </c>
      <c r="Z68" s="4" t="s">
        <v>133</v>
      </c>
      <c r="AA68" s="4">
        <f>(AA63*AA64+AA65*AA66)/(AA64+AA66)</f>
        <v>0.62544197081786557</v>
      </c>
    </row>
    <row r="69" spans="2:28" x14ac:dyDescent="0.2">
      <c r="B69" s="13" t="s">
        <v>76</v>
      </c>
      <c r="C69" s="4">
        <v>221</v>
      </c>
      <c r="N69" s="4" t="s">
        <v>28</v>
      </c>
      <c r="P69" s="4">
        <v>480.34999999999997</v>
      </c>
      <c r="R69" s="4">
        <v>490.84999999999997</v>
      </c>
      <c r="Z69" s="4" t="s">
        <v>134</v>
      </c>
      <c r="AA69" s="4">
        <f>(AA63-AA65)/SQRT(AA68*(1-AA68)*((1/AA64)+(1/AA66)))</f>
        <v>49.787028834177583</v>
      </c>
    </row>
    <row r="70" spans="2:28" x14ac:dyDescent="0.2">
      <c r="B70" s="13" t="s">
        <v>77</v>
      </c>
      <c r="C70" s="4">
        <v>219</v>
      </c>
      <c r="N70" s="4" t="s">
        <v>29</v>
      </c>
      <c r="P70" s="4">
        <v>95.766003884468319</v>
      </c>
      <c r="R70" s="4">
        <v>109.21093122943326</v>
      </c>
      <c r="V70" s="4" t="s">
        <v>136</v>
      </c>
      <c r="W70" s="4">
        <f>_xlfn.CHISQ.TEST(W63:X64, W67:X68)</f>
        <v>9.4434252991487028E-2</v>
      </c>
      <c r="Z70" s="4" t="s">
        <v>135</v>
      </c>
      <c r="AA70" s="25">
        <f>2*(1-_xlfn.NORM.S.DIST(AA69,TRUE))</f>
        <v>0</v>
      </c>
    </row>
    <row r="71" spans="2:28" x14ac:dyDescent="0.2">
      <c r="B71" s="12" t="s">
        <v>78</v>
      </c>
      <c r="C71" s="4">
        <v>223</v>
      </c>
    </row>
    <row r="72" spans="2:28" x14ac:dyDescent="0.2">
      <c r="B72" s="4" t="s">
        <v>79</v>
      </c>
      <c r="C72" s="4">
        <v>217</v>
      </c>
      <c r="N72" s="4" t="s">
        <v>41</v>
      </c>
      <c r="P72" s="4" t="s">
        <v>0</v>
      </c>
      <c r="Q72" s="17" t="s">
        <v>1</v>
      </c>
      <c r="R72" s="4" t="s">
        <v>63</v>
      </c>
      <c r="T72" s="4" t="s">
        <v>0</v>
      </c>
      <c r="U72" s="17" t="s">
        <v>1</v>
      </c>
    </row>
    <row r="73" spans="2:28" x14ac:dyDescent="0.2">
      <c r="B73" s="4" t="s">
        <v>80</v>
      </c>
      <c r="C73" s="4">
        <v>218</v>
      </c>
      <c r="O73" s="4" t="s">
        <v>64</v>
      </c>
      <c r="P73" s="6">
        <f>_xlfn.NORM.DIST(228,P77,P78,TRUE)-_xlfn.NORM.DIST(215,P77,P78,TRUE)</f>
        <v>1.0415558781926015E-2</v>
      </c>
      <c r="Q73" s="6">
        <f>_xlfn.NORM.DIST(228,Q77,Q78,TRUE)-_xlfn.NORM.DIST(215,Q77,Q78,TRUE)</f>
        <v>1.0788303936862476E-2</v>
      </c>
      <c r="S73" s="4" t="s">
        <v>65</v>
      </c>
      <c r="T73" s="6">
        <f>_xlfn.NORM.DIST(228,T77,T78,TRUE)-_xlfn.NORM.DIST(215,T77,T78,TRUE)</f>
        <v>1.0415558781926015E-2</v>
      </c>
      <c r="U73" s="6">
        <f>_xlfn.NORM.DIST(228,U77,U78,TRUE)-_xlfn.NORM.DIST(215,U77,U78,TRUE)</f>
        <v>1.0788303936862476E-2</v>
      </c>
    </row>
    <row r="74" spans="2:28" x14ac:dyDescent="0.2">
      <c r="B74" s="4" t="s">
        <v>81</v>
      </c>
      <c r="C74" s="4">
        <v>217</v>
      </c>
      <c r="O74" s="4" t="s">
        <v>126</v>
      </c>
      <c r="P74" s="6">
        <f>_xlfn.NORM.DIST(215,P77,P78,TRUE)-_xlfn.NORM.DIST(208,P77,P78,TRUE)</f>
        <v>1.1385101621528393E-2</v>
      </c>
      <c r="Q74" s="6">
        <f>_xlfn.NORM.DIST(215,Q77,Q78,TRUE)-_xlfn.NORM.DIST(208,Q77,Q78,TRUE)</f>
        <v>1.1250376271177309E-2</v>
      </c>
      <c r="S74" s="4" t="s">
        <v>66</v>
      </c>
      <c r="T74" s="6">
        <f>_xlfn.NORM.DIST(215,T77,T78,TRUE)-_xlfn.NORM.DIST(208,T77,T78,TRUE)</f>
        <v>1.1385101621528393E-2</v>
      </c>
      <c r="U74" s="6">
        <f>_xlfn.NORM.DIST(215,U77,U78,TRUE)-_xlfn.NORM.DIST(208,U77,U78,TRUE)</f>
        <v>1.1250376271177309E-2</v>
      </c>
    </row>
    <row r="75" spans="2:28" x14ac:dyDescent="0.2">
      <c r="B75" s="4" t="s">
        <v>82</v>
      </c>
      <c r="C75" s="4">
        <v>213</v>
      </c>
      <c r="O75" s="4" t="s">
        <v>125</v>
      </c>
      <c r="P75" s="6">
        <f>_xlfn.NORM.DIST(207,P77,P78,TRUE)-_xlfn.NORM.DIST(200,P77,P78,TRUE)</f>
        <v>1.8913477595402739E-2</v>
      </c>
      <c r="Q75" s="6">
        <f>_xlfn.NORM.DIST(207,Q77,Q78,TRUE)-_xlfn.NORM.DIST(200,Q77,Q78,TRUE)</f>
        <v>1.8101170872604211E-2</v>
      </c>
      <c r="S75" s="4" t="s">
        <v>67</v>
      </c>
      <c r="T75" s="6">
        <f>_xlfn.NORM.DIST(208,T77,T78,TRUE)</f>
        <v>0.97353470807799403</v>
      </c>
      <c r="U75" s="6">
        <f>_xlfn.NORM.DIST(208,U77,U78,TRUE)</f>
        <v>0.9725172940698551</v>
      </c>
    </row>
    <row r="76" spans="2:28" x14ac:dyDescent="0.2">
      <c r="B76" s="4" t="s">
        <v>83</v>
      </c>
      <c r="C76" s="4">
        <v>220</v>
      </c>
      <c r="O76" s="4" t="s">
        <v>52</v>
      </c>
      <c r="P76" s="6">
        <f>_xlfn.NORM.DIST(200,P77,P78,TRUE)</f>
        <v>0.95251884036947887</v>
      </c>
      <c r="Q76" s="6">
        <f>_xlfn.NORM.DIST(200,Q77,Q78,TRUE)</f>
        <v>0.95237198640152365</v>
      </c>
      <c r="T76" s="6"/>
      <c r="U76" s="6"/>
      <c r="V76" s="4" t="s">
        <v>127</v>
      </c>
      <c r="W76" s="3" t="s">
        <v>11</v>
      </c>
      <c r="X76" s="3" t="s">
        <v>13</v>
      </c>
      <c r="Y76" s="10"/>
      <c r="Z76" s="10"/>
      <c r="AA76" s="10"/>
    </row>
    <row r="77" spans="2:28" x14ac:dyDescent="0.2">
      <c r="B77" s="4" t="s">
        <v>84</v>
      </c>
      <c r="C77" s="4">
        <v>217</v>
      </c>
      <c r="N77" s="4" t="s">
        <v>28</v>
      </c>
      <c r="P77" s="4">
        <f>(2*P59+P69)/10</f>
        <v>149.72499999999999</v>
      </c>
      <c r="Q77" s="17">
        <f>(2*R59+R69)/10</f>
        <v>146.79499999999999</v>
      </c>
      <c r="R77" s="4" t="s">
        <v>28</v>
      </c>
      <c r="T77" s="4">
        <v>149.72499999999999</v>
      </c>
      <c r="U77" s="4">
        <v>146.79499999999999</v>
      </c>
      <c r="V77" s="4" t="s">
        <v>36</v>
      </c>
      <c r="W77" s="7">
        <v>0.15</v>
      </c>
      <c r="X77" s="7">
        <v>0.03</v>
      </c>
      <c r="Y77" s="5"/>
      <c r="Z77" s="21" t="s">
        <v>137</v>
      </c>
      <c r="AA77" s="4">
        <f>X77*B15/(X77*B15+W77*B11)</f>
        <v>0.48347679741966537</v>
      </c>
      <c r="AB77" s="4">
        <f>1-AA77</f>
        <v>0.51652320258033457</v>
      </c>
    </row>
    <row r="78" spans="2:28" x14ac:dyDescent="0.2">
      <c r="B78" s="4" t="s">
        <v>85</v>
      </c>
      <c r="C78" s="4">
        <v>212</v>
      </c>
      <c r="N78" s="4" t="s">
        <v>29</v>
      </c>
      <c r="P78" s="4">
        <f>SQRT(4*P60^2+P70^2+4*P87*P60*P70)/10</f>
        <v>30.108704043178953</v>
      </c>
      <c r="Q78" s="17">
        <f>SQRT(4*R60^2+R70^2+4*P87*R60*R70)/10</f>
        <v>31.891730601862189</v>
      </c>
      <c r="R78" s="4" t="s">
        <v>29</v>
      </c>
      <c r="T78" s="4">
        <v>30.108704043178953</v>
      </c>
      <c r="U78" s="4">
        <v>31.891730601862189</v>
      </c>
      <c r="V78" s="4" t="s">
        <v>47</v>
      </c>
      <c r="W78" s="7">
        <v>0.28000000000000003</v>
      </c>
      <c r="X78" s="7">
        <v>0.18</v>
      </c>
      <c r="Y78" s="5"/>
      <c r="Z78" s="21" t="s">
        <v>130</v>
      </c>
      <c r="AA78" s="7">
        <f>(W77*B11+X77*B15)</f>
        <v>37148.67</v>
      </c>
    </row>
    <row r="79" spans="2:28" x14ac:dyDescent="0.2">
      <c r="B79" s="4" t="s">
        <v>86</v>
      </c>
      <c r="C79" s="4">
        <v>215</v>
      </c>
      <c r="Z79" s="4" t="s">
        <v>138</v>
      </c>
      <c r="AA79" s="4">
        <f>X81*B15/(X81*B15+W81*B11)</f>
        <v>0.6479739593663878</v>
      </c>
      <c r="AB79" s="4">
        <f>1-AA79</f>
        <v>0.3520260406336122</v>
      </c>
    </row>
    <row r="80" spans="2:28" x14ac:dyDescent="0.2">
      <c r="B80" s="4" t="s">
        <v>87</v>
      </c>
      <c r="C80" s="4">
        <v>213</v>
      </c>
      <c r="N80" s="4" t="s">
        <v>59</v>
      </c>
      <c r="P80" s="17" t="s">
        <v>55</v>
      </c>
      <c r="Q80" s="4" t="s">
        <v>56</v>
      </c>
      <c r="R80" s="4" t="s">
        <v>57</v>
      </c>
      <c r="S80" s="17" t="s">
        <v>58</v>
      </c>
      <c r="V80" s="4" t="s">
        <v>128</v>
      </c>
      <c r="W80" s="4" t="s">
        <v>11</v>
      </c>
      <c r="X80" s="4" t="s">
        <v>13</v>
      </c>
      <c r="Z80" s="4" t="s">
        <v>132</v>
      </c>
      <c r="AA80" s="4">
        <f>(X81*B15+W81*B11)</f>
        <v>5735.5507235120167</v>
      </c>
    </row>
    <row r="81" spans="2:27" x14ac:dyDescent="0.2">
      <c r="B81" s="4" t="s">
        <v>88</v>
      </c>
      <c r="C81" s="4">
        <v>214</v>
      </c>
      <c r="O81" s="17" t="s">
        <v>53</v>
      </c>
      <c r="P81" s="4">
        <v>0.71099999999999997</v>
      </c>
      <c r="Q81" s="4">
        <v>0.82199999999999995</v>
      </c>
      <c r="R81" s="17">
        <v>0.63800000000000001</v>
      </c>
      <c r="S81" s="4">
        <v>0.69799999999999995</v>
      </c>
      <c r="V81" s="4" t="s">
        <v>64</v>
      </c>
      <c r="W81" s="4">
        <v>1.5783672829724482E-2</v>
      </c>
      <c r="X81" s="4">
        <v>6.2077615427518218E-3</v>
      </c>
    </row>
    <row r="82" spans="2:27" x14ac:dyDescent="0.2">
      <c r="B82" s="4" t="s">
        <v>89</v>
      </c>
      <c r="C82" s="4">
        <v>214</v>
      </c>
      <c r="O82" s="4" t="s">
        <v>54</v>
      </c>
      <c r="P82" s="4">
        <v>0.84299999999999997</v>
      </c>
      <c r="Q82" s="4">
        <v>0.622</v>
      </c>
      <c r="R82" s="17">
        <v>0.76100000000000001</v>
      </c>
      <c r="S82" s="4">
        <v>0.81200000000000006</v>
      </c>
      <c r="V82" s="4" t="s">
        <v>126</v>
      </c>
      <c r="W82" s="4">
        <v>3.501823260838155E-2</v>
      </c>
      <c r="X82" s="4">
        <v>9.1347982180319809E-3</v>
      </c>
      <c r="Z82" s="4" t="s">
        <v>133</v>
      </c>
      <c r="AA82" s="4">
        <f>(AA77*AA78+AA79*AA80)/(AA78+AA80)</f>
        <v>0.50547747273336929</v>
      </c>
    </row>
    <row r="83" spans="2:27" x14ac:dyDescent="0.2">
      <c r="B83" s="4" t="s">
        <v>90</v>
      </c>
      <c r="C83" s="4">
        <v>222</v>
      </c>
      <c r="Z83" s="4" t="s">
        <v>134</v>
      </c>
      <c r="AA83" s="4">
        <f>ABS((AA77-AA79)/SQRT(AA82*(1-AA82)*((1/AA78)+(1/AA80))))</f>
        <v>23.191289791407069</v>
      </c>
    </row>
    <row r="84" spans="2:27" x14ac:dyDescent="0.2">
      <c r="B84" s="4" t="s">
        <v>91</v>
      </c>
      <c r="C84" s="4">
        <v>223</v>
      </c>
      <c r="Z84" s="4" t="s">
        <v>135</v>
      </c>
      <c r="AA84" s="25">
        <f>2*(1-_xlfn.NORM.S.DIST(AA83,TRUE))</f>
        <v>0</v>
      </c>
    </row>
    <row r="85" spans="2:27" x14ac:dyDescent="0.2">
      <c r="B85" s="4" t="s">
        <v>92</v>
      </c>
      <c r="C85" s="4">
        <v>218</v>
      </c>
      <c r="O85" s="4" t="s">
        <v>60</v>
      </c>
      <c r="P85" s="4">
        <f>AVERAGE(P81,R81,S81)</f>
        <v>0.68233333333333324</v>
      </c>
    </row>
    <row r="86" spans="2:27" x14ac:dyDescent="0.2">
      <c r="B86" s="4" t="s">
        <v>93</v>
      </c>
      <c r="C86" s="4">
        <v>217</v>
      </c>
      <c r="O86" s="4" t="s">
        <v>61</v>
      </c>
      <c r="P86" s="4">
        <f>Q82</f>
        <v>0.622</v>
      </c>
    </row>
    <row r="87" spans="2:27" x14ac:dyDescent="0.2">
      <c r="B87" s="4" t="s">
        <v>94</v>
      </c>
      <c r="C87" s="4">
        <v>212</v>
      </c>
      <c r="O87" s="4" t="s">
        <v>62</v>
      </c>
      <c r="P87" s="4">
        <f>AVERAGE(P85,P86)</f>
        <v>0.65216666666666656</v>
      </c>
    </row>
    <row r="88" spans="2:27" x14ac:dyDescent="0.2">
      <c r="B88" s="4" t="s">
        <v>95</v>
      </c>
      <c r="C88" s="4">
        <v>215</v>
      </c>
    </row>
    <row r="89" spans="2:27" x14ac:dyDescent="0.2">
      <c r="B89" s="4" t="s">
        <v>96</v>
      </c>
      <c r="C89" s="4">
        <v>209</v>
      </c>
    </row>
    <row r="90" spans="2:27" x14ac:dyDescent="0.2">
      <c r="B90" s="4" t="s">
        <v>97</v>
      </c>
      <c r="C90" s="4">
        <v>211</v>
      </c>
    </row>
    <row r="91" spans="2:27" x14ac:dyDescent="0.2">
      <c r="B91" s="4" t="s">
        <v>98</v>
      </c>
      <c r="C91" s="4">
        <v>214</v>
      </c>
    </row>
    <row r="92" spans="2:27" x14ac:dyDescent="0.2">
      <c r="B92" s="4" t="s">
        <v>99</v>
      </c>
      <c r="C92" s="4">
        <v>217</v>
      </c>
    </row>
    <row r="93" spans="2:27" x14ac:dyDescent="0.2">
      <c r="B93" s="4" t="s">
        <v>100</v>
      </c>
      <c r="C93" s="4">
        <v>223</v>
      </c>
    </row>
    <row r="94" spans="2:27" x14ac:dyDescent="0.2">
      <c r="B94" s="4" t="s">
        <v>101</v>
      </c>
      <c r="C94" s="4">
        <v>211</v>
      </c>
    </row>
    <row r="95" spans="2:27" x14ac:dyDescent="0.2">
      <c r="B95" s="4" t="s">
        <v>102</v>
      </c>
      <c r="C95" s="4">
        <v>220</v>
      </c>
    </row>
    <row r="96" spans="2:27" x14ac:dyDescent="0.2">
      <c r="B96" s="4" t="s">
        <v>103</v>
      </c>
      <c r="C96" s="4">
        <v>218</v>
      </c>
    </row>
    <row r="97" spans="2:3" x14ac:dyDescent="0.2">
      <c r="B97" s="4" t="s">
        <v>104</v>
      </c>
      <c r="C97" s="4">
        <v>210</v>
      </c>
    </row>
    <row r="98" spans="2:3" x14ac:dyDescent="0.2">
      <c r="B98" s="4" t="s">
        <v>105</v>
      </c>
      <c r="C98" s="4">
        <v>217</v>
      </c>
    </row>
    <row r="99" spans="2:3" x14ac:dyDescent="0.2">
      <c r="B99" s="4" t="s">
        <v>106</v>
      </c>
      <c r="C99" s="4">
        <v>211</v>
      </c>
    </row>
    <row r="100" spans="2:3" x14ac:dyDescent="0.2">
      <c r="B100" s="4" t="s">
        <v>107</v>
      </c>
      <c r="C100" s="4">
        <v>216</v>
      </c>
    </row>
    <row r="101" spans="2:3" x14ac:dyDescent="0.2">
      <c r="B101" s="4" t="s">
        <v>108</v>
      </c>
      <c r="C101" s="4">
        <v>219</v>
      </c>
    </row>
    <row r="102" spans="2:3" x14ac:dyDescent="0.2">
      <c r="B102" s="4" t="s">
        <v>109</v>
      </c>
      <c r="C102" s="4">
        <v>217</v>
      </c>
    </row>
    <row r="103" spans="2:3" x14ac:dyDescent="0.2">
      <c r="B103" s="4" t="s">
        <v>110</v>
      </c>
      <c r="C103" s="4">
        <v>214</v>
      </c>
    </row>
    <row r="104" spans="2:3" x14ac:dyDescent="0.2">
      <c r="B104" s="4" t="s">
        <v>111</v>
      </c>
      <c r="C104" s="4">
        <v>208</v>
      </c>
    </row>
    <row r="105" spans="2:3" x14ac:dyDescent="0.2">
      <c r="B105" s="4" t="s">
        <v>112</v>
      </c>
      <c r="C105" s="4">
        <v>217</v>
      </c>
    </row>
    <row r="106" spans="2:3" x14ac:dyDescent="0.2">
      <c r="B106" s="4" t="s">
        <v>113</v>
      </c>
      <c r="C106" s="4">
        <v>219</v>
      </c>
    </row>
    <row r="107" spans="2:3" x14ac:dyDescent="0.2">
      <c r="B107" s="4" t="s">
        <v>114</v>
      </c>
      <c r="C107" s="4">
        <v>211</v>
      </c>
    </row>
    <row r="108" spans="2:3" x14ac:dyDescent="0.2">
      <c r="B108" s="4" t="s">
        <v>115</v>
      </c>
      <c r="C108" s="4">
        <v>215</v>
      </c>
    </row>
    <row r="109" spans="2:3" x14ac:dyDescent="0.2">
      <c r="B109" s="4" t="s">
        <v>116</v>
      </c>
      <c r="C109" s="4">
        <v>222</v>
      </c>
    </row>
    <row r="110" spans="2:3" x14ac:dyDescent="0.2">
      <c r="B110" s="4" t="s">
        <v>117</v>
      </c>
      <c r="C110" s="4">
        <v>222</v>
      </c>
    </row>
    <row r="111" spans="2:3" x14ac:dyDescent="0.2">
      <c r="B111" s="4" t="s">
        <v>118</v>
      </c>
      <c r="C111" s="4">
        <v>209</v>
      </c>
    </row>
    <row r="112" spans="2:3" x14ac:dyDescent="0.2">
      <c r="B112" s="4" t="s">
        <v>119</v>
      </c>
      <c r="C112" s="4">
        <v>214</v>
      </c>
    </row>
    <row r="113" spans="2:3" x14ac:dyDescent="0.2">
      <c r="B113" s="4" t="s">
        <v>120</v>
      </c>
      <c r="C113" s="4">
        <v>209</v>
      </c>
    </row>
    <row r="114" spans="2:3" x14ac:dyDescent="0.2">
      <c r="B114" s="4" t="s">
        <v>121</v>
      </c>
      <c r="C114" s="4">
        <v>208</v>
      </c>
    </row>
    <row r="115" spans="2:3" x14ac:dyDescent="0.2">
      <c r="B115" s="4" t="s">
        <v>122</v>
      </c>
      <c r="C115" s="4">
        <v>223</v>
      </c>
    </row>
    <row r="116" spans="2:3" x14ac:dyDescent="0.2">
      <c r="B116" s="4" t="s">
        <v>123</v>
      </c>
      <c r="C116" s="4">
        <v>208</v>
      </c>
    </row>
    <row r="117" spans="2:3" x14ac:dyDescent="0.2">
      <c r="B117" s="4" t="s">
        <v>124</v>
      </c>
      <c r="C117" s="4">
        <f>AVERAGE(C63:C115)</f>
        <v>215.83018867924528</v>
      </c>
    </row>
  </sheetData>
  <mergeCells count="4">
    <mergeCell ref="B1:C1"/>
    <mergeCell ref="D1:G1"/>
    <mergeCell ref="B8:C8"/>
    <mergeCell ref="D8:G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Stern</dc:creator>
  <cp:lastModifiedBy>Ari Stern</cp:lastModifiedBy>
  <dcterms:created xsi:type="dcterms:W3CDTF">2024-09-14T14:48:36Z</dcterms:created>
  <dcterms:modified xsi:type="dcterms:W3CDTF">2024-09-16T00:36:27Z</dcterms:modified>
</cp:coreProperties>
</file>