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dastro" sheetId="1" r:id="rId4"/>
    <sheet state="visible" name="Aniversariantes" sheetId="2" r:id="rId5"/>
    <sheet state="visible" name="Atividades" sheetId="3" r:id="rId6"/>
  </sheets>
  <definedNames/>
  <calcPr/>
</workbook>
</file>

<file path=xl/sharedStrings.xml><?xml version="1.0" encoding="utf-8"?>
<sst xmlns="http://schemas.openxmlformats.org/spreadsheetml/2006/main" count="1753" uniqueCount="1081">
  <si>
    <t>NOME</t>
  </si>
  <si>
    <t>DATA DE NASCIMENTO</t>
  </si>
  <si>
    <t>TELEFONE</t>
  </si>
  <si>
    <t>ENDEREÇO</t>
  </si>
  <si>
    <t>ATIVIDADE</t>
  </si>
  <si>
    <t>DATA MATRICULA</t>
  </si>
  <si>
    <t>TURMA</t>
  </si>
  <si>
    <t>JOÃO VITOR GOMES SANTOS</t>
  </si>
  <si>
    <t>62 994855458</t>
  </si>
  <si>
    <t xml:space="preserve">AVENIDA </t>
  </si>
  <si>
    <t>Informática</t>
  </si>
  <si>
    <t>KELVIN ENRIQUE DA SILVA DA SILVA</t>
  </si>
  <si>
    <t>62 984704675</t>
  </si>
  <si>
    <t>RUA RDB 6 QD 10 LT 31 DOM BOSCO</t>
  </si>
  <si>
    <t>18/08/2025</t>
  </si>
  <si>
    <t>lUCAS GABRIEL ALVES DE AZEVEDO</t>
  </si>
  <si>
    <t>AVENIDA DAS PALMAS QUDRA 07 LOTE 11</t>
  </si>
  <si>
    <t xml:space="preserve">HENRY DE SOUZA VERAS </t>
  </si>
  <si>
    <t>62 993452696</t>
  </si>
  <si>
    <t>RUA SB51 QD 59 LT 06 CASA 02 S. BERNARDO II</t>
  </si>
  <si>
    <t>THAYNE OLIVEIRA CAMARGO</t>
  </si>
  <si>
    <t>62 992176502</t>
  </si>
  <si>
    <t>RUA AÇUCENA QD 01 LT 09 ST.PALMARES</t>
  </si>
  <si>
    <t>ELISA MOREIRA  FERNANDES</t>
  </si>
  <si>
    <t>62 992269345</t>
  </si>
  <si>
    <t>RUA ATREMIZIA QD 07 LT 02 ST.PALMARES</t>
  </si>
  <si>
    <t>RANIELLY RAMOS DE SOUZA</t>
  </si>
  <si>
    <t>LUIZ FABIANO GOMES BERDOLDO</t>
  </si>
  <si>
    <t>62 993201736</t>
  </si>
  <si>
    <t>RUA PAPOULA QD 65 LT 06 ST. PALMARSE</t>
  </si>
  <si>
    <t>RUTE ROCHA DE LOUDES</t>
  </si>
  <si>
    <t>62 995421317</t>
  </si>
  <si>
    <t>25/08/25</t>
  </si>
  <si>
    <t xml:space="preserve">ANDRÉ GOMES FERREIRA </t>
  </si>
  <si>
    <t>62 992324894</t>
  </si>
  <si>
    <t>AVENIDA DAS PALMAS QD 33 LT 04 ST PALMARES</t>
  </si>
  <si>
    <t>EMANUELA ANDRADE MENDES</t>
  </si>
  <si>
    <t>62 998208809</t>
  </si>
  <si>
    <t>ALAMEDA DAS ACACIAS QD 37 LT 19</t>
  </si>
  <si>
    <t xml:space="preserve">KALLEBE FERREIRA NASCIMENTO     </t>
  </si>
  <si>
    <t>62 995115026</t>
  </si>
  <si>
    <t>rua girassol qd 33 lt 25 st. palmares</t>
  </si>
  <si>
    <t>ALEXANDRE DA SILVA SOUZA</t>
  </si>
  <si>
    <t>62991448207</t>
  </si>
  <si>
    <t>RUA SB 14 QD 32 LT 02 SÃO BERNARDO</t>
  </si>
  <si>
    <t>6299028518</t>
  </si>
  <si>
    <t>ANA JÚLIA MARTINS SOUZA</t>
  </si>
  <si>
    <t xml:space="preserve">NYCOLAS RUAN VIEIRA REIS </t>
  </si>
  <si>
    <t>62 991928402</t>
  </si>
  <si>
    <t>RUA VIELA DA PAZ QD.02 LT 23 ST. PALMARES</t>
  </si>
  <si>
    <t>YASMIM CRISTINE BESSA DE PAULA</t>
  </si>
  <si>
    <t>62 9172-2181</t>
  </si>
  <si>
    <t>ISABELA LUIZA FIRMINO DOS SANTOS</t>
  </si>
  <si>
    <t>62 92039616</t>
  </si>
  <si>
    <t xml:space="preserve">HESTEFANY VITÓRIA DE OLIVEIRA VIEIRA </t>
  </si>
  <si>
    <t>62 995420681</t>
  </si>
  <si>
    <t>KÉSIA BRASIL FERRAZ</t>
  </si>
  <si>
    <t>DEUSDETE LOURENÇO DIAS</t>
  </si>
  <si>
    <t>JOSÉ PAULO FEITOSA GUABIRABA</t>
  </si>
  <si>
    <t>62995604467</t>
  </si>
  <si>
    <t>PEDRO GABRIEL MIRANDA BATISTA DE ALMEIDA</t>
  </si>
  <si>
    <t>PEDRO HENRIQUE SILVA DOS SANTOS</t>
  </si>
  <si>
    <t>62 9503-0683</t>
  </si>
  <si>
    <t xml:space="preserve">JENIFER KEMILY GOMES RAMOS </t>
  </si>
  <si>
    <t xml:space="preserve">GABRIELLY BUENO RAMOS </t>
  </si>
  <si>
    <t>NATHALIA DA COSTA VIANA</t>
  </si>
  <si>
    <t>RAISSA KETHY</t>
  </si>
  <si>
    <t xml:space="preserve">LAÍS ASSIS DOS SANTOS </t>
  </si>
  <si>
    <t>62 98467-2822</t>
  </si>
  <si>
    <t>RUA SB 48 QD.66 LT 08 SÃO BERNADO 2</t>
  </si>
  <si>
    <t>MATHEUS HENRIQUE PEDROSO FERREIRO</t>
  </si>
  <si>
    <t xml:space="preserve">JULIANA FERREIRA  DA SILVA   </t>
  </si>
  <si>
    <t>KETHELLYN RAIANE DO CARMO</t>
  </si>
  <si>
    <t>MARIA VELOSO DE SOUZA</t>
  </si>
  <si>
    <t>62 99327-3471</t>
  </si>
  <si>
    <t>RUA 04 QD.81 LT09 ST. PALMARES</t>
  </si>
  <si>
    <t>JOSIMAR G. DE FREITAS</t>
  </si>
  <si>
    <t>HENRY DE SOUZA VERAS</t>
  </si>
  <si>
    <t>MARIA FERNANDA CARDOSO PEREIRA</t>
  </si>
  <si>
    <t>62992719438</t>
  </si>
  <si>
    <t>RUA SB 64 QD 93 LT 18 SÃO BERNARDO 2</t>
  </si>
  <si>
    <t>CALYNE DIAS REIS</t>
  </si>
  <si>
    <t>LEANDRO FERREIRA CAMARGO</t>
  </si>
  <si>
    <t xml:space="preserve">TIELLY YASMIM VELOSO DE SOUZA </t>
  </si>
  <si>
    <t>6299327-3471</t>
  </si>
  <si>
    <t>ANA CLARA DE SOUSA BARBOSA</t>
  </si>
  <si>
    <t>62991754197</t>
  </si>
  <si>
    <t xml:space="preserve"> RUA: SB48 QD 56 LT 07, SÃO BERNARDO II</t>
  </si>
  <si>
    <t>STHEFANNY LAYANE DE PAULA PEREIRA</t>
  </si>
  <si>
    <t>62 991550531</t>
  </si>
  <si>
    <t>AV: JOÃO JOSE, QD 154 LT 098, MAYSA 2</t>
  </si>
  <si>
    <t>FRANCISCO DAS CHAGAS DIAS DOS SANTOS</t>
  </si>
  <si>
    <t>62 99525-6672</t>
  </si>
  <si>
    <t xml:space="preserve">RUA SB62 QD 96 LT 04 SÃO BERNADO </t>
  </si>
  <si>
    <t>ELIZA ZAGO MENDES CARDOSO ANDRADE</t>
  </si>
  <si>
    <t>62 995487573</t>
  </si>
  <si>
    <t>RUA HORTENCIA QD.49 LT01 ST. PALMARES</t>
  </si>
  <si>
    <t>ISAAC LOPES BARBOSA</t>
  </si>
  <si>
    <t>62 99288-5525</t>
  </si>
  <si>
    <t>RUA SB 15 QD.25 LT.37 SÃO BERNADO</t>
  </si>
  <si>
    <t>ISTEFANY THAMIRYS DE OLIVEIRA</t>
  </si>
  <si>
    <t>62 99147-6029</t>
  </si>
  <si>
    <t>RUA PRIMOLA QD. 49 LT.06 ST. PALMARES</t>
  </si>
  <si>
    <t>DELMIRO  CALIXTO DA SILVA</t>
  </si>
  <si>
    <t>62 99250-9273</t>
  </si>
  <si>
    <t>RUA SF 77 QD.95 LT.38 SOLAR SÃO FRSNCISCO</t>
  </si>
  <si>
    <t xml:space="preserve">SAMUEL CALIXTO DA SILVA </t>
  </si>
  <si>
    <t>RUA SF77 QD.95 LT.38 SÃO FRANCISCO 2</t>
  </si>
  <si>
    <t xml:space="preserve">HISTEFANY VITÓRIA DE OLIVEIRA VIEIRA </t>
  </si>
  <si>
    <t>62 99542-0681</t>
  </si>
  <si>
    <t>RUA SB57 QD.100 L.10 SÃO BERNADO</t>
  </si>
  <si>
    <t>NATHALLY LOUHARA OLIVEIRA DOS SANTOS</t>
  </si>
  <si>
    <t>62 98600-7584</t>
  </si>
  <si>
    <t>RUA SB.47 QD.67 LT.12 SÃO BERNADO 2</t>
  </si>
  <si>
    <t>RHYANNE VICTORIA SANTANA DE BARROS</t>
  </si>
  <si>
    <t>RUA SB.47 QD. 67 LT. 12 SÃO BERNADO 2</t>
  </si>
  <si>
    <t xml:space="preserve">MARIA EDUARDO SANTANA DA SILVA </t>
  </si>
  <si>
    <t>62 98600-0784</t>
  </si>
  <si>
    <t>RUA SB47 QD. 67 LT.12 SÃO BERNARDO 2</t>
  </si>
  <si>
    <t xml:space="preserve">ANA JÚLIA MARTINS SOUZA </t>
  </si>
  <si>
    <t>62 99152-2049</t>
  </si>
  <si>
    <t>RUA ALAMEDA DAS ACÁCIAS</t>
  </si>
  <si>
    <t>WENDY VICTORIA ALVES MARIANO</t>
  </si>
  <si>
    <t>62 99489-0949</t>
  </si>
  <si>
    <t>RUA CONTORNO QD.75 LT.25 ST. PALMARES</t>
  </si>
  <si>
    <t xml:space="preserve">HENRY SOUZA VERAZ </t>
  </si>
  <si>
    <t>62 99345-2693</t>
  </si>
  <si>
    <t>RUA 51 QD.59 LT.06 CASA 2 SÃO BERNADO 2</t>
  </si>
  <si>
    <t>TATYANNE PEREIRA PASSOS SILVA</t>
  </si>
  <si>
    <t>62 99414-5715</t>
  </si>
  <si>
    <t>RUA SB 17 QD 18 LT.05 SOLAR DAS PAINEIRAS</t>
  </si>
  <si>
    <t>KESIA BRASIL FERRAZ</t>
  </si>
  <si>
    <t>62 99277-2737</t>
  </si>
  <si>
    <t>ALAMEDA DAS ACACIAS QD.36 T.21 PALMARES</t>
  </si>
  <si>
    <t>MARIA JÚLIA REIS FEITOSA</t>
  </si>
  <si>
    <t>62 99203-7029</t>
  </si>
  <si>
    <t>RUA SB.50 QD.58 LT.14 SÃO BERNADO</t>
  </si>
  <si>
    <t>KARINE MANUELY REIS DA COSTA</t>
  </si>
  <si>
    <t>RUA SB50 QD. 58 LT14 SÃO BERNADO 2</t>
  </si>
  <si>
    <t>ANA KLARA COSTA SOUZA</t>
  </si>
  <si>
    <t>62 99162-6287</t>
  </si>
  <si>
    <t>RUA ANGÉLICA QD.70 LT.13 PALMARES</t>
  </si>
  <si>
    <t>JOSIANA APARECIDA MOREIRA DOS ANJOS</t>
  </si>
  <si>
    <t>62 99303-7551</t>
  </si>
  <si>
    <t>RUA SB 56 QD.108 LT 10 SÃO BERNADO 2</t>
  </si>
  <si>
    <t>YURE MOREIRA DE OLIVEIRA</t>
  </si>
  <si>
    <t>JANAINA SANTANA DE OLIVEIRA</t>
  </si>
  <si>
    <t xml:space="preserve">RUA SB. 57 QD. 100 LT 10 SÃO BERNADO </t>
  </si>
  <si>
    <t>JOSUE NATANAEL CARVALHO DE OLIVEIRA</t>
  </si>
  <si>
    <t xml:space="preserve"> NÃO TEM</t>
  </si>
  <si>
    <t>RUA DÁLIA QD.31 LT. 08 ST. PALMARES</t>
  </si>
  <si>
    <t>JHENIFER SANTANA VALERIO</t>
  </si>
  <si>
    <t>62 99328-1307</t>
  </si>
  <si>
    <t>RUA DÁLIA QD.09 LT. 19 ST. PALMARES</t>
  </si>
  <si>
    <t xml:space="preserve">LUIS SILVA SOUZA </t>
  </si>
  <si>
    <t>62 99242-6068</t>
  </si>
  <si>
    <t>RUA SB.50 QD. 57 LT.27 SÃO BERNADO 2</t>
  </si>
  <si>
    <t xml:space="preserve"> MARIA VITORIA OLIVEIRA DA COSTA </t>
  </si>
  <si>
    <t>62992495837</t>
  </si>
  <si>
    <t>RUA PAPULA QD 38 LT 15 PALMARES</t>
  </si>
  <si>
    <t xml:space="preserve">CHAUANE SANTOS </t>
  </si>
  <si>
    <t>629937719</t>
  </si>
  <si>
    <t>AV: SÃO BERNARDO QD 63 LT 26 SÃO BERNARDO</t>
  </si>
  <si>
    <t>ADAN MILENA NUNES BANDEIRA</t>
  </si>
  <si>
    <t>62992878539</t>
  </si>
  <si>
    <t>RUA JUCELANDIO QD 127 LT 20 MAYSA 2</t>
  </si>
  <si>
    <t xml:space="preserve">ADALBERTO GUILHERME NUNES BANDEIRA </t>
  </si>
  <si>
    <t xml:space="preserve">ARTHUR ROBERTO NUNES BANDEIRA </t>
  </si>
  <si>
    <t>RUA JUCELANDIA QD 127 LT 20 MAYSA 2</t>
  </si>
  <si>
    <t xml:space="preserve">MARIA SILVANDIRA ALVES DOS SANTOS </t>
  </si>
  <si>
    <t>62991329400</t>
  </si>
  <si>
    <t xml:space="preserve">ALAMEDA DAS ACACIAS PALMARES </t>
  </si>
  <si>
    <t xml:space="preserve">MARIA EDUARDA DA COSTA </t>
  </si>
  <si>
    <t xml:space="preserve">SANDY APARECIDA MARTINS </t>
  </si>
  <si>
    <t>62994559185</t>
  </si>
  <si>
    <t xml:space="preserve">RUA ALAMEDA DAS ACÁCIAS PALMARES </t>
  </si>
  <si>
    <t xml:space="preserve">BRUNA GABRIELLY DA SILVA MELO MEIRELES </t>
  </si>
  <si>
    <t>62994044550</t>
  </si>
  <si>
    <t>RUA LUIZ TAVARES LINS QD 74 LT 29 PALMARES</t>
  </si>
  <si>
    <t xml:space="preserve">JULINHA TEIXEIRA </t>
  </si>
  <si>
    <t>62992320189</t>
  </si>
  <si>
    <t>RUA SF 73 QD 91 LT 25 SÃO FRANCISCO</t>
  </si>
  <si>
    <t>KETHELLLIN RAUANE DO CARMO SANTANA</t>
  </si>
  <si>
    <t>RUA SB 47 QD 69 LT 38 SÃO BERNARDO</t>
  </si>
  <si>
    <t>MARIA EDUARDA FERREIRA DE ALMEIDA</t>
  </si>
  <si>
    <t>6295735136</t>
  </si>
  <si>
    <t>RUA 1 QD 79 LT 03 PALMARES</t>
  </si>
  <si>
    <t>MARIA EDUARDA SILVA SANTOS</t>
  </si>
  <si>
    <t>62995315031</t>
  </si>
  <si>
    <t>ALAMEDA DAS ACACIAS QD 64 LT 01 PALMARES</t>
  </si>
  <si>
    <t>CARLOS DAVI PEREIRA DE PAIVA</t>
  </si>
  <si>
    <t>62995712356</t>
  </si>
  <si>
    <t>RUA SB 63 QD 86 L9  SÃO BERNARDO 2</t>
  </si>
  <si>
    <t>RAYSSA KETLEY MONTEIRO DA TRINDADE</t>
  </si>
  <si>
    <t>62991193810</t>
  </si>
  <si>
    <t>RUA SB 55 QD 104 LT 03 SÃO BERNARDO 2</t>
  </si>
  <si>
    <t>ANA VITÓRIA MARTINS SOUZA</t>
  </si>
  <si>
    <t>62991520849</t>
  </si>
  <si>
    <t>RUA ALAMEDA DAS ACACIAS PALMARES</t>
  </si>
  <si>
    <t>LUZ FELIPE MARTINS SOUZA</t>
  </si>
  <si>
    <t xml:space="preserve">ROBERT GOMES VALE JUNIOR </t>
  </si>
  <si>
    <t>6292037029</t>
  </si>
  <si>
    <t>RUA SB 50 QD 58 LT14 SÃO BERNARDO</t>
  </si>
  <si>
    <t>JAKELINE ALVES DOS SANTOS</t>
  </si>
  <si>
    <t>62994814818</t>
  </si>
  <si>
    <t>RUA DAS VIOLETAS QD 32 LT 23 PALMARES</t>
  </si>
  <si>
    <t>62 991981294</t>
  </si>
  <si>
    <t>RUA SB40 QD 68 LT 20, SÃO BERNARDO II</t>
  </si>
  <si>
    <t>MIRELA LIMA SOUSA</t>
  </si>
  <si>
    <t>62995440053</t>
  </si>
  <si>
    <t>RUA SB 48QD 67 LT 28</t>
  </si>
  <si>
    <t>LARIANE SUELLEN PANTOJA DE SOUSA</t>
  </si>
  <si>
    <t>62995247550</t>
  </si>
  <si>
    <t>RUA SB 48 QD 67 LT 28 SÃO BERNARDO</t>
  </si>
  <si>
    <t>KETHELLYN RAYANE DO CARMO SANTANA</t>
  </si>
  <si>
    <t>62993203890</t>
  </si>
  <si>
    <t>ANA GOMES SILVA DAS NEVES</t>
  </si>
  <si>
    <t>62984592391</t>
  </si>
  <si>
    <t>RUA SF 80 QD 111 LT 12 SÃO FRANCISCO</t>
  </si>
  <si>
    <t>ANDREI DAS NEVES SOUZA</t>
  </si>
  <si>
    <t>ROSILDA DE FATIMA FARIAS</t>
  </si>
  <si>
    <t>62 993980193</t>
  </si>
  <si>
    <t>RUA; RSB11 QD 20 LT06, SOLAR DAS PAINEIRAS</t>
  </si>
  <si>
    <t>Fisioterapia</t>
  </si>
  <si>
    <t>ERIKA FERREIRA DA NASCIMENTO</t>
  </si>
  <si>
    <t>62 995133231</t>
  </si>
  <si>
    <t xml:space="preserve"> RUA: SÃO PAULO QD 03 LT 32, PALMARES</t>
  </si>
  <si>
    <t>62 993113582</t>
  </si>
  <si>
    <t>RUA: SB61, QD 94 LT 14, SÃO BERNARDO 2</t>
  </si>
  <si>
    <t>IRENE FERREIRA DE JESUS</t>
  </si>
  <si>
    <t>62 995505467</t>
  </si>
  <si>
    <t>RUA: PAPOULAS QD 65 LT 08, PALMARES</t>
  </si>
  <si>
    <t>ANA LUCIA DE OLIVEIRA SOUZA</t>
  </si>
  <si>
    <t>RUA: ALAMEDA ACUCENA QD 01 LT 09, PALMARES</t>
  </si>
  <si>
    <t xml:space="preserve">DIVINA MOREIRA DOS SANTOS </t>
  </si>
  <si>
    <t>RUA SB55 QD 104 LT 13  S.BERNARDO II</t>
  </si>
  <si>
    <t>JULINHA TEIXEIRA</t>
  </si>
  <si>
    <t>62 992320189</t>
  </si>
  <si>
    <t>RUA: SF73 QD 91 LT 25, SÃO FRANCISCO</t>
  </si>
  <si>
    <t xml:space="preserve">IRACEMA MARIA DE CORTE REAL DELGADO E MEDINA </t>
  </si>
  <si>
    <t>62 981132304</t>
  </si>
  <si>
    <t>RUA; ANGELICA QD 69 LT 13, PALMARES</t>
  </si>
  <si>
    <t xml:space="preserve">ANA KLARA COSTA SOUZA </t>
  </si>
  <si>
    <t>62 994144066</t>
  </si>
  <si>
    <t>RUA: ANGELICA QD 70 LT 13, PALMARES</t>
  </si>
  <si>
    <t>CELIA NEVES FERREIRA</t>
  </si>
  <si>
    <t>62 991924222</t>
  </si>
  <si>
    <t>AV: LIRIO QD 37 LT 01, PALMARES</t>
  </si>
  <si>
    <t>JOSUEL DIAS DOS SANTOS DA SILVA</t>
  </si>
  <si>
    <t>62 991575466</t>
  </si>
  <si>
    <t>RUA SB 53 QD 88 LT 45 S. BERNARDO II</t>
  </si>
  <si>
    <t>THAIS MICHELLE NEVES DA SILVA MOURA</t>
  </si>
  <si>
    <t>62 992910569</t>
  </si>
  <si>
    <t>JHENNIFER LUIZA BORGES RODRIGUES</t>
  </si>
  <si>
    <t>62 995174880</t>
  </si>
  <si>
    <t>R.AMANDO GREGO QD18 LT04 C.02 S. BERN II</t>
  </si>
  <si>
    <t xml:space="preserve">GENEZIA SILVEIRA DE SOUZA </t>
  </si>
  <si>
    <t>62 993353137</t>
  </si>
  <si>
    <t>RUA: DAS PAPOULAS QD 37 LT 07, PALMARES</t>
  </si>
  <si>
    <t>DALVA PEREIRA ROSA</t>
  </si>
  <si>
    <t>62 995403846</t>
  </si>
  <si>
    <t>AV: ALAMEDA DAS ACACIAS, QD 65 LT 16, PALMARES</t>
  </si>
  <si>
    <t>SANDRA  ALVES NEIVA AMORIM</t>
  </si>
  <si>
    <t>62 994321474</t>
  </si>
  <si>
    <t>MARIA SEBASTIANA DE SOUZA</t>
  </si>
  <si>
    <t>BOANEZES FERREIRA DA COSTA</t>
  </si>
  <si>
    <t>62 994747145</t>
  </si>
  <si>
    <t>RUA: GIRASSOL QD 59 LT 18, PALMARES</t>
  </si>
  <si>
    <t>DEILA AIRES DA SILVA</t>
  </si>
  <si>
    <t>62 994050589</t>
  </si>
  <si>
    <t>ZILMA APARECIDA GONÇALVES SILVA</t>
  </si>
  <si>
    <t>62 995318089</t>
  </si>
  <si>
    <t>FRANCISCA RÉGIA PEREIRA DE MELO</t>
  </si>
  <si>
    <t>62 993264910</t>
  </si>
  <si>
    <t>RUA: RSB56 QD 73 LT19 S.FRANCISCO</t>
  </si>
  <si>
    <t>WESLEY VINICIUSDA SILVA</t>
  </si>
  <si>
    <t>62 991654580</t>
  </si>
  <si>
    <t>RUA: RSB56 QD 102 LT 12, SOLAR DAS PAINEIRAS</t>
  </si>
  <si>
    <t>EVANIRIA MARIA DA CONCEIÇÃO</t>
  </si>
  <si>
    <t>62 994214519</t>
  </si>
  <si>
    <t>JOÃO LUCCAS RODRIGUES VAZ DE OLIVEIRA</t>
  </si>
  <si>
    <t>62 993293730</t>
  </si>
  <si>
    <t>RUA: GIRASSOL QD 40 LT 20, PALMARES</t>
  </si>
  <si>
    <t xml:space="preserve">DANIELA RODRIGUESS DA COSTA </t>
  </si>
  <si>
    <t>62 992049532</t>
  </si>
  <si>
    <t xml:space="preserve">RUA: SB18 QD 29 LT 24, SÃO BERNARDO </t>
  </si>
  <si>
    <t>MARIA ZILMA BRASIL FERRAZ</t>
  </si>
  <si>
    <t>62 991585964</t>
  </si>
  <si>
    <t>RUA: ALAMEDA DAS ACACIAS QD 36 LT 21, PALMARES</t>
  </si>
  <si>
    <t xml:space="preserve">CIBELLE SANTOS SILVA </t>
  </si>
  <si>
    <t>62 992578036</t>
  </si>
  <si>
    <t>RUA: LUIZ TAVARES LINS QD 74 LT 27, PALMARES</t>
  </si>
  <si>
    <t>RIVANETE SOUZA DE BRITO</t>
  </si>
  <si>
    <t>62 986510665</t>
  </si>
  <si>
    <t xml:space="preserve">AV: ALAMEDA DAS ACACIAS QD 103 LT 26, SÃO BERNARDO </t>
  </si>
  <si>
    <t xml:space="preserve">TIPHANNY AURORA COSTA PEREIRA </t>
  </si>
  <si>
    <t>RUA; SB18 QD 29 LT 24, SÃO BERNARDO</t>
  </si>
  <si>
    <t xml:space="preserve">ROSILDA DE FATIMA FARIAS </t>
  </si>
  <si>
    <t>RUA: RSB11 QD 20 LT 06, SOLAR DAS PAINEIRAS</t>
  </si>
  <si>
    <t xml:space="preserve">MARIA DAS DORES LINO OLIVEIRA </t>
  </si>
  <si>
    <t>62 993850066</t>
  </si>
  <si>
    <t>RUA: HORTENCIA QD 73 LT 07, PALMARES</t>
  </si>
  <si>
    <t>JAKELINE GOMES DE FREITAS</t>
  </si>
  <si>
    <t>62 994499462</t>
  </si>
  <si>
    <t>AV: ALAMEDA DAS ACACIAS QD 37 LT 01, PALMARES</t>
  </si>
  <si>
    <t xml:space="preserve">TAYNA DIAS FERREIRA DA SILVA </t>
  </si>
  <si>
    <t>62994444748</t>
  </si>
  <si>
    <t xml:space="preserve">RUA MARGARIDA QD 63 LT 09 PALMARES </t>
  </si>
  <si>
    <t xml:space="preserve">MARIA JOSE FERREIRA DOS SANTOS </t>
  </si>
  <si>
    <t>62993113582</t>
  </si>
  <si>
    <t>RUA SB 61 QD 94 LT 14 SÃO BERNARDO 2</t>
  </si>
  <si>
    <t xml:space="preserve">ANA LUCIA DE OLIVEIRA SOUZA </t>
  </si>
  <si>
    <t>62992176502 OU 62991996652</t>
  </si>
  <si>
    <t>RUA  ACUCENA QD 01 LT 09 SETOR PALMARES</t>
  </si>
  <si>
    <t xml:space="preserve">GENEZIO RIBEIRO DE SOUSA </t>
  </si>
  <si>
    <t>62993353137</t>
  </si>
  <si>
    <t xml:space="preserve">RUA DAS PAPOULAS QD 37 LT 07 PALMARES </t>
  </si>
  <si>
    <t xml:space="preserve">CARLOS ALBERTO DE OLIVEIRA </t>
  </si>
  <si>
    <t>62991297116</t>
  </si>
  <si>
    <t xml:space="preserve">RUA ALAMDA BEGONIA </t>
  </si>
  <si>
    <t>LUZITANIA RESPLANDE MOREIRA</t>
  </si>
  <si>
    <t>62993236093 OU 62991446921</t>
  </si>
  <si>
    <t>RUA 01 QD 02 LT 05 PALMARES</t>
  </si>
  <si>
    <t xml:space="preserve">ZELINDA NUNES DA SILVA </t>
  </si>
  <si>
    <t>62993151910</t>
  </si>
  <si>
    <t>RUA LUIS TAVARES DE LINS QD 76 LT 16  PALMARES</t>
  </si>
  <si>
    <t>MARIA DE FATIMA FERREIRA DA SILVA</t>
  </si>
  <si>
    <t>62 981962463</t>
  </si>
  <si>
    <t>RUA VIOLETA QD 46 LT 05 ST. PALMARES</t>
  </si>
  <si>
    <t xml:space="preserve">LEONARDO GOMES FERREIRA </t>
  </si>
  <si>
    <t>62995318089</t>
  </si>
  <si>
    <t>AV TRINDADE QD 121 LT 20 SÃO FRANCISCO</t>
  </si>
  <si>
    <t xml:space="preserve"> VALDIVINO ETERNO DA SILVA </t>
  </si>
  <si>
    <t>62991314390</t>
  </si>
  <si>
    <t xml:space="preserve">VALMIRA DA SILVA PEREIRA </t>
  </si>
  <si>
    <t>62992294099</t>
  </si>
  <si>
    <t>RUA PAPOULA QD 35 LT 21 SETOR PALMARES</t>
  </si>
  <si>
    <t xml:space="preserve">FACHIRA ALINE C. S DE SOUSA </t>
  </si>
  <si>
    <t>62991499952</t>
  </si>
  <si>
    <t>RUA SB 39 QD 52 LT 23 SÃO BERNARDO 2</t>
  </si>
  <si>
    <t xml:space="preserve">BRUNA STEFANI </t>
  </si>
  <si>
    <t>62992532856</t>
  </si>
  <si>
    <t>RUA ESPRELICIA QD 13 LT 14</t>
  </si>
  <si>
    <t xml:space="preserve">KELLY CRISTINA  DA SILVA DE BARROS </t>
  </si>
  <si>
    <t>62991747247</t>
  </si>
  <si>
    <t>RUA MARGARIDA QD 10 LT 08 CASA 3 PALMARES</t>
  </si>
  <si>
    <t xml:space="preserve">MARIA APARECIDA DA SILVA </t>
  </si>
  <si>
    <t>62994943218</t>
  </si>
  <si>
    <t xml:space="preserve">RUA DALIA QD 30 LT 10 PALMARES </t>
  </si>
  <si>
    <t>ELSON SILVA DA CRUZ</t>
  </si>
  <si>
    <t>62992279499</t>
  </si>
  <si>
    <t xml:space="preserve">DEUSILENE BATISTA BORGES </t>
  </si>
  <si>
    <t>62999574481</t>
  </si>
  <si>
    <t>RUA DALIA QD 29 LT 14 PALMARES</t>
  </si>
  <si>
    <t>MILTA LEAL DA TRINDADE</t>
  </si>
  <si>
    <t>62994394028</t>
  </si>
  <si>
    <t xml:space="preserve">RUA SB 57 QD 106 LT 11 SÃO BERNARDO </t>
  </si>
  <si>
    <t>ELIZANGELA FIGUEIREDO VERAS</t>
  </si>
  <si>
    <t>62993452696</t>
  </si>
  <si>
    <t xml:space="preserve">RUA SB 51 QD 59 LT 06 CASA 2 SÃO BERNARDO </t>
  </si>
  <si>
    <t xml:space="preserve">MARLENE FERREIRA DA COSTA </t>
  </si>
  <si>
    <t>62993293600</t>
  </si>
  <si>
    <t>RUA MARGARIDA QD 61 LT 10 PALMARES</t>
  </si>
  <si>
    <t>NILZA LOPES COSTA DOS SANTOS</t>
  </si>
  <si>
    <t>62 992424455</t>
  </si>
  <si>
    <t>RUA RSB4 QD 08 LT 09 DOM BOSCO</t>
  </si>
  <si>
    <t xml:space="preserve">CLEUZA FERREIRA </t>
  </si>
  <si>
    <t>62991323097</t>
  </si>
  <si>
    <t xml:space="preserve">RUA SB 51 QD 58 LT 36 SÃO BERNARDO </t>
  </si>
  <si>
    <t xml:space="preserve">SAMUEL LUCAS CARVALHO DE OLIVEIRA </t>
  </si>
  <si>
    <t>62993564123 OU 62991401649</t>
  </si>
  <si>
    <t xml:space="preserve">RUA DALIA QD 31 LT 08 PALMARES </t>
  </si>
  <si>
    <t xml:space="preserve">NEUZILIA OLIVEIRA DE SOUSA </t>
  </si>
  <si>
    <t>RUA DALIA QD 03 LT 08 PALMARES</t>
  </si>
  <si>
    <t xml:space="preserve">OLINDA LOPES COSTA </t>
  </si>
  <si>
    <t>DANIELA MARQUES FILOMENA</t>
  </si>
  <si>
    <t>62993673079 OU 62993454049</t>
  </si>
  <si>
    <t>RUA ALAMEDA BEGONIA QD 49 LT 03 CASA 2 PALMARES</t>
  </si>
  <si>
    <t>EDIVANIA MARIA DA SILVA RODRIGUES</t>
  </si>
  <si>
    <t>62992262005 OU 62992869258</t>
  </si>
  <si>
    <t>RUA SB 51 QD 58 LT 22 SÃO BERNARDO 2</t>
  </si>
  <si>
    <t xml:space="preserve">ZILENE FONSECA E SILVA ROCHA </t>
  </si>
  <si>
    <t>62993051361</t>
  </si>
  <si>
    <t xml:space="preserve">RUA ORTENCIA QD 73 LT 04 PALMARES </t>
  </si>
  <si>
    <t xml:space="preserve">VALDIVINO PAULO DA SILVA </t>
  </si>
  <si>
    <t>62995474433 OU 62991476029</t>
  </si>
  <si>
    <t>RUA PRIMULA QD 49 LT 06 PALMARES</t>
  </si>
  <si>
    <t>JULIA CAROLINE RODRIGUES DA SILVA</t>
  </si>
  <si>
    <t>62992830538 OU 62992929670</t>
  </si>
  <si>
    <t>AVENIDA QD 79 LT 03 SÃO BERNARDO 2</t>
  </si>
  <si>
    <t xml:space="preserve">NAIARA LUCIA DO NASCIMENTO </t>
  </si>
  <si>
    <t>62994983646 OU 62991224773</t>
  </si>
  <si>
    <t xml:space="preserve">RUA SB 53 QD 88 LT 41 CS 1 SÃO BERNARDO </t>
  </si>
  <si>
    <t>Angela Maria dos Santos</t>
  </si>
  <si>
    <t>62995597035</t>
  </si>
  <si>
    <t xml:space="preserve">Qd. 36 Lt.07  St. Palmares </t>
  </si>
  <si>
    <t>GEOVANA VITORIA RIBEIRO</t>
  </si>
  <si>
    <t>62991455250</t>
  </si>
  <si>
    <t>RUA GIRASSOL QD. 55 LT 21 ST. PALMARES</t>
  </si>
  <si>
    <t>ENZO SAMUEL JESUS SANTOS</t>
  </si>
  <si>
    <t>62991940643'</t>
  </si>
  <si>
    <t>RUA SB 55 QD 102 LT 23 SÃO BERNARDO</t>
  </si>
  <si>
    <t>Natação</t>
  </si>
  <si>
    <t>MILTON NETO BORGES DA SILVA</t>
  </si>
  <si>
    <t>62995643615</t>
  </si>
  <si>
    <t>RUA SB 54 QD 90 LT 57 SÃO BERNARDO</t>
  </si>
  <si>
    <t>HADASSAH DO OLIVEIRA SILVA</t>
  </si>
  <si>
    <t>RUA SB 54 QD 90 LT 37 SÃO BERNARDO 2</t>
  </si>
  <si>
    <t>HASAF DE OLIVEIRA BISPO DA SILVA</t>
  </si>
  <si>
    <t>RUA SB 54 QE 90 LT37 SÃO BERNARDO 2</t>
  </si>
  <si>
    <t>ANA SOFIA SANTOS LAGO</t>
  </si>
  <si>
    <t>62982512118</t>
  </si>
  <si>
    <t>RUA SB 51 QD 58 LT57 SÃO BERNARDO 2</t>
  </si>
  <si>
    <t>ALICE SILVA CRUZ</t>
  </si>
  <si>
    <t>62992149118</t>
  </si>
  <si>
    <t>RUA SB 52 QD 61 LT 18 CASA 2 SÃO BERNARDO</t>
  </si>
  <si>
    <t>MARIA EDUARDA SANTOS LAGO</t>
  </si>
  <si>
    <t>RUA SB 51 QD 58 LT 57 SÃO BERNARDO 2</t>
  </si>
  <si>
    <t>KASSIANE RIOS CARVALHO</t>
  </si>
  <si>
    <t>62992724005</t>
  </si>
  <si>
    <t>RUA SB 40 QD 75 LT 26 SÃO  BERNARDO</t>
  </si>
  <si>
    <t>SOPHIA RIOS ALMEIDA</t>
  </si>
  <si>
    <t>IZA GONSALVES BASSOS</t>
  </si>
  <si>
    <t>62996270330</t>
  </si>
  <si>
    <t>RUA SB 49 QD 66 LT 21 SÃO BERNARDO 2</t>
  </si>
  <si>
    <t>SOPHYA MANUELLY MACEDO GONSALVES</t>
  </si>
  <si>
    <t xml:space="preserve">RUA SB 43 QD 66 LT 21 SÃO BERNARDO 2 </t>
  </si>
  <si>
    <t>THOMAS GABRIEL SETUBOL NUNES</t>
  </si>
  <si>
    <t>62992260343</t>
  </si>
  <si>
    <t>RUA SB 40 QD 70 LT 01 SÃO BERNARDO 2</t>
  </si>
  <si>
    <t xml:space="preserve">HYTALLO HERRIQUE SETUBOL BATISTA </t>
  </si>
  <si>
    <t>62991928086</t>
  </si>
  <si>
    <t xml:space="preserve">ARTHUR VIRGILIO CARNEIRO SETUBOL </t>
  </si>
  <si>
    <t>RUA SB 39 QD 52 LT 23 SÃO BERNARDO</t>
  </si>
  <si>
    <t>JEFFERSON BRUNNO CARNEIRO SETUBOL</t>
  </si>
  <si>
    <t>LOUSE SOPHIA CARVALHO DE OLIVEIRA</t>
  </si>
  <si>
    <t>62992001683</t>
  </si>
  <si>
    <t>RUA PAPOULA QD 65 LT 12 PALMARES</t>
  </si>
  <si>
    <t>RYAN RODRIGUES DE OLIVEIRA</t>
  </si>
  <si>
    <t>CILMARIA DOS SANOS ALVES</t>
  </si>
  <si>
    <t>63984123258</t>
  </si>
  <si>
    <t>RUA RBD 4 QD  8 LT 9</t>
  </si>
  <si>
    <t>GEOVANA SANTOS COELHO</t>
  </si>
  <si>
    <t>RUA RBD 4 QD  8 LT 9 RESID. DOM BOSCO</t>
  </si>
  <si>
    <t>DAFINE SOPHIA FERREIRA MARTINS</t>
  </si>
  <si>
    <t>62995254198</t>
  </si>
  <si>
    <t>RUA SB 58 QD 87 LT 01 SÃO BERNARDO</t>
  </si>
  <si>
    <t>JOLEMA SOUZA MARTINS</t>
  </si>
  <si>
    <t xml:space="preserve">MARIA DE LURDES PEREIRA </t>
  </si>
  <si>
    <t>62992939461</t>
  </si>
  <si>
    <t>RUA GIRASSOL QD 61 LT 07 PALMARES</t>
  </si>
  <si>
    <t>NICOLLAS MAGALHÃES SAMPAIO</t>
  </si>
  <si>
    <t>RUA: SB40 QD 68 LT 20, SÃO BERNARDO II</t>
  </si>
  <si>
    <t>GAEL RODRIGUES DO VALE</t>
  </si>
  <si>
    <t>62 992273878</t>
  </si>
  <si>
    <t>RUA MAGNOLIA QD 28 LT 19</t>
  </si>
  <si>
    <t>ANA BEATRIZ SOARES TAVARES</t>
  </si>
  <si>
    <t>62 999374941</t>
  </si>
  <si>
    <t>GRACIELE CARNEIRO DE SOUZA</t>
  </si>
  <si>
    <t>62 991329400</t>
  </si>
  <si>
    <t>RUA ALAMEDA ASSUCENA, QD 09 LT 10, PALMARES</t>
  </si>
  <si>
    <t>JOÃO LUCAS DA SILVA MELO MEIRELES</t>
  </si>
  <si>
    <t>62 994044550</t>
  </si>
  <si>
    <t>RUA LUIZ TAVARES LINS QD 74 LT 29, PALMARES</t>
  </si>
  <si>
    <t xml:space="preserve">DEUSIVANIA MOREIRA DE SOUZA </t>
  </si>
  <si>
    <t>62 994976234</t>
  </si>
  <si>
    <t>RUA ALAMEDA DAS ACACIAS QD 65 LT 20, PALMARES</t>
  </si>
  <si>
    <t>KEVIN OLIVEIRA COELHO</t>
  </si>
  <si>
    <t>62 992495837</t>
  </si>
  <si>
    <t>RUA PAPOULA QD 38 LT 15, PALMARES</t>
  </si>
  <si>
    <t>SOFIA OLIVEIRA COELHO</t>
  </si>
  <si>
    <t>DEBORA ESTER CARVALHO DE OLIVEIRA</t>
  </si>
  <si>
    <t>62 993564123</t>
  </si>
  <si>
    <t>RUA DALIA QD031 LT08, PALMARES</t>
  </si>
  <si>
    <t>SAMUEL LUCAS CARVALHO DE OLIVEIRA</t>
  </si>
  <si>
    <t xml:space="preserve">LARA ARAUJO FIDELIS </t>
  </si>
  <si>
    <t>62 991621184</t>
  </si>
  <si>
    <t>RUA SB19 QD 49 LT 15, SÃO BERNARDO</t>
  </si>
  <si>
    <t>GUILHERME RODRIGO DA SILVA</t>
  </si>
  <si>
    <t>62 994487367</t>
  </si>
  <si>
    <t>PAINEIRAS</t>
  </si>
  <si>
    <t>EMANUELA BASTOS DA CONCEIÇÃO</t>
  </si>
  <si>
    <t>62 985791852</t>
  </si>
  <si>
    <t>RUA SB QD 52 LT 04, SÃO BERNARDO</t>
  </si>
  <si>
    <t>KIARA OLIVEIRA DOS SANTOS</t>
  </si>
  <si>
    <t>62 993718885</t>
  </si>
  <si>
    <t>RUA SB55 QD 104 LT 10, SÃO BERNARDO</t>
  </si>
  <si>
    <t>GUILHERME OLIVEIRA DOS SANTOS</t>
  </si>
  <si>
    <t>DAVI LUIS NASCIMENTO SOUZA</t>
  </si>
  <si>
    <t>62 992610499</t>
  </si>
  <si>
    <t>RUA SB50 QD 57 LT 27, SÃO BERNARDO</t>
  </si>
  <si>
    <t>62 998788336</t>
  </si>
  <si>
    <t>RUA ANGELICA QD70 LT 13, PALMARES</t>
  </si>
  <si>
    <t>ANA BEATRIZ COSTA SOUZA</t>
  </si>
  <si>
    <t xml:space="preserve">ISAC MIGUEL SILVA DE MOURA </t>
  </si>
  <si>
    <t>62 995315031</t>
  </si>
  <si>
    <t>RUA ALAMEDA DAS ACACIAS QD 64 LT 01, PALMARES</t>
  </si>
  <si>
    <t>ANA JULIA SILVA BENTO</t>
  </si>
  <si>
    <t xml:space="preserve">DEBORA ALMEIDA DOS SANTOS </t>
  </si>
  <si>
    <t>62 991239135</t>
  </si>
  <si>
    <t>RUA SB57 QD 106 LT 03, SÃO BERNARDO II</t>
  </si>
  <si>
    <t xml:space="preserve">MAITE FIRMINO DOS SANTOS </t>
  </si>
  <si>
    <t>62 993301690</t>
  </si>
  <si>
    <t>RUA SB40 QD 65 LT 01, SÃO BERNARDO</t>
  </si>
  <si>
    <t xml:space="preserve">NICOLAS GABRIEL </t>
  </si>
  <si>
    <t>62 993334325</t>
  </si>
  <si>
    <t xml:space="preserve">KARINA MANUELY REIS DA COSTA </t>
  </si>
  <si>
    <t>62 995602379</t>
  </si>
  <si>
    <t>RUA SB50 QD 58 LT 14, SÃO BERNARDO II</t>
  </si>
  <si>
    <t>LEONARDO HENRIQUE AVELINO PEREIRA DOS SANTOS</t>
  </si>
  <si>
    <t>62 991089390</t>
  </si>
  <si>
    <t>RUA CONTORNO QD 01 LT 04 PALMARES</t>
  </si>
  <si>
    <t>PEDRO HENRIQUE CRISTINO DE OLIVEIRA</t>
  </si>
  <si>
    <t>62 992001683</t>
  </si>
  <si>
    <t>RUA PAPOULA QD 65 LT 10, PALMARES</t>
  </si>
  <si>
    <t>MARIA CECILIA BASTOS DA CONCEIÇÃO</t>
  </si>
  <si>
    <t>62 985791851</t>
  </si>
  <si>
    <t>RUA SB52 QD 61 LT 04, SÃO BERNARDO</t>
  </si>
  <si>
    <t xml:space="preserve">ANA LAURA TEIXEIRA DA SILVA </t>
  </si>
  <si>
    <t>62 995633200</t>
  </si>
  <si>
    <t>RUA SB39 QD 52 LT 25, SÃO BERNARDO</t>
  </si>
  <si>
    <t>ROBERT GOMES VALE JUNIOR</t>
  </si>
  <si>
    <t>62 992037029</t>
  </si>
  <si>
    <t xml:space="preserve">LORENZO MARTINS AGUIAR </t>
  </si>
  <si>
    <t>62 991673588</t>
  </si>
  <si>
    <t>RUA GIRASSOL QD 33 LT 24 ST. PALMARES</t>
  </si>
  <si>
    <t>MARIA JULIA REIS FEITOSA</t>
  </si>
  <si>
    <t xml:space="preserve">ISAQUE FERREIRA CAMARGO </t>
  </si>
  <si>
    <t>62 995713702</t>
  </si>
  <si>
    <t>RUA SB64 QD 94 LT 35, SÃO BERNARDO II</t>
  </si>
  <si>
    <t>62 991476029</t>
  </si>
  <si>
    <t>VALENTINA SILVA SANTOS</t>
  </si>
  <si>
    <t>JORDANA ALVES DOS SANTOS</t>
  </si>
  <si>
    <t>62 991347936</t>
  </si>
  <si>
    <t>RUA MAGNOLIA QD 28 LT 14, PALMARES</t>
  </si>
  <si>
    <t>HIAGO SOUZA BARBOSA</t>
  </si>
  <si>
    <t>62 992769495</t>
  </si>
  <si>
    <t>RUA T2 QD 08 LT 26, TRIUNFO II</t>
  </si>
  <si>
    <t>MARLENE RODRIGUES DE SOUSA</t>
  </si>
  <si>
    <t>62 995494396</t>
  </si>
  <si>
    <t>RUA MAGNOLIA QD 42 LT 11, PALMARES</t>
  </si>
  <si>
    <t>MARIA RAIMUNDA RODRIGUES DE SOUSA</t>
  </si>
  <si>
    <t>62 99455000+6</t>
  </si>
  <si>
    <t>RUA SB49 QD 65 LT 09, SÃO BERNARDO</t>
  </si>
  <si>
    <t>RUA HORTENCIA QD 49 LT 11, PALMARES</t>
  </si>
  <si>
    <t xml:space="preserve">ISAAC LOPES BARBOSA </t>
  </si>
  <si>
    <t>62 992815525</t>
  </si>
  <si>
    <t>RUA SB15 QD 25 LT 37, SÃO BERNARDO</t>
  </si>
  <si>
    <t>GUILHERME RHOGER DE A. P JUNIOR</t>
  </si>
  <si>
    <t>62 994396065</t>
  </si>
  <si>
    <t>RUA SB53 QD 89 LT 33, SÃO BERNARDO</t>
  </si>
  <si>
    <t>SEBATIANA MARIA DA SILVA</t>
  </si>
  <si>
    <t>62 995158298</t>
  </si>
  <si>
    <t>RUA ARTENISIA QD 73 LT 02, PALMARES</t>
  </si>
  <si>
    <t xml:space="preserve">ANA LAURA RIBEIRO FERRAZ </t>
  </si>
  <si>
    <t>62 992772737</t>
  </si>
  <si>
    <t>RUA ALAMEDA DAS ACACIAS, PALMARES</t>
  </si>
  <si>
    <t>PALMARES</t>
  </si>
  <si>
    <t>62 992509273</t>
  </si>
  <si>
    <t>SÃO FRANCISCO</t>
  </si>
  <si>
    <t xml:space="preserve">DELMIRO CALIXTO DA SILVA </t>
  </si>
  <si>
    <t>TIPHANNY AURORA COSTA PEREIRA</t>
  </si>
  <si>
    <t>RUA SB18 QD 29 LT 24, SÃO BERNARDO</t>
  </si>
  <si>
    <t>EMILLY VITORIA RODRIGUES DE ARAUJO</t>
  </si>
  <si>
    <t>62 994805921</t>
  </si>
  <si>
    <t>RUA SB53 QD 101 LT 28, SÃO BERNARDO</t>
  </si>
  <si>
    <t xml:space="preserve">JAMILLE ALVES DOS SANTOS </t>
  </si>
  <si>
    <t>ANA VITORIA MARTINS SOUZA</t>
  </si>
  <si>
    <t>62 991520843</t>
  </si>
  <si>
    <t>RUA ALAMEDA DAS ACACIAS QD 103 LT 33</t>
  </si>
  <si>
    <t>ANA LUIZA MARTINS SOUZA</t>
  </si>
  <si>
    <t>ANA JULIA MARTINS SOUZA</t>
  </si>
  <si>
    <t>ISAAC NUNES CARVALHO MACHADO</t>
  </si>
  <si>
    <t>RUA SB56 QD 52 LT 13</t>
  </si>
  <si>
    <t>ISAAC HERIQUE LEAL CAETANO</t>
  </si>
  <si>
    <t>62 984661204</t>
  </si>
  <si>
    <t>RUA SÃO JOSÉ QD. 139 LT 16 ST. MAYSA II</t>
  </si>
  <si>
    <t xml:space="preserve">VICTOR GABRIEL RIBEIRO SIQUEIRA </t>
  </si>
  <si>
    <t>62 994802166</t>
  </si>
  <si>
    <t>RUA VIOLETA QD21 LT 01 PALMARES</t>
  </si>
  <si>
    <t>MARIA CLARA FIDÊNCIA SILVA ANASTÁCIO</t>
  </si>
  <si>
    <t>62 994658845</t>
  </si>
  <si>
    <t>AVENIDA DAS PALMAS QD 82 LT 07 PALMARES</t>
  </si>
  <si>
    <t>HUGO VINÍCIOS DE SOUSA OLIVEIRA</t>
  </si>
  <si>
    <t>62 991400950</t>
  </si>
  <si>
    <t>RUA BS 49 QD 51 LT 01</t>
  </si>
  <si>
    <t>ARTHUR SANTOS MONTEIRO</t>
  </si>
  <si>
    <t>62 993385274</t>
  </si>
  <si>
    <t>CONDOMINIO VIDA BELA QD 03 CASA 88</t>
  </si>
  <si>
    <t>THALYNE OLIVEIRA CAMARGO</t>
  </si>
  <si>
    <t>RUA AÇUCENA QD 1 LT 09 ST PALMARES</t>
  </si>
  <si>
    <t xml:space="preserve">CECILIA ALVES SILVA </t>
  </si>
  <si>
    <t>62 994039344</t>
  </si>
  <si>
    <t>RUA RSP 6 QD 30 LT 01 SOLAR DAS PAINEIRAS</t>
  </si>
  <si>
    <t>PEDRO MIGUEL DA SILVA NASCIMENTO</t>
  </si>
  <si>
    <t xml:space="preserve">HEITOR ALVES SILVA </t>
  </si>
  <si>
    <t>62 99403 9344</t>
  </si>
  <si>
    <t>RUA RSP6 QD 50 LT 01 SOLAR PAINEIRAS</t>
  </si>
  <si>
    <t>HELENA TONHATEI CONTIERI</t>
  </si>
  <si>
    <t>62 998416555</t>
  </si>
  <si>
    <t>RUA SANTO ÂNTONIO QD 180 LT 09A MAYSA 03</t>
  </si>
  <si>
    <t xml:space="preserve">EMANUELLY TONHATI RODRIGUES DA SILVA </t>
  </si>
  <si>
    <t>62 995581696</t>
  </si>
  <si>
    <t xml:space="preserve">GABRIELA SILVA DE OLIVEIRA </t>
  </si>
  <si>
    <t>RUA GIRASSOL QD 59 LT18 ST PALMARES</t>
  </si>
  <si>
    <t xml:space="preserve">PIETRO SANTIAGO SOUSA </t>
  </si>
  <si>
    <t>62 991101108</t>
  </si>
  <si>
    <t>RUA SB 55 QD 108 LT 15 SÃO BERNARDO</t>
  </si>
  <si>
    <t>ELIENE MARIA DO CARMO SANTANA</t>
  </si>
  <si>
    <t>62 992898270</t>
  </si>
  <si>
    <t>RUA: SB47 QD 69 LT 38, SÃO BERNARDO II</t>
  </si>
  <si>
    <t>Funcional</t>
  </si>
  <si>
    <t xml:space="preserve">KARINA MANUELY REIS COSTA </t>
  </si>
  <si>
    <t>RUA SB50 QD 58 LT 14, SÃO BERNARDO</t>
  </si>
  <si>
    <t>MYLENNA RIBEIRO DE MATOS</t>
  </si>
  <si>
    <t>62 99101416</t>
  </si>
  <si>
    <t>RUA SB52 QD 61 LT 04, SÃO BERNARDO II</t>
  </si>
  <si>
    <t xml:space="preserve">MIKALLY OLIVEIRA ROCHA </t>
  </si>
  <si>
    <t>62 9937760</t>
  </si>
  <si>
    <t>RUA SB52QD 61 LT 04, SÃO BERNARDO</t>
  </si>
  <si>
    <t>DANIELLY RIBEIRO SANTOS</t>
  </si>
  <si>
    <t>62 84076833</t>
  </si>
  <si>
    <t>DORCA BELMIRO ROSA DOS SANTOS</t>
  </si>
  <si>
    <t>62 985066920</t>
  </si>
  <si>
    <t>RUA 03 QD 81 LT 02, PALMARES</t>
  </si>
  <si>
    <t xml:space="preserve">JOELMA SOUSA MARTINS </t>
  </si>
  <si>
    <t>62 995254198</t>
  </si>
  <si>
    <t>RUA SB58 QD 87 LT 01, SÃO BERNARDO</t>
  </si>
  <si>
    <t>ROSIMEIRE DA SILVA E SOUSA</t>
  </si>
  <si>
    <t>62 994609072</t>
  </si>
  <si>
    <t xml:space="preserve">MAGUIANA FERREIRA DE ANDRADE </t>
  </si>
  <si>
    <t>62 981476610</t>
  </si>
  <si>
    <t>RUA: ALAMEDA DAS ACACIAS, QD 103 LT 29 SÃO BERNARDO</t>
  </si>
  <si>
    <t xml:space="preserve">GECIKA ALVES BORGES </t>
  </si>
  <si>
    <t>62 991779886</t>
  </si>
  <si>
    <t>RUA ALAMEDA ADALCINO XAVIER QD 108 LT 13, SÃO BERNARDO</t>
  </si>
  <si>
    <t>BRUNA SILVA DOS SANTOS</t>
  </si>
  <si>
    <t>RUA SB57 QD 106 LT 03 SÃO BERNARDO II</t>
  </si>
  <si>
    <t xml:space="preserve">LARY ESTEFFENER DOS SANTOS </t>
  </si>
  <si>
    <t>62 992567871</t>
  </si>
  <si>
    <t>RUA SB57 QD 106 LT 02 SÃO BERNARDO II</t>
  </si>
  <si>
    <t>ROSIETE BERNARDO FERREIRA</t>
  </si>
  <si>
    <t>62 991959362</t>
  </si>
  <si>
    <t>RUA SB55 QD 108 LT 14, SÃO BERNARDO</t>
  </si>
  <si>
    <t xml:space="preserve">ANA CASSIA SOARES DA SILVA </t>
  </si>
  <si>
    <t>62 991608024</t>
  </si>
  <si>
    <t>RUA SB55 QD 105 LT 40, SÃO BERNARDO</t>
  </si>
  <si>
    <t>JULIANA VALADARES ARAUJO</t>
  </si>
  <si>
    <t>62 992191910</t>
  </si>
  <si>
    <t>RUA SB63QD 86 LT 08, SÃO BERNARDO</t>
  </si>
  <si>
    <t xml:space="preserve">EDELZUITA JESUS DE SANTANA </t>
  </si>
  <si>
    <t>62 986007584</t>
  </si>
  <si>
    <t>RUA SB47 QD 67 LT 12, SÃO BERNARDO</t>
  </si>
  <si>
    <t xml:space="preserve"> SCARLET OANA DE JESUS OLIVEIRA</t>
  </si>
  <si>
    <t xml:space="preserve"> 62 986007584</t>
  </si>
  <si>
    <t>JACKELINE ALVES DOS SANTOS</t>
  </si>
  <si>
    <t>62 994814818</t>
  </si>
  <si>
    <t>RUA DAS VIOLETAS QD 32 LT 23, PALMARES</t>
  </si>
  <si>
    <t>LILIAN AVELINO SILVA SANTOS</t>
  </si>
  <si>
    <t>CRISTIANE MONTEIRO SANTOS</t>
  </si>
  <si>
    <t>62 991193810</t>
  </si>
  <si>
    <t>RUA SB55 QD 104 LT 03, SÃO BERNANRDO</t>
  </si>
  <si>
    <t>JANICE ARAUJO DOS SANTOS ROCHA</t>
  </si>
  <si>
    <t xml:space="preserve">MARIA DA CONCEIÇÃO </t>
  </si>
  <si>
    <t>RUA GIRASSOL QD 59 LT 18 ST.PALMARES</t>
  </si>
  <si>
    <t xml:space="preserve">ELIZANGELA FIQUEIREDO V </t>
  </si>
  <si>
    <t>RUA SB51 QD 59 LT 06 SÃO BERNARDO</t>
  </si>
  <si>
    <t>ROSANA GERMANO</t>
  </si>
  <si>
    <t>62 992007929</t>
  </si>
  <si>
    <t>RUA ALAMEDA BEGONIA QD 18 LT 03, PALMARES</t>
  </si>
  <si>
    <t>62 994394028</t>
  </si>
  <si>
    <t>RUA SB57 QD 106 LT 11, SÃO BERNARDO</t>
  </si>
  <si>
    <t xml:space="preserve">EDNA SOARES SANTOS ROCHA </t>
  </si>
  <si>
    <t>62 992237689</t>
  </si>
  <si>
    <t>MAYSA II</t>
  </si>
  <si>
    <t>HELEN KARINE TRINDADE REIS</t>
  </si>
  <si>
    <t>62 992737029</t>
  </si>
  <si>
    <t>DELIA NASCIMENTO SOUZA</t>
  </si>
  <si>
    <t xml:space="preserve">KESIA BRASIL FERRAZ </t>
  </si>
  <si>
    <t>RUA ALAMEDA DAS ACACIAS QD 36 LT 21, PALMARES</t>
  </si>
  <si>
    <t xml:space="preserve">DORAILDE REIS SILVA CRUZ </t>
  </si>
  <si>
    <t>62 992149118</t>
  </si>
  <si>
    <t>RUA SB52 QD 61 LT 18, SÃO BERNARDO</t>
  </si>
  <si>
    <t>SANDRA ROBERTA DA COSTA</t>
  </si>
  <si>
    <t>62995725779</t>
  </si>
  <si>
    <t>RUA SB40 QD 63 LT 06, SÃO BERNARDO</t>
  </si>
  <si>
    <t xml:space="preserve">EDILEIDE DA SILVA SANTOS </t>
  </si>
  <si>
    <t>62 994228003</t>
  </si>
  <si>
    <t>AVENIDA LIRÍOS QD 43 LT 02 ST. PALMARES</t>
  </si>
  <si>
    <t>ROBERTA DOS SANTOS AZEVEDO</t>
  </si>
  <si>
    <t>DEBORA CRISTINA DOS SANTOS REIS</t>
  </si>
  <si>
    <t>62 991375577</t>
  </si>
  <si>
    <t>RUA SB 32 QD 32 LT 30 S. BERNARDO</t>
  </si>
  <si>
    <t>VIVIANE SOUSA DE OLIVEIRA</t>
  </si>
  <si>
    <t>62 984960812</t>
  </si>
  <si>
    <t xml:space="preserve">KAROLINA SILVA GONÇALVEZ </t>
  </si>
  <si>
    <t>62 996270330</t>
  </si>
  <si>
    <t>RUA SB49 QD 66 LT 21, SÃO BERNARDO</t>
  </si>
  <si>
    <t>MARIA DIVINA FERREIRA RAMOS</t>
  </si>
  <si>
    <t>62 991700097</t>
  </si>
  <si>
    <t>RUA SB49 QD 66 LT 03, SÃO BERNANRDO</t>
  </si>
  <si>
    <t xml:space="preserve">MILENA CHAVES DA SILVA </t>
  </si>
  <si>
    <t>62 992500274</t>
  </si>
  <si>
    <t>RUA MAGNOLIA QD.42 LTO6 ST. PALMARES</t>
  </si>
  <si>
    <t>CIBELLE SANTOS SILVA</t>
  </si>
  <si>
    <t>RUA LUIZ TAVARES LINS QD.74 LT 27 ST. PALMARES</t>
  </si>
  <si>
    <t>ESTHER JULLY FEITOSA DE GUABIRABA</t>
  </si>
  <si>
    <t>62 992219024</t>
  </si>
  <si>
    <t xml:space="preserve">KAROLAYNNE SANTOS </t>
  </si>
  <si>
    <t>62 992793008</t>
  </si>
  <si>
    <t xml:space="preserve">Jessica Pereira dos Santos </t>
  </si>
  <si>
    <t>Rua Papoula Qd. 09 Lt. 08 St. Palmares</t>
  </si>
  <si>
    <t>Edivânia Rodrigues</t>
  </si>
  <si>
    <t>Jananina Santana de Oliveira</t>
  </si>
  <si>
    <t>62995370681</t>
  </si>
  <si>
    <t>Rua SB 57, Qd 100 Lt 10 St. São Bernardo</t>
  </si>
  <si>
    <t>Maria Solangem Bezerra</t>
  </si>
  <si>
    <t>62994816164</t>
  </si>
  <si>
    <t>Rua SB 47, Qd 67 Lt.16 St. São Bernardo II</t>
  </si>
  <si>
    <t>WESLAINE PERCILO</t>
  </si>
  <si>
    <t>GESSICA Filha da Weslaine Percilo</t>
  </si>
  <si>
    <t>EMANUELI GONSALVES SABATH</t>
  </si>
  <si>
    <t>62992329026</t>
  </si>
  <si>
    <t>JULIA PEREIRA SABATH</t>
  </si>
  <si>
    <t>Helaine silva santas</t>
  </si>
  <si>
    <t>av. lirio QD 43 LT 02 ST. PALMARES</t>
  </si>
  <si>
    <t>DEBORA ALMEIDA DOS SANTOS</t>
  </si>
  <si>
    <t>GISELE VIEIRA</t>
  </si>
  <si>
    <t>ROSILENE GERMANO</t>
  </si>
  <si>
    <t>62991310672</t>
  </si>
  <si>
    <t>ALAMEDA BEGONIA QD. 17 LT.01. ST. PALMARES</t>
  </si>
  <si>
    <t>ADRIANA DA CONCEIÇÃO</t>
  </si>
  <si>
    <t>62993790078</t>
  </si>
  <si>
    <t>RUA SB57 QD 100 LT 06, SÃO BERNARDO II</t>
  </si>
  <si>
    <t>JACSON DA SILVA SANTOS</t>
  </si>
  <si>
    <t>62 992667256</t>
  </si>
  <si>
    <t>AV ALAMEDA DAS DIVA</t>
  </si>
  <si>
    <t>Hidroginastica</t>
  </si>
  <si>
    <t>MARIA DE LOURDES GERMANO DA SILVA</t>
  </si>
  <si>
    <t>62 991661815</t>
  </si>
  <si>
    <t>AV DOS PINHEIROS QD 13 LT 02, SOLAR DAS PAINEIRAS</t>
  </si>
  <si>
    <t>OLINDA LOPES COSTA</t>
  </si>
  <si>
    <t>PEDRO TIAGO DE SOUSA F</t>
  </si>
  <si>
    <t>62 995426706</t>
  </si>
  <si>
    <t>RUA SB64 LT 33, SÃO BERNARDO</t>
  </si>
  <si>
    <t>GELCINA PEREIRA DE SOUZA</t>
  </si>
  <si>
    <t>CINTIA RODRIGUES SANTOS</t>
  </si>
  <si>
    <t>62 992929670</t>
  </si>
  <si>
    <t>AV DI OLIVEIRA QD 79 LT 03, SÃO BERNARDO</t>
  </si>
  <si>
    <t xml:space="preserve">NAYANE ARAUJO DA SILVA </t>
  </si>
  <si>
    <t>62 993417184</t>
  </si>
  <si>
    <t>RAIMUNDA LOPES BARBOSA</t>
  </si>
  <si>
    <t xml:space="preserve">JULINHA TEXEIRA </t>
  </si>
  <si>
    <t>RUA SF73 QD.91 LT25 SOLAR SÃO FRANCISCO</t>
  </si>
  <si>
    <t>TEREZINHA AVELINO DE OLIVEIRA</t>
  </si>
  <si>
    <t>RUA CONTORNO QD.01 LT.04 ST. PALMARES</t>
  </si>
  <si>
    <t xml:space="preserve">JOÃO VIEIRA DE ALMEIDA </t>
  </si>
  <si>
    <t>ALEXANDRE HENRIQUE AVELINO</t>
  </si>
  <si>
    <t>62 9 91089390</t>
  </si>
  <si>
    <t>LILIAN AVELINO SILVA</t>
  </si>
  <si>
    <t xml:space="preserve">TATYANNY PEREIRA PASSOS </t>
  </si>
  <si>
    <t>62 994145715</t>
  </si>
  <si>
    <t>RUA SP17 QD.18 LT.05 SOLAR DAS PAINEIRAS</t>
  </si>
  <si>
    <t>ARCANJA RODRIGUES DE SOUZA</t>
  </si>
  <si>
    <t>62 991574280</t>
  </si>
  <si>
    <t>AVENIDA LÍRIO QD.42 LT02 ST. PALMARES</t>
  </si>
  <si>
    <t>DANIELA DA PIEDADE COSTA</t>
  </si>
  <si>
    <t>RUA ANGELICA QD.70 LT13 CASA 01 ST. PALMARES</t>
  </si>
  <si>
    <t xml:space="preserve">APARECIDA FERREIRA NETO </t>
  </si>
  <si>
    <t>62 995658845</t>
  </si>
  <si>
    <t>RUA IRIS QD QD 51 LT 23 ST. PALMARES</t>
  </si>
  <si>
    <t>MARIA ZILMA BRASIL</t>
  </si>
  <si>
    <t>ALAMEDA DAS ACÁCIAS QD.36 LT 21 ST. PALMARES</t>
  </si>
  <si>
    <t>JESSICA ALVES  BORGES</t>
  </si>
  <si>
    <t>RUA SB56 QD. 108 LT.13 SÃO BERNARDO</t>
  </si>
  <si>
    <t>WESLAYNNE CERCILO BORGES</t>
  </si>
  <si>
    <t>RUA SB56. QD.108 LT13</t>
  </si>
  <si>
    <t>RUA SB55 QD.108 LT.15 SÃO BERNARDO 2</t>
  </si>
  <si>
    <t xml:space="preserve">SHIRLEY DE JESUS </t>
  </si>
  <si>
    <t>62 992998020</t>
  </si>
  <si>
    <t>RUA SB52 QD.61 LT04 SÃO BERNADO 2</t>
  </si>
  <si>
    <t xml:space="preserve">IVA FERREIRA BISPO </t>
  </si>
  <si>
    <t>62 993718284</t>
  </si>
  <si>
    <t>RUA SB50 QD.58 LT10 SÃO BERNARDO 2</t>
  </si>
  <si>
    <t xml:space="preserve">MARINALVA FERREIRA SALES </t>
  </si>
  <si>
    <t>62 99402 1548</t>
  </si>
  <si>
    <t>RUA SP11 QD.48 LT.36  SOLAR DAS PAINEIRAS</t>
  </si>
  <si>
    <t xml:space="preserve">ROSANA GERMANO </t>
  </si>
  <si>
    <t>ALAMEDA BEGÔNIA QD. 18 LT 03 ST. PALMARES</t>
  </si>
  <si>
    <t xml:space="preserve">ROSILENE GERMANO </t>
  </si>
  <si>
    <t>62 991310672</t>
  </si>
  <si>
    <t>GABRIELA DA SILVA DO VALE</t>
  </si>
  <si>
    <t>62996510983</t>
  </si>
  <si>
    <t xml:space="preserve">RUA MAGNOLIA QD 28 LT 19 SETOR PALMARES </t>
  </si>
  <si>
    <t>6299667256</t>
  </si>
  <si>
    <t xml:space="preserve">ALAMEDA DR DIVA SETOR PALMARES </t>
  </si>
  <si>
    <t xml:space="preserve">MARTA  DUCA CARAPINA </t>
  </si>
  <si>
    <t>62993926349</t>
  </si>
  <si>
    <t xml:space="preserve">RUA PAPOULA QD 35 LT 16 SETOR PALMARES </t>
  </si>
  <si>
    <t xml:space="preserve">LARISSA DE PAULA NASCIMENTO </t>
  </si>
  <si>
    <t>RUA SPG QD30 LT 01 SOLAR DAS PAINEIRAS</t>
  </si>
  <si>
    <t>RUA AÇUCENA QD01 LT09 CASA 01 ST. PALMARES</t>
  </si>
  <si>
    <t xml:space="preserve">KAROLINA SILVA GONCALVES </t>
  </si>
  <si>
    <t>62996270830</t>
  </si>
  <si>
    <t xml:space="preserve">RUA SB 49 QD 66 LT 21 SETOR PALMARES </t>
  </si>
  <si>
    <t xml:space="preserve">DENISE APARECIDA GODOI MOREIRA </t>
  </si>
  <si>
    <t>62 992866886</t>
  </si>
  <si>
    <t>RUA CRISÂNTEMO QD 44 LT 09 ST. PALMARES</t>
  </si>
  <si>
    <t xml:space="preserve">CREUSOLETE PEREIRA SILVA </t>
  </si>
  <si>
    <t>RUA RSP6 QD 30 LT 01 S. DAS PAINEIRAS</t>
  </si>
  <si>
    <t xml:space="preserve">MARIA DIVINA JESSICA RAMOS </t>
  </si>
  <si>
    <t>62991700097</t>
  </si>
  <si>
    <t xml:space="preserve">RUA SB 49 QD 66 LT 03 SÃO BERNARDO </t>
  </si>
  <si>
    <t xml:space="preserve">DANIELA DA PIEDADE COSTA </t>
  </si>
  <si>
    <t>ODILAINE DE JESUS LIMA</t>
  </si>
  <si>
    <t>62981076927</t>
  </si>
  <si>
    <t xml:space="preserve">RUA SB 47 QD 69 LT 33 SÃO BERNARDO 2 </t>
  </si>
  <si>
    <t>JAILMA DOURADO DA SILVA</t>
  </si>
  <si>
    <t xml:space="preserve">RUA SB 14 QD 32 LT 02 SÃO BERNARDO </t>
  </si>
  <si>
    <t xml:space="preserve">MARIA LUCIA BARROS DE SOUZA </t>
  </si>
  <si>
    <t>62993220349</t>
  </si>
  <si>
    <t>RUA SB 63 QD 94 LT 01 SÃO BERNARDO 2</t>
  </si>
  <si>
    <t>NORMALINA ARAUJO DA SILVA</t>
  </si>
  <si>
    <t>62991621184</t>
  </si>
  <si>
    <t>RUA SB 19 QD 49 LT 15 SÃO BERNARDO</t>
  </si>
  <si>
    <t xml:space="preserve">PRISCILA MEIRE PEREZ </t>
  </si>
  <si>
    <t>62992977584</t>
  </si>
  <si>
    <t>RUA PETUNIA QD 62 LT 01</t>
  </si>
  <si>
    <t xml:space="preserve">IRACEMA MARIA DE CORTE REAL DELGADO </t>
  </si>
  <si>
    <t>62981133304</t>
  </si>
  <si>
    <t xml:space="preserve">RUA ANGELICA QD 69 LT 03 PALMARES </t>
  </si>
  <si>
    <t xml:space="preserve">JOSE CLARINDO DE SOUSA </t>
  </si>
  <si>
    <t>62991346771        NETA;62995355380       NETO;62991297292</t>
  </si>
  <si>
    <t>RUA SB QD 66 LT 35 SÃO BERNARDO 1</t>
  </si>
  <si>
    <t xml:space="preserve">RUA PAPOULA QD 35 LT 21 SETOR PALMARES </t>
  </si>
  <si>
    <t>FRANCIVANIA FERREIRA BISPO</t>
  </si>
  <si>
    <t>62992941776</t>
  </si>
  <si>
    <t>RUA SB 64 QD 82 LT 38 SÃO BERNARDO 2</t>
  </si>
  <si>
    <t xml:space="preserve">SONIA REGINA SILVA VERA </t>
  </si>
  <si>
    <t>62994508887</t>
  </si>
  <si>
    <t>RUA RSP 5 QD 17 LT 17 SOLAR DAS PAINEIRAS</t>
  </si>
  <si>
    <t>DINAIR LACERDA OLIVEIRA</t>
  </si>
  <si>
    <t>62991785552</t>
  </si>
  <si>
    <t>RUA RSP28 QD 18 LT 08 SOLAR DAS PAINEIRAS</t>
  </si>
  <si>
    <t>JOELMA SOUSA MARTINS</t>
  </si>
  <si>
    <t xml:space="preserve">RUA SB 58 QD 87 LT 01 SÃO BERNARDO </t>
  </si>
  <si>
    <t>62994499462</t>
  </si>
  <si>
    <t>RUA ALAMEDA DAS ACACIAS QD 37 LT 01 PALMARES</t>
  </si>
  <si>
    <t xml:space="preserve">RUA MARGARIDA QD 61 LT 10 PALMARES </t>
  </si>
  <si>
    <t xml:space="preserve">LAINA DIAS PEREIRA DA SILVA </t>
  </si>
  <si>
    <t>62994447484</t>
  </si>
  <si>
    <t>NATALIA GONSALVES SOUZA</t>
  </si>
  <si>
    <t>62995735878</t>
  </si>
  <si>
    <t>RUA SÃO JOSÉ QD. 139 LT 17 MAYSA II</t>
  </si>
  <si>
    <t>JOSINA GONSALVES DE SOUSA</t>
  </si>
  <si>
    <t>KAUAN DE SOUSA OLIVEIRA</t>
  </si>
  <si>
    <t>62 991460950</t>
  </si>
  <si>
    <t>RUA SB 49 QD 51  LT 01 S. BERNARDO II</t>
  </si>
  <si>
    <t>Karatè</t>
  </si>
  <si>
    <t xml:space="preserve">ALEXYA SOPHIA DE CASTRO </t>
  </si>
  <si>
    <t>62 993333268</t>
  </si>
  <si>
    <t>RUA CRISÂTEMO QD 04 LT 04 ST. PALMARES</t>
  </si>
  <si>
    <t>ARTHUR PHELLYPE MOREIRA ROCHA</t>
  </si>
  <si>
    <t>RUA SB50 QD 58 LT 14 S. BERNARDO II</t>
  </si>
  <si>
    <t>HEITOR ALEXANDRE RODRIGUES  S. LEITE</t>
  </si>
  <si>
    <t>62 993947336</t>
  </si>
  <si>
    <t>RUA GIRASSOL QD 60 LT 05 ST PALMARES</t>
  </si>
  <si>
    <t>Karatê</t>
  </si>
  <si>
    <t xml:space="preserve">ANA CLARA RODRIGUES DOS SANTOS </t>
  </si>
  <si>
    <t>62 992828070</t>
  </si>
  <si>
    <t>RUA 4 QD 5 LT 02 PALMARES</t>
  </si>
  <si>
    <t xml:space="preserve">ALANA VALENTINA RODRIGUES DOS SANTOS </t>
  </si>
  <si>
    <t>62 993740089</t>
  </si>
  <si>
    <t>RUA SB 19 QD 37 LT 32 S. BERNARDO I</t>
  </si>
  <si>
    <t xml:space="preserve">ALICE SANTOS MONTEIRO </t>
  </si>
  <si>
    <t>CONDOMÍNIO VIDA BELA  I C.88</t>
  </si>
  <si>
    <t>LAURA GABRIELLE RODRIGUES DOS SANTOS</t>
  </si>
  <si>
    <t>AVENIDA DAS PALMAS</t>
  </si>
  <si>
    <t>EZEQUIEL FERNANDES AGUIAR</t>
  </si>
  <si>
    <t>62 998056105</t>
  </si>
  <si>
    <t>RUA SB40 QD 75 LT 25 S. BERNARDO II</t>
  </si>
  <si>
    <t>MARIA CLARA FIDÊNCIO SILVA ANASTÁCIO</t>
  </si>
  <si>
    <t>AVENIDA DAS PALMAS QD82 LT 07 S. BERN II</t>
  </si>
  <si>
    <t>LUIZ AUGUSTO RIBEIRO DA SILVA</t>
  </si>
  <si>
    <t>62 985472652 PAI</t>
  </si>
  <si>
    <t>SÃO BERNARDO II</t>
  </si>
  <si>
    <t xml:space="preserve">ANA LUIZA RODRIGUES DO SANTOS </t>
  </si>
  <si>
    <t xml:space="preserve">GAEL FERNANDES AGUIAR </t>
  </si>
  <si>
    <t xml:space="preserve">ESTHER JULLY FEITOSA DE GUABIRABA                                                              12/08/2010        62 992219024                                                                                                    Karatê                                                                                                                                                                      </t>
  </si>
  <si>
    <t>ISRAEL FERNANDES AGUIAR</t>
  </si>
  <si>
    <t xml:space="preserve">ROSE CARDOSO DA CONCEICAO </t>
  </si>
  <si>
    <t>62985791852</t>
  </si>
  <si>
    <t xml:space="preserve">RUA SB 52 QD 61 LT 04 SÃO BERNARDO </t>
  </si>
  <si>
    <t>DAVI LUIS SILVA DE JESUS</t>
  </si>
  <si>
    <t>62 991324767</t>
  </si>
  <si>
    <t>RUA RPB 13 QD 20 LT 25 ST PALMARES</t>
  </si>
  <si>
    <t xml:space="preserve">KELVIN HENRIQUE DA SILVA DA SILVA </t>
  </si>
  <si>
    <t>62 984704676</t>
  </si>
  <si>
    <t xml:space="preserve">RUA RPB 6 QD 10 LT 31 DOM BOSCO </t>
  </si>
  <si>
    <t>VICTOR DE SOUZA AMORIM</t>
  </si>
  <si>
    <t>62 993072928</t>
  </si>
  <si>
    <t>RUA PAPOULA QD 38 LT 10 ST PALMARES</t>
  </si>
  <si>
    <t>VINÍCIUS DE SOUZA AMORIM</t>
  </si>
  <si>
    <t xml:space="preserve">VITOR GABRIEL TEIXEIRA </t>
  </si>
  <si>
    <t>RUA SP 33 QD 53 LT21 S. BERNARDO II</t>
  </si>
  <si>
    <t>ISAQUE ARAUJO MILHOMEM</t>
  </si>
  <si>
    <t>62 991298660</t>
  </si>
  <si>
    <t>RUA; SB40 QD 73 LT 26, SÃO BERNARDO II</t>
  </si>
  <si>
    <t xml:space="preserve">JOÃO LUCAS PEREIRA </t>
  </si>
  <si>
    <t>62 994612150</t>
  </si>
  <si>
    <t>RUA FLORES DA PAINEIRA QD 18 AP402</t>
  </si>
  <si>
    <t xml:space="preserve">EMANUELA ANDRADE MENDES </t>
  </si>
  <si>
    <t>ALAMEDA  DAS ACACIAS QD 37 LT 19 PALMARES</t>
  </si>
  <si>
    <t>62 995604467</t>
  </si>
  <si>
    <t>PAULO DE SOUSA OLIVEIRA</t>
  </si>
  <si>
    <t>Capoeira</t>
  </si>
  <si>
    <t>DAYANE SANTOS SOUSA</t>
  </si>
  <si>
    <t>62 984145688</t>
  </si>
  <si>
    <t>RUA; MAGNOLIA QD 29 LT 06, PALMARES</t>
  </si>
  <si>
    <t>Dança</t>
  </si>
  <si>
    <t>67 991310672</t>
  </si>
  <si>
    <t>ALAMEDA BEGONIA QD.18 LT 03 ST. PALMARES</t>
  </si>
  <si>
    <t>MARCELLA KAMILLY NERES CORREIA</t>
  </si>
  <si>
    <t>62 995425954</t>
  </si>
  <si>
    <t>RUA GIRASSOL QD.08 LT07 ST. PALMARES</t>
  </si>
  <si>
    <t>NILDEANE SILVA CARVALHO</t>
  </si>
  <si>
    <t>62 992607549</t>
  </si>
  <si>
    <t>RUASB56 QD. 108 LT06 SÃO BERNARDO 2</t>
  </si>
  <si>
    <t>ISABELA RODRIGUES RIBEIRO</t>
  </si>
  <si>
    <t>62 995666207</t>
  </si>
  <si>
    <t xml:space="preserve">LETÍCIA DO NASCIMENTO </t>
  </si>
  <si>
    <t>62 992137864</t>
  </si>
  <si>
    <t>RUA NARCISO QD.01 LT 10 CASA 2 ST. PALMARES</t>
  </si>
  <si>
    <t xml:space="preserve">JAMINES SANTOS DE SOUZA </t>
  </si>
  <si>
    <t>62 91786996</t>
  </si>
  <si>
    <t>RUA JC 312 QD.26 AP. 103 BLOCO I R.DALIA CERRADO7</t>
  </si>
  <si>
    <t>VANESSA CARVALHO COSTA</t>
  </si>
  <si>
    <t>62 993382070</t>
  </si>
  <si>
    <t>RUA RS QD.O5 LT 26  RECANTO SONHADO</t>
  </si>
  <si>
    <t>CRISTIANE DOS SANTOS RODRIGUES</t>
  </si>
  <si>
    <t>62 992920729</t>
  </si>
  <si>
    <t>RUA SB56 QD,52 LT. 08 SÃO BERNARDO</t>
  </si>
  <si>
    <t>SANDY BALBINA DE SOUZA</t>
  </si>
  <si>
    <t>62 993085913</t>
  </si>
  <si>
    <t>RUA GIRASSOL QD.12 LT14 ST. PALMARES</t>
  </si>
  <si>
    <t>EDELZITA DE JESUS SANTANA</t>
  </si>
  <si>
    <t>62 999273558</t>
  </si>
  <si>
    <t>RUA SB47 QD. 67 LT. 12 SÃO BERNARDO 2</t>
  </si>
  <si>
    <t>ROSINEINE DA SILVA E SOUSA</t>
  </si>
  <si>
    <t>RUA SB55. LT108 LT15 SÃO BERNARDO</t>
  </si>
  <si>
    <t>EDELZUITA DE SANTANA</t>
  </si>
  <si>
    <t>62 984477225</t>
  </si>
  <si>
    <t>SÃO BERNARDO</t>
  </si>
  <si>
    <t>ROSIETE BERNARDO FERREIRA DE OLIVEIRA</t>
  </si>
  <si>
    <t>62991959362</t>
  </si>
  <si>
    <t>RUA SB QD105 LT 40 SÃO BERNARDO</t>
  </si>
  <si>
    <t>CARLA MONTEIRO DE BARROS</t>
  </si>
  <si>
    <t>62 995034132</t>
  </si>
  <si>
    <t>RUA ALMEDA DAS ACÁCIAS QD.104 LT 27 SÃO BERNARDO</t>
  </si>
  <si>
    <t xml:space="preserve">LAYANE JÚLIA DOS SANTOS </t>
  </si>
  <si>
    <t>62 994277075</t>
  </si>
  <si>
    <t>RUA SB49 QD.66 LT27 SÃO BERNARDO</t>
  </si>
  <si>
    <t xml:space="preserve">NAILDES BORGES </t>
  </si>
  <si>
    <t>LÁZARO GÁRCIA LOPES QD.08 LT31 BANDEIRANTES</t>
  </si>
  <si>
    <t>EDILENE DA CONCEIÇÃO</t>
  </si>
  <si>
    <t>62 985165247</t>
  </si>
  <si>
    <t>RUA SB QD.89 LT33 SÃO BERNARDO</t>
  </si>
  <si>
    <t>MARIA FIANA SILVA</t>
  </si>
  <si>
    <t>62 992418851</t>
  </si>
  <si>
    <t>RUA JOSÉ FRANCISCO SOARES 25 LT 02 CASA3 BANDEIRANTES</t>
  </si>
  <si>
    <t>RUA RSP17 QD.18 LT 05 SOLAR DA PAINEIRAS</t>
  </si>
  <si>
    <t>KESÍA BRASIL FERRAZ RIBEIRO</t>
  </si>
  <si>
    <t>62992772737</t>
  </si>
  <si>
    <t xml:space="preserve">VANUZA OLIVEIRA </t>
  </si>
  <si>
    <t>62 993447806</t>
  </si>
  <si>
    <t>RUA SB58 QD.85 LT29 SÃO BERNARDO</t>
  </si>
  <si>
    <t xml:space="preserve">TAYNA DIAS FERREIRA </t>
  </si>
  <si>
    <t>62 994447448</t>
  </si>
  <si>
    <t>RUA MARGARIDA QD.63 LT09 PALMARES</t>
  </si>
  <si>
    <t>JESSICA ALVES BORGES</t>
  </si>
  <si>
    <t>ALAMEDA XAVIER QD.108 LT.13 SÃO BERNARDO</t>
  </si>
  <si>
    <t>RUA SB55 QD.104 LT03 SÃO BERNARDO</t>
  </si>
  <si>
    <t>ANA CASSIA SOARES DA SILVA</t>
  </si>
  <si>
    <t>RUA SS QD.105 LT 40 SÃO BERNARDO</t>
  </si>
  <si>
    <t>GABRIEL DOS SANTOS REIS</t>
  </si>
  <si>
    <t>62 981276990</t>
  </si>
  <si>
    <t>RUA SB63. QD.86 LT 08 SÃO BERNARDO</t>
  </si>
  <si>
    <t>SCARLET OHANDA DE JESUS OLIVEIRA</t>
  </si>
  <si>
    <t>RUA SB.47 QD.67 LT 12 SÃO BERNARDO 2</t>
  </si>
  <si>
    <t xml:space="preserve">THAYNARA </t>
  </si>
  <si>
    <t>62 994769619</t>
  </si>
  <si>
    <t>AVENIDA LÍRIOS QD.55 LT10 ST. PALMARES</t>
  </si>
  <si>
    <t xml:space="preserve">JULIANA VALADAES DE ARAÚJO </t>
  </si>
  <si>
    <t>RUA SB63 QD.86 LT.08 SÃO BERNARDO 2</t>
  </si>
  <si>
    <t xml:space="preserve">KAROLINA SILVA GONÇALVES </t>
  </si>
  <si>
    <t>RUA SB.49 QD.66 LT.21 SÃO BERNARDO 2</t>
  </si>
  <si>
    <t>FRANCINA GOMES RIBEIRO</t>
  </si>
  <si>
    <t>62 994523807</t>
  </si>
  <si>
    <t>RUASB 49 QD.99 LT06 SÃO BERNARDO</t>
  </si>
  <si>
    <t>RUA SB.55 QD.104 LT03 SÃO BERNARDO</t>
  </si>
  <si>
    <t>RUA GIRASSOL PALMARES</t>
  </si>
  <si>
    <t xml:space="preserve">TEREZA BALBINA DE JESUS </t>
  </si>
  <si>
    <t>62 991497397</t>
  </si>
  <si>
    <t>ADRIANA DA CONCEICAO</t>
  </si>
  <si>
    <t>RUA SB57 QD 100 LT 06 SÃO BERNARDO 2</t>
  </si>
  <si>
    <t xml:space="preserve">ELIZANGELA DE OLIVEIRA PEREIRA </t>
  </si>
  <si>
    <t>62994413367</t>
  </si>
  <si>
    <t xml:space="preserve">RUA CRISANTEMO QD 50 LT 08 PALMARES </t>
  </si>
  <si>
    <t xml:space="preserve">RUA SB 14QD 32 LT 02 SÃO BERNARDO </t>
  </si>
  <si>
    <t xml:space="preserve">CARMEN DOS REIS ALVES </t>
  </si>
  <si>
    <t>62984123258</t>
  </si>
  <si>
    <t>RUA RDB 04 QD 08 LT 09 DON BOSCO</t>
  </si>
  <si>
    <t xml:space="preserve">VILMA </t>
  </si>
  <si>
    <t>62991320042</t>
  </si>
  <si>
    <t>RUA SB 55 QD 109 LT 07 SÃO BERNARDO 2</t>
  </si>
  <si>
    <t xml:space="preserve">GRACIELE CARNEIRO DE SOUZA </t>
  </si>
  <si>
    <t>62993486188</t>
  </si>
  <si>
    <t>RUA ALAMEDA ACUCENA QD 09 LT 10 CASA 03 PALMARES</t>
  </si>
  <si>
    <t>PATRICIA SOARES DOS SANTOS</t>
  </si>
  <si>
    <t>62994891075</t>
  </si>
  <si>
    <t>THAYNARA CRISTINA SOARES DA SILVA</t>
  </si>
  <si>
    <t>LEYDE JANE DA CONCEICAO RODRIGUES</t>
  </si>
  <si>
    <t>62991079780</t>
  </si>
  <si>
    <t>ALAMEDA DAS ACACIAS SÃO BERNARDO</t>
  </si>
  <si>
    <t>WESLLAYNE PERCILIO BORGES</t>
  </si>
  <si>
    <t>62994590436</t>
  </si>
  <si>
    <t>RUA SB QD 108 LT 13 SÃO BERNARDO</t>
  </si>
  <si>
    <t xml:space="preserve">SOPHYA EMANUELLY MASCEDO GONCALVES </t>
  </si>
  <si>
    <t xml:space="preserve">ROSILDA DOS SANTOS </t>
  </si>
  <si>
    <t>62985820627</t>
  </si>
  <si>
    <t>RUA SF 62 QD 40 CS 1 SOLAR SÃO FRANCISCO</t>
  </si>
  <si>
    <t xml:space="preserve">CLEDINA </t>
  </si>
  <si>
    <t>62993743621</t>
  </si>
  <si>
    <t>GENEROSA CAMELO DA SILVA CARTEZ</t>
  </si>
  <si>
    <t>62994255355</t>
  </si>
  <si>
    <t>RUA MAGNOLIA QD 29 LT 07 PALMARES</t>
  </si>
  <si>
    <t xml:space="preserve">DAYANE SANTOS SOUSA </t>
  </si>
  <si>
    <t>62984145688</t>
  </si>
  <si>
    <t>RUA MAGNOLIA QD 29 LT 06 PALMARES</t>
  </si>
  <si>
    <t xml:space="preserve">63 984123258 </t>
  </si>
  <si>
    <t>RUA; RDB 04 QD 08 LT 09</t>
  </si>
  <si>
    <t>Bombeiro mirim</t>
  </si>
  <si>
    <t>KALLEBE FERREIRA NASCIMENTO</t>
  </si>
  <si>
    <t>14/03/2017</t>
  </si>
  <si>
    <t>RUA GIRASSOL QD 33 LT 25 ST. PALMARES</t>
  </si>
  <si>
    <t>ANDRÉ GOMES FERREIRA</t>
  </si>
  <si>
    <t>AVENIDA DAS PALMAS  QD 33 LT 04</t>
  </si>
  <si>
    <t>15/05/2014</t>
  </si>
  <si>
    <t>RUA AÇUCENA QD 01 LT 09 ST. PALMARES</t>
  </si>
  <si>
    <t>MILTON NETO BORGES</t>
  </si>
  <si>
    <t>62 995643615</t>
  </si>
  <si>
    <t xml:space="preserve">RUA SB 54 QD 90 LT 37 SÃO BERNARDO II </t>
  </si>
  <si>
    <t>RANYELLY RAMOS DE SOUZA</t>
  </si>
  <si>
    <t>ALAMEDA AÇUCENA  QD 1 LT 09 CS 01 SETOR PALMARES</t>
  </si>
  <si>
    <t>JOÃO GABRIEL NUNES DA SILVA JESUS</t>
  </si>
  <si>
    <t>15/06/2012</t>
  </si>
  <si>
    <t>62 991588795</t>
  </si>
  <si>
    <t>RUA PETÚNIA QD 65 LT 02 ST PALMARES</t>
  </si>
  <si>
    <t>Bomveiro mirim</t>
  </si>
  <si>
    <t>VALENTINA EMANUELA S. DA C.MEIRELES</t>
  </si>
  <si>
    <t>62 992758405</t>
  </si>
  <si>
    <t>ALAMEDA DAS ACACIAS QD 109 LT 01 S. BERNA</t>
  </si>
  <si>
    <t>DAVI EMANUELL SOUZA DA SILVA</t>
  </si>
  <si>
    <t>62 993560010</t>
  </si>
  <si>
    <t>RUA  SB32 QD 31 LOT 29 S.BERNARDO</t>
  </si>
  <si>
    <t>MAYCON DOUGLAS PEREIRA DOS SANTOS</t>
  </si>
  <si>
    <t>STEFANY MARIA SILVA OLIVEIRA</t>
  </si>
  <si>
    <t>Selecione o mês →</t>
  </si>
  <si>
    <t>MARÇO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</si>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</sst>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hh:mm"/>
    <numFmt numFmtId="166" formatCode="mm/dd/yyyy"/>
    <numFmt numFmtId="167" formatCode="dd/mm"/>
    <numFmt numFmtId="168" formatCode="yyyy-mm-dd h:mm:ss"/>
  </numFmts>
  <fonts count="4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</border>
    <border>
      <right style="thin">
        <color rgb="FF284E3F"/>
      </right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1" numFmtId="0" xfId="0" applyAlignment="1" applyBorder="1" applyFont="1">
      <alignment horizontal="left" vertical="center"/>
    </xf>
    <xf borderId="3" fillId="0" fontId="1" numFmtId="0" xfId="0" applyAlignment="1" applyBorder="1" applyFont="1">
      <alignment horizontal="left" vertical="center"/>
    </xf>
    <xf borderId="0" fillId="0" fontId="2" numFmtId="0" xfId="0" applyFont="1"/>
    <xf borderId="4" fillId="0" fontId="1" numFmtId="0" xfId="0" applyAlignment="1" applyBorder="1" applyFont="1">
      <alignment vertical="center"/>
    </xf>
    <xf borderId="0" fillId="0" fontId="2" numFmtId="164" xfId="0" applyAlignment="1" applyFont="1" applyNumberFormat="1">
      <alignment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5" fillId="0" fontId="1" numFmtId="165" xfId="0" applyAlignment="1" applyBorder="1" applyFont="1" applyNumberFormat="1">
      <alignment horizontal="left" vertical="center"/>
    </xf>
    <xf borderId="4" fillId="0" fontId="1" numFmtId="0" xfId="0" applyAlignment="1" applyBorder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166" xfId="0" applyAlignment="1" applyFont="1" applyNumberFormat="1">
      <alignment horizontal="left" readingOrder="0" vertical="center"/>
    </xf>
    <xf borderId="5" fillId="0" fontId="1" numFmtId="165" xfId="0" applyAlignment="1" applyBorder="1" applyFont="1" applyNumberFormat="1">
      <alignment horizontal="left" readingOrder="0" vertical="center"/>
    </xf>
    <xf borderId="6" fillId="0" fontId="1" numFmtId="0" xfId="0" applyAlignment="1" applyBorder="1" applyFont="1">
      <alignment vertical="center"/>
    </xf>
    <xf borderId="7" fillId="0" fontId="2" numFmtId="164" xfId="0" applyAlignment="1" applyBorder="1" applyFont="1" applyNumberFormat="1">
      <alignment vertical="center"/>
    </xf>
    <xf borderId="7" fillId="0" fontId="1" numFmtId="49" xfId="0" applyAlignment="1" applyBorder="1" applyFont="1" applyNumberFormat="1">
      <alignment vertical="center"/>
    </xf>
    <xf borderId="7" fillId="0" fontId="1" numFmtId="0" xfId="0" applyAlignment="1" applyBorder="1" applyFont="1">
      <alignment vertical="center"/>
    </xf>
    <xf borderId="7" fillId="0" fontId="1" numFmtId="0" xfId="0" applyAlignment="1" applyBorder="1" applyFont="1">
      <alignment horizontal="left" vertical="center"/>
    </xf>
    <xf borderId="8" fillId="0" fontId="1" numFmtId="165" xfId="0" applyAlignment="1" applyBorder="1" applyFont="1" applyNumberFormat="1">
      <alignment horizontal="left" vertical="center"/>
    </xf>
    <xf borderId="7" fillId="0" fontId="1" numFmtId="167" xfId="0" applyAlignment="1" applyBorder="1" applyFont="1" applyNumberFormat="1">
      <alignment horizontal="left" vertical="center"/>
    </xf>
    <xf borderId="9" fillId="0" fontId="1" numFmtId="0" xfId="0" applyAlignment="1" applyBorder="1" applyFont="1">
      <alignment vertical="center"/>
    </xf>
    <xf borderId="10" fillId="0" fontId="2" numFmtId="164" xfId="0" applyAlignment="1" applyBorder="1" applyFont="1" applyNumberFormat="1">
      <alignment vertical="center"/>
    </xf>
    <xf borderId="10" fillId="0" fontId="1" numFmtId="0" xfId="0" applyAlignment="1" applyBorder="1" applyFont="1">
      <alignment vertical="center"/>
    </xf>
    <xf borderId="10" fillId="0" fontId="1" numFmtId="0" xfId="0" applyAlignment="1" applyBorder="1" applyFont="1">
      <alignment horizontal="left" vertical="center"/>
    </xf>
    <xf borderId="11" fillId="0" fontId="1" numFmtId="165" xfId="0" applyAlignment="1" applyBorder="1" applyFont="1" applyNumberFormat="1">
      <alignment horizontal="left" vertical="center"/>
    </xf>
    <xf borderId="10" fillId="0" fontId="1" numFmtId="167" xfId="0" applyAlignment="1" applyBorder="1" applyFont="1" applyNumberFormat="1">
      <alignment horizontal="left" vertical="center"/>
    </xf>
    <xf borderId="0" fillId="0" fontId="1" numFmtId="167" xfId="0" applyAlignment="1" applyFont="1" applyNumberFormat="1">
      <alignment horizontal="left" vertical="center"/>
    </xf>
    <xf borderId="10" fillId="0" fontId="1" numFmtId="49" xfId="0" applyAlignment="1" applyBorder="1" applyFont="1" applyNumberFormat="1">
      <alignment vertical="center"/>
    </xf>
    <xf borderId="8" fillId="0" fontId="1" numFmtId="0" xfId="0" applyAlignment="1" applyBorder="1" applyFont="1">
      <alignment horizontal="left" vertical="center"/>
    </xf>
    <xf borderId="11" fillId="0" fontId="1" numFmtId="0" xfId="0" applyAlignment="1" applyBorder="1" applyFont="1">
      <alignment horizontal="left" vertical="center"/>
    </xf>
    <xf borderId="5" fillId="0" fontId="1" numFmtId="0" xfId="0" applyAlignment="1" applyBorder="1" applyFont="1">
      <alignment horizontal="left" vertical="center"/>
    </xf>
    <xf borderId="0" fillId="0" fontId="1" numFmtId="49" xfId="0" applyAlignment="1" applyFont="1" applyNumberFormat="1">
      <alignment readingOrder="0" vertical="center"/>
    </xf>
    <xf borderId="10" fillId="0" fontId="2" numFmtId="164" xfId="0" applyAlignment="1" applyBorder="1" applyFont="1" applyNumberFormat="1">
      <alignment readingOrder="0" vertical="center"/>
    </xf>
    <xf borderId="9" fillId="0" fontId="1" numFmtId="0" xfId="0" applyAlignment="1" applyBorder="1" applyFont="1">
      <alignment readingOrder="0" vertical="center"/>
    </xf>
    <xf borderId="12" fillId="0" fontId="1" numFmtId="0" xfId="0" applyAlignment="1" applyBorder="1" applyFont="1">
      <alignment vertical="center"/>
    </xf>
    <xf borderId="13" fillId="0" fontId="2" numFmtId="164" xfId="0" applyAlignment="1" applyBorder="1" applyFont="1" applyNumberFormat="1">
      <alignment vertical="center"/>
    </xf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horizontal="left" vertical="center"/>
    </xf>
    <xf borderId="14" fillId="0" fontId="1" numFmtId="0" xfId="0" applyAlignment="1" applyBorder="1" applyFont="1">
      <alignment horizontal="left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left" vertical="center"/>
    </xf>
    <xf borderId="0" fillId="0" fontId="2" numFmtId="166" xfId="0" applyAlignment="1" applyFont="1" applyNumberFormat="1">
      <alignment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1" numFmtId="0" xfId="0" applyFont="1"/>
    <xf borderId="1" fillId="2" fontId="1" numFmtId="0" xfId="0" applyAlignment="1" applyBorder="1" applyFill="1" applyFont="1">
      <alignment horizontal="left" vertical="center"/>
    </xf>
    <xf borderId="2" fillId="2" fontId="1" numFmtId="164" xfId="0" applyAlignment="1" applyBorder="1" applyFont="1" applyNumberFormat="1">
      <alignment horizontal="left" vertical="center"/>
    </xf>
    <xf borderId="2" fillId="2" fontId="1" numFmtId="49" xfId="0" applyAlignment="1" applyBorder="1" applyFont="1" applyNumberFormat="1">
      <alignment horizontal="left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left" vertical="center"/>
    </xf>
    <xf borderId="0" fillId="2" fontId="2" numFmtId="0" xfId="0" applyFont="1"/>
    <xf borderId="0" fillId="2" fontId="1" numFmtId="0" xfId="0" applyFont="1"/>
    <xf borderId="10" fillId="0" fontId="1" numFmtId="168" xfId="0" applyAlignment="1" applyBorder="1" applyFont="1" applyNumberFormat="1">
      <alignment vertical="center"/>
    </xf>
    <xf borderId="11" fillId="0" fontId="1" numFmtId="0" xfId="0" applyAlignment="1" applyBorder="1" applyFont="1">
      <alignment vertical="center"/>
    </xf>
    <xf borderId="7" fillId="0" fontId="1" numFmtId="168" xfId="0" applyAlignment="1" applyBorder="1" applyFont="1" applyNumberFormat="1">
      <alignment vertical="center"/>
    </xf>
    <xf borderId="8" fillId="0" fontId="1" numFmtId="0" xfId="0" applyAlignment="1" applyBorder="1" applyFont="1">
      <alignment vertical="center"/>
    </xf>
    <xf borderId="0" fillId="0" fontId="1" numFmtId="0" xfId="0" applyFont="1"/>
    <xf borderId="0" fillId="0" fontId="1" numFmtId="49" xfId="0" applyFont="1" applyNumberFormat="1"/>
    <xf borderId="15" fillId="0" fontId="1" numFmtId="168" xfId="0" applyAlignment="1" applyBorder="1" applyFont="1" applyNumberFormat="1">
      <alignment vertical="center"/>
    </xf>
    <xf borderId="0" fillId="0" fontId="2" numFmtId="164" xfId="0" applyFont="1" applyNumberFormat="1"/>
    <xf borderId="0" fillId="0" fontId="2" numFmtId="49" xfId="0" applyFont="1" applyNumberFormat="1"/>
    <xf borderId="0" fillId="0" fontId="1" numFmtId="164" xfId="0" applyFont="1" applyNumberFormat="1"/>
    <xf borderId="0" fillId="0" fontId="1" numFmtId="49" xfId="0" applyFont="1" applyNumberFormat="1"/>
    <xf borderId="0" fillId="0" fontId="3" numFmtId="0" xfId="0" applyFont="1"/>
    <xf borderId="0" fillId="0" fontId="3" numFmtId="164" xfId="0" applyFont="1" applyNumberFormat="1"/>
    <xf borderId="0" fillId="0" fontId="3" numFmtId="49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Cadastro-style">
      <tableStyleElement dxfId="1" type="headerRow"/>
      <tableStyleElement dxfId="2" type="firstRowStripe"/>
      <tableStyleElement dxfId="3" type="secondRowStripe"/>
    </tableStyle>
    <tableStyle count="2" pivot="0" name="Cadastro-style 2">
      <tableStyleElement dxfId="2" type="firstRowStripe"/>
      <tableStyleElement dxfId="3" type="secondRowStripe"/>
    </tableStyle>
    <tableStyle count="3" pivot="0" name="Aniversariant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52" displayName="Table_1" name="Table_1" id="1">
  <tableColumns count="7">
    <tableColumn name="NOME" id="1"/>
    <tableColumn name="DATA DE NASCIMENTO" id="2"/>
    <tableColumn name="TELEFONE" id="3"/>
    <tableColumn name="ENDEREÇO" id="4"/>
    <tableColumn name="ATIVIDADE" id="5"/>
    <tableColumn name="DATA MATRICULA" id="6"/>
    <tableColumn name="TURMA" id="7"/>
  </tableColumns>
  <tableStyleInfo name="Cadastro-style" showColumnStripes="0" showFirstColumn="1" showLastColumn="1" showRowStripes="1"/>
</table>
</file>

<file path=xl/tables/table2.xml><?xml version="1.0" encoding="utf-8"?>
<table xmlns="http://schemas.openxmlformats.org/spreadsheetml/2006/main" headerRowCount="0" ref="A453:G457" displayName="Table_2" name="Table_2" id="2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Cadastro-style 2" showColumnStripes="0" showFirstColumn="1" showLastColumn="1" showRowStripes="1"/>
</table>
</file>

<file path=xl/tables/table3.xml><?xml version="1.0" encoding="utf-8"?>
<table xmlns="http://schemas.openxmlformats.org/spreadsheetml/2006/main" headerRowCount="0" ref="A3:E32" displayName="Table_3" 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Aniversariante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3.0"/>
    <col customWidth="1" min="2" max="2" width="31.86"/>
    <col customWidth="1" min="3" max="3" width="20.86"/>
    <col customWidth="1" min="4" max="4" width="43.0"/>
    <col customWidth="1" min="5" max="5" width="17.71"/>
    <col customWidth="1" min="6" max="6" width="18.86"/>
    <col customWidth="1" min="7" max="7" width="13.4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7</v>
      </c>
      <c r="B2" s="6">
        <v>41280.0</v>
      </c>
      <c r="C2" s="7" t="s">
        <v>8</v>
      </c>
      <c r="D2" s="8" t="s">
        <v>9</v>
      </c>
      <c r="E2" s="8" t="s">
        <v>10</v>
      </c>
      <c r="F2" s="9"/>
      <c r="G2" s="10">
        <v>0.375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11</v>
      </c>
      <c r="B3" s="6">
        <v>40914.0</v>
      </c>
      <c r="C3" s="7" t="s">
        <v>12</v>
      </c>
      <c r="D3" s="8" t="s">
        <v>13</v>
      </c>
      <c r="E3" s="8" t="s">
        <v>10</v>
      </c>
      <c r="F3" s="9" t="s">
        <v>14</v>
      </c>
      <c r="G3" s="10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1" t="s">
        <v>15</v>
      </c>
      <c r="B4" s="12">
        <v>41558.0</v>
      </c>
      <c r="C4" s="7"/>
      <c r="D4" s="13" t="s">
        <v>16</v>
      </c>
      <c r="E4" s="13" t="s">
        <v>10</v>
      </c>
      <c r="F4" s="14">
        <v>45878.0</v>
      </c>
      <c r="G4" s="15">
        <v>0.625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17</v>
      </c>
      <c r="B5" s="6">
        <v>40051.0</v>
      </c>
      <c r="C5" s="7" t="s">
        <v>18</v>
      </c>
      <c r="D5" s="8" t="s">
        <v>19</v>
      </c>
      <c r="E5" s="8" t="s">
        <v>10</v>
      </c>
      <c r="F5" s="9"/>
      <c r="G5" s="10">
        <v>0.375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20</v>
      </c>
      <c r="B6" s="6">
        <v>41774.0</v>
      </c>
      <c r="C6" s="7" t="s">
        <v>21</v>
      </c>
      <c r="D6" s="8" t="s">
        <v>22</v>
      </c>
      <c r="E6" s="8" t="s">
        <v>10</v>
      </c>
      <c r="F6" s="9"/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23</v>
      </c>
      <c r="B7" s="6">
        <v>41376.0</v>
      </c>
      <c r="C7" s="7" t="s">
        <v>24</v>
      </c>
      <c r="D7" s="8" t="s">
        <v>25</v>
      </c>
      <c r="E7" s="8" t="s">
        <v>10</v>
      </c>
      <c r="F7" s="9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26</v>
      </c>
      <c r="B8" s="6">
        <v>40825.0</v>
      </c>
      <c r="C8" s="7" t="s">
        <v>21</v>
      </c>
      <c r="D8" s="8" t="s">
        <v>22</v>
      </c>
      <c r="E8" s="8" t="s">
        <v>10</v>
      </c>
      <c r="F8" s="9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27</v>
      </c>
      <c r="B9" s="6">
        <v>40094.0</v>
      </c>
      <c r="C9" s="7" t="s">
        <v>28</v>
      </c>
      <c r="D9" s="8" t="s">
        <v>29</v>
      </c>
      <c r="E9" s="8" t="s">
        <v>10</v>
      </c>
      <c r="F9" s="9"/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5" t="s">
        <v>30</v>
      </c>
      <c r="B10" s="6">
        <v>41517.0</v>
      </c>
      <c r="C10" s="7" t="s">
        <v>31</v>
      </c>
      <c r="D10" s="8"/>
      <c r="E10" s="8" t="s">
        <v>10</v>
      </c>
      <c r="F10" s="9" t="s">
        <v>32</v>
      </c>
      <c r="G10" s="10">
        <v>0.375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5" t="s">
        <v>33</v>
      </c>
      <c r="B11" s="6">
        <v>41498.0</v>
      </c>
      <c r="C11" s="7" t="s">
        <v>34</v>
      </c>
      <c r="D11" s="8" t="s">
        <v>35</v>
      </c>
      <c r="E11" s="8" t="s">
        <v>10</v>
      </c>
      <c r="F11" s="9" t="s">
        <v>32</v>
      </c>
      <c r="G11" s="10">
        <v>0.375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5" t="s">
        <v>36</v>
      </c>
      <c r="B12" s="6">
        <v>40791.0</v>
      </c>
      <c r="C12" s="7" t="s">
        <v>37</v>
      </c>
      <c r="D12" s="8" t="s">
        <v>38</v>
      </c>
      <c r="E12" s="8" t="s">
        <v>10</v>
      </c>
      <c r="F12" s="9" t="s">
        <v>32</v>
      </c>
      <c r="G12" s="10">
        <v>0.375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5" t="s">
        <v>39</v>
      </c>
      <c r="B13" s="6">
        <v>42808.0</v>
      </c>
      <c r="C13" s="7" t="s">
        <v>40</v>
      </c>
      <c r="D13" s="8" t="s">
        <v>41</v>
      </c>
      <c r="E13" s="8" t="s">
        <v>10</v>
      </c>
      <c r="F13" s="9" t="s">
        <v>14</v>
      </c>
      <c r="G13" s="10">
        <v>0.375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6" t="s">
        <v>42</v>
      </c>
      <c r="B14" s="17">
        <v>41232.0</v>
      </c>
      <c r="C14" s="18" t="s">
        <v>43</v>
      </c>
      <c r="D14" s="19" t="s">
        <v>44</v>
      </c>
      <c r="E14" s="19" t="s">
        <v>10</v>
      </c>
      <c r="F14" s="20"/>
      <c r="G14" s="21">
        <v>0.375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6" t="s">
        <v>7</v>
      </c>
      <c r="B15" s="17">
        <v>41426.0</v>
      </c>
      <c r="C15" s="18" t="s">
        <v>45</v>
      </c>
      <c r="D15" s="19"/>
      <c r="E15" s="19" t="s">
        <v>10</v>
      </c>
      <c r="F15" s="22">
        <v>45889.0</v>
      </c>
      <c r="G15" s="21">
        <v>0.375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6" t="s">
        <v>46</v>
      </c>
      <c r="B16" s="17"/>
      <c r="C16" s="18"/>
      <c r="D16" s="19"/>
      <c r="E16" s="19" t="s">
        <v>10</v>
      </c>
      <c r="F16" s="22"/>
      <c r="G16" s="21">
        <v>0.375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3" t="s">
        <v>47</v>
      </c>
      <c r="B17" s="24">
        <v>40650.0</v>
      </c>
      <c r="C17" s="25" t="s">
        <v>48</v>
      </c>
      <c r="D17" s="25" t="s">
        <v>49</v>
      </c>
      <c r="E17" s="25" t="s">
        <v>10</v>
      </c>
      <c r="F17" s="26"/>
      <c r="G17" s="27">
        <v>0.375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6" t="s">
        <v>50</v>
      </c>
      <c r="B18" s="17"/>
      <c r="C18" s="19" t="s">
        <v>51</v>
      </c>
      <c r="D18" s="19"/>
      <c r="E18" s="19" t="s">
        <v>10</v>
      </c>
      <c r="F18" s="22"/>
      <c r="G18" s="21">
        <v>0.375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3" t="s">
        <v>52</v>
      </c>
      <c r="B19" s="24"/>
      <c r="C19" s="25" t="s">
        <v>53</v>
      </c>
      <c r="D19" s="25"/>
      <c r="E19" s="25" t="s">
        <v>10</v>
      </c>
      <c r="F19" s="28"/>
      <c r="G19" s="27">
        <v>0.375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54</v>
      </c>
      <c r="B20" s="6">
        <v>40971.0</v>
      </c>
      <c r="C20" s="7" t="s">
        <v>55</v>
      </c>
      <c r="D20" s="8"/>
      <c r="E20" s="8" t="s">
        <v>10</v>
      </c>
      <c r="F20" s="29"/>
      <c r="G20" s="10">
        <v>0.375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/>
      <c r="B21" s="6"/>
      <c r="C21" s="7"/>
      <c r="D21" s="8"/>
      <c r="E21" s="8"/>
      <c r="F21" s="29"/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6" t="s">
        <v>56</v>
      </c>
      <c r="B22" s="17"/>
      <c r="C22" s="18"/>
      <c r="D22" s="19"/>
      <c r="E22" s="19" t="s">
        <v>10</v>
      </c>
      <c r="F22" s="22"/>
      <c r="G22" s="21">
        <v>0.4166666666666667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23" t="s">
        <v>57</v>
      </c>
      <c r="B23" s="24"/>
      <c r="C23" s="30"/>
      <c r="D23" s="25"/>
      <c r="E23" s="25" t="s">
        <v>10</v>
      </c>
      <c r="F23" s="28"/>
      <c r="G23" s="27">
        <v>0.4166666666666667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6" t="s">
        <v>58</v>
      </c>
      <c r="B24" s="17">
        <v>42069.0</v>
      </c>
      <c r="C24" s="18" t="s">
        <v>59</v>
      </c>
      <c r="D24" s="19"/>
      <c r="E24" s="19" t="s">
        <v>10</v>
      </c>
      <c r="F24" s="22">
        <v>45890.0</v>
      </c>
      <c r="G24" s="21">
        <v>0.4166666666666667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23" t="s">
        <v>60</v>
      </c>
      <c r="B25" s="24"/>
      <c r="C25" s="30"/>
      <c r="D25" s="25"/>
      <c r="E25" s="25" t="s">
        <v>10</v>
      </c>
      <c r="F25" s="28"/>
      <c r="G25" s="27">
        <v>0.4166666666666667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6" t="s">
        <v>61</v>
      </c>
      <c r="B26" s="17"/>
      <c r="C26" s="18" t="s">
        <v>62</v>
      </c>
      <c r="D26" s="19"/>
      <c r="E26" s="19" t="s">
        <v>10</v>
      </c>
      <c r="F26" s="22"/>
      <c r="G26" s="21">
        <v>0.5833333333333334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3" t="s">
        <v>63</v>
      </c>
      <c r="B27" s="24"/>
      <c r="C27" s="30"/>
      <c r="D27" s="25"/>
      <c r="E27" s="25" t="s">
        <v>10</v>
      </c>
      <c r="F27" s="28"/>
      <c r="G27" s="27">
        <v>0.5833333333333334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6" t="s">
        <v>64</v>
      </c>
      <c r="B28" s="17"/>
      <c r="C28" s="18"/>
      <c r="D28" s="19"/>
      <c r="E28" s="19" t="s">
        <v>10</v>
      </c>
      <c r="F28" s="22"/>
      <c r="G28" s="21">
        <v>0.5833333333333334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3" t="s">
        <v>65</v>
      </c>
      <c r="B29" s="24"/>
      <c r="C29" s="30"/>
      <c r="D29" s="25"/>
      <c r="E29" s="25" t="s">
        <v>10</v>
      </c>
      <c r="F29" s="28"/>
      <c r="G29" s="27">
        <v>0.5833333333333334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6" t="s">
        <v>66</v>
      </c>
      <c r="B30" s="17"/>
      <c r="C30" s="18"/>
      <c r="D30" s="19"/>
      <c r="E30" s="19" t="s">
        <v>10</v>
      </c>
      <c r="F30" s="20"/>
      <c r="G30" s="21">
        <v>0.5833333333333334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6" t="s">
        <v>67</v>
      </c>
      <c r="B31" s="17">
        <v>41392.0</v>
      </c>
      <c r="C31" s="19" t="s">
        <v>68</v>
      </c>
      <c r="D31" s="19" t="s">
        <v>69</v>
      </c>
      <c r="E31" s="19" t="s">
        <v>10</v>
      </c>
      <c r="F31" s="20"/>
      <c r="G31" s="21">
        <v>0.5833333333333334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6" t="s">
        <v>11</v>
      </c>
      <c r="B32" s="17"/>
      <c r="C32" s="18"/>
      <c r="D32" s="19"/>
      <c r="E32" s="19" t="s">
        <v>10</v>
      </c>
      <c r="F32" s="22"/>
      <c r="G32" s="21">
        <v>0.5833333333333334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3" t="s">
        <v>70</v>
      </c>
      <c r="B33" s="24"/>
      <c r="C33" s="30"/>
      <c r="D33" s="25"/>
      <c r="E33" s="25" t="s">
        <v>10</v>
      </c>
      <c r="F33" s="28"/>
      <c r="G33" s="27">
        <v>0.5833333333333334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6" t="s">
        <v>71</v>
      </c>
      <c r="B34" s="17"/>
      <c r="C34" s="18"/>
      <c r="D34" s="19"/>
      <c r="E34" s="19" t="s">
        <v>10</v>
      </c>
      <c r="F34" s="22"/>
      <c r="G34" s="21">
        <v>0.625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23" t="s">
        <v>72</v>
      </c>
      <c r="B35" s="24"/>
      <c r="C35" s="30"/>
      <c r="D35" s="25"/>
      <c r="E35" s="25" t="s">
        <v>10</v>
      </c>
      <c r="F35" s="28"/>
      <c r="G35" s="27">
        <v>0.625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6" t="s">
        <v>73</v>
      </c>
      <c r="B36" s="17">
        <v>45170.0</v>
      </c>
      <c r="C36" s="19" t="s">
        <v>74</v>
      </c>
      <c r="D36" s="19" t="s">
        <v>75</v>
      </c>
      <c r="E36" s="19" t="s">
        <v>10</v>
      </c>
      <c r="F36" s="20"/>
      <c r="G36" s="21">
        <v>0.625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23" t="s">
        <v>76</v>
      </c>
      <c r="B37" s="24"/>
      <c r="C37" s="30"/>
      <c r="D37" s="25"/>
      <c r="E37" s="25" t="s">
        <v>10</v>
      </c>
      <c r="F37" s="28"/>
      <c r="G37" s="27">
        <v>0.625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6" t="s">
        <v>77</v>
      </c>
      <c r="B38" s="17"/>
      <c r="C38" s="18"/>
      <c r="D38" s="19"/>
      <c r="E38" s="19" t="s">
        <v>10</v>
      </c>
      <c r="F38" s="22"/>
      <c r="G38" s="21">
        <v>0.6805555555555556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23" t="s">
        <v>78</v>
      </c>
      <c r="B39" s="24">
        <v>39517.0</v>
      </c>
      <c r="C39" s="30" t="s">
        <v>79</v>
      </c>
      <c r="D39" s="25" t="s">
        <v>80</v>
      </c>
      <c r="E39" s="25" t="s">
        <v>10</v>
      </c>
      <c r="F39" s="26"/>
      <c r="G39" s="27">
        <v>0.6805555555555556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23" t="s">
        <v>81</v>
      </c>
      <c r="B40" s="24"/>
      <c r="C40" s="30"/>
      <c r="D40" s="25"/>
      <c r="E40" s="25" t="s">
        <v>10</v>
      </c>
      <c r="F40" s="28"/>
      <c r="G40" s="27">
        <v>0.6805555555555556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23" t="s">
        <v>82</v>
      </c>
      <c r="B41" s="24"/>
      <c r="C41" s="30"/>
      <c r="D41" s="25"/>
      <c r="E41" s="25" t="s">
        <v>10</v>
      </c>
      <c r="F41" s="28"/>
      <c r="G41" s="27">
        <v>0.6805555555555556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6" t="s">
        <v>83</v>
      </c>
      <c r="B42" s="17"/>
      <c r="C42" s="19" t="s">
        <v>84</v>
      </c>
      <c r="D42" s="19" t="s">
        <v>75</v>
      </c>
      <c r="E42" s="19" t="s">
        <v>10</v>
      </c>
      <c r="F42" s="20"/>
      <c r="G42" s="21">
        <v>0.6805555555555556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23" t="s">
        <v>85</v>
      </c>
      <c r="B43" s="24">
        <v>39731.0</v>
      </c>
      <c r="C43" s="30" t="s">
        <v>86</v>
      </c>
      <c r="D43" s="25" t="s">
        <v>87</v>
      </c>
      <c r="E43" s="25" t="s">
        <v>10</v>
      </c>
      <c r="F43" s="28"/>
      <c r="G43" s="27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6" t="s">
        <v>88</v>
      </c>
      <c r="B44" s="17">
        <v>40359.0</v>
      </c>
      <c r="C44" s="19" t="s">
        <v>89</v>
      </c>
      <c r="D44" s="19" t="s">
        <v>90</v>
      </c>
      <c r="E44" s="19" t="s">
        <v>10</v>
      </c>
      <c r="F44" s="20"/>
      <c r="G44" s="31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6" t="s">
        <v>91</v>
      </c>
      <c r="B45" s="17">
        <v>42102.0</v>
      </c>
      <c r="C45" s="19" t="s">
        <v>92</v>
      </c>
      <c r="D45" s="19" t="s">
        <v>93</v>
      </c>
      <c r="E45" s="19" t="s">
        <v>10</v>
      </c>
      <c r="F45" s="20"/>
      <c r="G45" s="31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23" t="s">
        <v>94</v>
      </c>
      <c r="B46" s="24">
        <v>42758.0</v>
      </c>
      <c r="C46" s="25" t="s">
        <v>95</v>
      </c>
      <c r="D46" s="25" t="s">
        <v>96</v>
      </c>
      <c r="E46" s="25" t="s">
        <v>10</v>
      </c>
      <c r="F46" s="26"/>
      <c r="G46" s="32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6" t="s">
        <v>97</v>
      </c>
      <c r="B47" s="17">
        <v>42361.0</v>
      </c>
      <c r="C47" s="19" t="s">
        <v>98</v>
      </c>
      <c r="D47" s="19" t="s">
        <v>99</v>
      </c>
      <c r="E47" s="19" t="s">
        <v>10</v>
      </c>
      <c r="F47" s="20"/>
      <c r="G47" s="31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5"/>
      <c r="B48" s="6"/>
      <c r="C48" s="8"/>
      <c r="D48" s="8"/>
      <c r="E48" s="8"/>
      <c r="F48" s="9"/>
      <c r="G48" s="33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23" t="s">
        <v>100</v>
      </c>
      <c r="B49" s="24">
        <v>39821.0</v>
      </c>
      <c r="C49" s="25" t="s">
        <v>101</v>
      </c>
      <c r="D49" s="25" t="s">
        <v>102</v>
      </c>
      <c r="E49" s="25" t="s">
        <v>10</v>
      </c>
      <c r="F49" s="26"/>
      <c r="G49" s="32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.5" customHeight="1">
      <c r="A50" s="16" t="s">
        <v>103</v>
      </c>
      <c r="B50" s="17">
        <v>42063.0</v>
      </c>
      <c r="C50" s="19" t="s">
        <v>104</v>
      </c>
      <c r="D50" s="19" t="s">
        <v>105</v>
      </c>
      <c r="E50" s="19" t="s">
        <v>10</v>
      </c>
      <c r="F50" s="20"/>
      <c r="G50" s="31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23" t="s">
        <v>106</v>
      </c>
      <c r="B51" s="24">
        <v>42623.0</v>
      </c>
      <c r="C51" s="25" t="s">
        <v>104</v>
      </c>
      <c r="D51" s="25" t="s">
        <v>107</v>
      </c>
      <c r="E51" s="25" t="s">
        <v>10</v>
      </c>
      <c r="F51" s="26"/>
      <c r="G51" s="32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6" t="s">
        <v>108</v>
      </c>
      <c r="B52" s="17"/>
      <c r="C52" s="19" t="s">
        <v>109</v>
      </c>
      <c r="D52" s="19" t="s">
        <v>110</v>
      </c>
      <c r="E52" s="19" t="s">
        <v>10</v>
      </c>
      <c r="F52" s="20"/>
      <c r="G52" s="31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23" t="s">
        <v>111</v>
      </c>
      <c r="B53" s="24">
        <v>41860.0</v>
      </c>
      <c r="C53" s="25" t="s">
        <v>112</v>
      </c>
      <c r="D53" s="25" t="s">
        <v>113</v>
      </c>
      <c r="E53" s="25" t="s">
        <v>10</v>
      </c>
      <c r="F53" s="26"/>
      <c r="G53" s="32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6" t="s">
        <v>114</v>
      </c>
      <c r="B54" s="17">
        <v>40652.0</v>
      </c>
      <c r="C54" s="19" t="s">
        <v>112</v>
      </c>
      <c r="D54" s="19" t="s">
        <v>115</v>
      </c>
      <c r="E54" s="19" t="s">
        <v>10</v>
      </c>
      <c r="F54" s="20"/>
      <c r="G54" s="31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23" t="s">
        <v>116</v>
      </c>
      <c r="B55" s="24">
        <v>41194.0</v>
      </c>
      <c r="C55" s="25" t="s">
        <v>117</v>
      </c>
      <c r="D55" s="25" t="s">
        <v>118</v>
      </c>
      <c r="E55" s="25" t="s">
        <v>10</v>
      </c>
      <c r="F55" s="26"/>
      <c r="G55" s="32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6" t="s">
        <v>119</v>
      </c>
      <c r="B56" s="17">
        <v>41501.0</v>
      </c>
      <c r="C56" s="19" t="s">
        <v>120</v>
      </c>
      <c r="D56" s="19" t="s">
        <v>121</v>
      </c>
      <c r="E56" s="19" t="s">
        <v>10</v>
      </c>
      <c r="F56" s="20"/>
      <c r="G56" s="31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23" t="s">
        <v>122</v>
      </c>
      <c r="B57" s="24">
        <v>40687.0</v>
      </c>
      <c r="C57" s="25" t="s">
        <v>123</v>
      </c>
      <c r="D57" s="25" t="s">
        <v>124</v>
      </c>
      <c r="E57" s="25" t="s">
        <v>10</v>
      </c>
      <c r="F57" s="26"/>
      <c r="G57" s="32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6" t="s">
        <v>125</v>
      </c>
      <c r="B58" s="17">
        <v>40031.0</v>
      </c>
      <c r="C58" s="19" t="s">
        <v>126</v>
      </c>
      <c r="D58" s="19" t="s">
        <v>127</v>
      </c>
      <c r="E58" s="19" t="s">
        <v>10</v>
      </c>
      <c r="F58" s="20"/>
      <c r="G58" s="31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23" t="s">
        <v>128</v>
      </c>
      <c r="B59" s="24">
        <v>33498.0</v>
      </c>
      <c r="C59" s="25" t="s">
        <v>129</v>
      </c>
      <c r="D59" s="25" t="s">
        <v>130</v>
      </c>
      <c r="E59" s="25" t="s">
        <v>10</v>
      </c>
      <c r="F59" s="26"/>
      <c r="G59" s="32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6" t="s">
        <v>131</v>
      </c>
      <c r="B60" s="17">
        <v>34277.0</v>
      </c>
      <c r="C60" s="19" t="s">
        <v>132</v>
      </c>
      <c r="D60" s="19" t="s">
        <v>133</v>
      </c>
      <c r="E60" s="19" t="s">
        <v>10</v>
      </c>
      <c r="F60" s="20"/>
      <c r="G60" s="31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23" t="s">
        <v>134</v>
      </c>
      <c r="B61" s="24">
        <v>40723.0</v>
      </c>
      <c r="C61" s="25" t="s">
        <v>135</v>
      </c>
      <c r="D61" s="25" t="s">
        <v>136</v>
      </c>
      <c r="E61" s="25" t="s">
        <v>10</v>
      </c>
      <c r="F61" s="26"/>
      <c r="G61" s="32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6" t="s">
        <v>137</v>
      </c>
      <c r="B62" s="17">
        <v>39555.0</v>
      </c>
      <c r="C62" s="19" t="s">
        <v>135</v>
      </c>
      <c r="D62" s="19" t="s">
        <v>138</v>
      </c>
      <c r="E62" s="19" t="s">
        <v>10</v>
      </c>
      <c r="F62" s="20"/>
      <c r="G62" s="31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23" t="s">
        <v>139</v>
      </c>
      <c r="B63" s="24">
        <v>39456.0</v>
      </c>
      <c r="C63" s="25" t="s">
        <v>140</v>
      </c>
      <c r="D63" s="25" t="s">
        <v>141</v>
      </c>
      <c r="E63" s="25" t="s">
        <v>10</v>
      </c>
      <c r="F63" s="26"/>
      <c r="G63" s="32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6" t="s">
        <v>142</v>
      </c>
      <c r="B64" s="17">
        <v>30093.0</v>
      </c>
      <c r="C64" s="19" t="s">
        <v>143</v>
      </c>
      <c r="D64" s="19" t="s">
        <v>144</v>
      </c>
      <c r="E64" s="19" t="s">
        <v>10</v>
      </c>
      <c r="F64" s="20"/>
      <c r="G64" s="31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23" t="s">
        <v>145</v>
      </c>
      <c r="B65" s="24">
        <v>41470.0</v>
      </c>
      <c r="C65" s="25" t="s">
        <v>143</v>
      </c>
      <c r="D65" s="25" t="s">
        <v>144</v>
      </c>
      <c r="E65" s="25" t="s">
        <v>10</v>
      </c>
      <c r="F65" s="26"/>
      <c r="G65" s="32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23" t="s">
        <v>146</v>
      </c>
      <c r="B66" s="24">
        <v>34612.0</v>
      </c>
      <c r="C66" s="25" t="s">
        <v>109</v>
      </c>
      <c r="D66" s="25" t="s">
        <v>147</v>
      </c>
      <c r="E66" s="25" t="s">
        <v>10</v>
      </c>
      <c r="F66" s="26"/>
      <c r="G66" s="32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23" t="s">
        <v>148</v>
      </c>
      <c r="B67" s="24">
        <v>41495.0</v>
      </c>
      <c r="C67" s="25" t="s">
        <v>149</v>
      </c>
      <c r="D67" s="25" t="s">
        <v>150</v>
      </c>
      <c r="E67" s="25" t="s">
        <v>10</v>
      </c>
      <c r="F67" s="26"/>
      <c r="G67" s="32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6" t="s">
        <v>151</v>
      </c>
      <c r="B68" s="17">
        <v>37987.0</v>
      </c>
      <c r="C68" s="19" t="s">
        <v>152</v>
      </c>
      <c r="D68" s="19" t="s">
        <v>153</v>
      </c>
      <c r="E68" s="19" t="s">
        <v>10</v>
      </c>
      <c r="F68" s="20"/>
      <c r="G68" s="31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23" t="s">
        <v>154</v>
      </c>
      <c r="B69" s="24">
        <v>29777.0</v>
      </c>
      <c r="C69" s="25" t="s">
        <v>155</v>
      </c>
      <c r="D69" s="25" t="s">
        <v>156</v>
      </c>
      <c r="E69" s="25" t="s">
        <v>10</v>
      </c>
      <c r="F69" s="26"/>
      <c r="G69" s="32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6" t="s">
        <v>157</v>
      </c>
      <c r="B70" s="17">
        <v>38596.0</v>
      </c>
      <c r="C70" s="18" t="s">
        <v>158</v>
      </c>
      <c r="D70" s="19" t="s">
        <v>159</v>
      </c>
      <c r="E70" s="19" t="s">
        <v>10</v>
      </c>
      <c r="F70" s="20"/>
      <c r="G70" s="31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23" t="s">
        <v>160</v>
      </c>
      <c r="B71" s="24">
        <v>37477.0</v>
      </c>
      <c r="C71" s="30" t="s">
        <v>161</v>
      </c>
      <c r="D71" s="25" t="s">
        <v>162</v>
      </c>
      <c r="E71" s="25" t="s">
        <v>10</v>
      </c>
      <c r="F71" s="26"/>
      <c r="G71" s="32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6" t="s">
        <v>163</v>
      </c>
      <c r="B72" s="17">
        <v>40087.0</v>
      </c>
      <c r="C72" s="18" t="s">
        <v>164</v>
      </c>
      <c r="D72" s="19" t="s">
        <v>165</v>
      </c>
      <c r="E72" s="19" t="s">
        <v>10</v>
      </c>
      <c r="F72" s="20"/>
      <c r="G72" s="31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23" t="s">
        <v>166</v>
      </c>
      <c r="B73" s="24">
        <v>41338.0</v>
      </c>
      <c r="C73" s="30" t="s">
        <v>164</v>
      </c>
      <c r="D73" s="25" t="s">
        <v>165</v>
      </c>
      <c r="E73" s="25" t="s">
        <v>10</v>
      </c>
      <c r="F73" s="26"/>
      <c r="G73" s="32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6" t="s">
        <v>167</v>
      </c>
      <c r="B74" s="17">
        <v>42166.0</v>
      </c>
      <c r="C74" s="18" t="s">
        <v>164</v>
      </c>
      <c r="D74" s="19" t="s">
        <v>168</v>
      </c>
      <c r="E74" s="19" t="s">
        <v>10</v>
      </c>
      <c r="F74" s="20"/>
      <c r="G74" s="31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23" t="s">
        <v>169</v>
      </c>
      <c r="B75" s="24">
        <v>27548.0</v>
      </c>
      <c r="C75" s="30" t="s">
        <v>170</v>
      </c>
      <c r="D75" s="25" t="s">
        <v>171</v>
      </c>
      <c r="E75" s="25" t="s">
        <v>10</v>
      </c>
      <c r="F75" s="26"/>
      <c r="G75" s="32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6" t="s">
        <v>172</v>
      </c>
      <c r="B76" s="17">
        <v>37438.0</v>
      </c>
      <c r="C76" s="18" t="s">
        <v>170</v>
      </c>
      <c r="D76" s="19" t="s">
        <v>171</v>
      </c>
      <c r="E76" s="19" t="s">
        <v>10</v>
      </c>
      <c r="F76" s="20"/>
      <c r="G76" s="31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23" t="s">
        <v>173</v>
      </c>
      <c r="B77" s="24">
        <v>36966.0</v>
      </c>
      <c r="C77" s="30" t="s">
        <v>174</v>
      </c>
      <c r="D77" s="25" t="s">
        <v>175</v>
      </c>
      <c r="E77" s="25" t="s">
        <v>10</v>
      </c>
      <c r="F77" s="26"/>
      <c r="G77" s="32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6" t="s">
        <v>176</v>
      </c>
      <c r="B78" s="17">
        <v>40018.0</v>
      </c>
      <c r="C78" s="18" t="s">
        <v>177</v>
      </c>
      <c r="D78" s="19" t="s">
        <v>178</v>
      </c>
      <c r="E78" s="19" t="s">
        <v>10</v>
      </c>
      <c r="F78" s="20"/>
      <c r="G78" s="31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23" t="s">
        <v>179</v>
      </c>
      <c r="B79" s="24">
        <v>27421.0</v>
      </c>
      <c r="C79" s="30" t="s">
        <v>180</v>
      </c>
      <c r="D79" s="25" t="s">
        <v>181</v>
      </c>
      <c r="E79" s="25" t="s">
        <v>10</v>
      </c>
      <c r="F79" s="26"/>
      <c r="G79" s="32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6" t="s">
        <v>182</v>
      </c>
      <c r="B80" s="17">
        <v>41423.0</v>
      </c>
      <c r="C80" s="18"/>
      <c r="D80" s="19" t="s">
        <v>183</v>
      </c>
      <c r="E80" s="19" t="s">
        <v>10</v>
      </c>
      <c r="F80" s="20"/>
      <c r="G80" s="31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23" t="s">
        <v>184</v>
      </c>
      <c r="B81" s="24"/>
      <c r="C81" s="30" t="s">
        <v>185</v>
      </c>
      <c r="D81" s="25" t="s">
        <v>186</v>
      </c>
      <c r="E81" s="25" t="s">
        <v>10</v>
      </c>
      <c r="F81" s="26"/>
      <c r="G81" s="32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6" t="s">
        <v>187</v>
      </c>
      <c r="B82" s="17">
        <v>39642.0</v>
      </c>
      <c r="C82" s="18" t="s">
        <v>188</v>
      </c>
      <c r="D82" s="19" t="s">
        <v>189</v>
      </c>
      <c r="E82" s="19" t="s">
        <v>10</v>
      </c>
      <c r="F82" s="20"/>
      <c r="G82" s="31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23" t="s">
        <v>190</v>
      </c>
      <c r="B83" s="24">
        <v>40434.0</v>
      </c>
      <c r="C83" s="30" t="s">
        <v>191</v>
      </c>
      <c r="D83" s="25" t="s">
        <v>192</v>
      </c>
      <c r="E83" s="25" t="s">
        <v>10</v>
      </c>
      <c r="F83" s="26"/>
      <c r="G83" s="32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23" t="s">
        <v>193</v>
      </c>
      <c r="B84" s="24">
        <v>43741.0</v>
      </c>
      <c r="C84" s="30" t="s">
        <v>194</v>
      </c>
      <c r="D84" s="25" t="s">
        <v>195</v>
      </c>
      <c r="E84" s="25" t="s">
        <v>10</v>
      </c>
      <c r="F84" s="26"/>
      <c r="G84" s="32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6" t="s">
        <v>196</v>
      </c>
      <c r="B85" s="17">
        <v>41570.0</v>
      </c>
      <c r="C85" s="18" t="s">
        <v>197</v>
      </c>
      <c r="D85" s="19" t="s">
        <v>198</v>
      </c>
      <c r="E85" s="19" t="s">
        <v>10</v>
      </c>
      <c r="F85" s="20"/>
      <c r="G85" s="31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23" t="s">
        <v>199</v>
      </c>
      <c r="B86" s="24">
        <v>40375.0</v>
      </c>
      <c r="C86" s="30" t="s">
        <v>197</v>
      </c>
      <c r="D86" s="25" t="s">
        <v>198</v>
      </c>
      <c r="E86" s="25" t="s">
        <v>10</v>
      </c>
      <c r="F86" s="26"/>
      <c r="G86" s="32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6" t="s">
        <v>200</v>
      </c>
      <c r="B87" s="17">
        <v>42341.0</v>
      </c>
      <c r="C87" s="18" t="s">
        <v>201</v>
      </c>
      <c r="D87" s="19" t="s">
        <v>202</v>
      </c>
      <c r="E87" s="19" t="s">
        <v>10</v>
      </c>
      <c r="F87" s="20"/>
      <c r="G87" s="31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23" t="s">
        <v>203</v>
      </c>
      <c r="B88" s="24"/>
      <c r="C88" s="30" t="s">
        <v>204</v>
      </c>
      <c r="D88" s="25" t="s">
        <v>205</v>
      </c>
      <c r="E88" s="25" t="s">
        <v>10</v>
      </c>
      <c r="F88" s="26"/>
      <c r="G88" s="32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6" t="s">
        <v>65</v>
      </c>
      <c r="B89" s="17">
        <v>41564.0</v>
      </c>
      <c r="C89" s="19" t="s">
        <v>206</v>
      </c>
      <c r="D89" s="19" t="s">
        <v>207</v>
      </c>
      <c r="E89" s="19" t="s">
        <v>10</v>
      </c>
      <c r="F89" s="20"/>
      <c r="G89" s="31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23" t="s">
        <v>208</v>
      </c>
      <c r="B90" s="24">
        <v>40988.0</v>
      </c>
      <c r="C90" s="30" t="s">
        <v>209</v>
      </c>
      <c r="D90" s="25" t="s">
        <v>210</v>
      </c>
      <c r="E90" s="25" t="s">
        <v>10</v>
      </c>
      <c r="F90" s="26"/>
      <c r="G90" s="32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6" t="s">
        <v>211</v>
      </c>
      <c r="B91" s="17">
        <v>34643.0</v>
      </c>
      <c r="C91" s="18" t="s">
        <v>212</v>
      </c>
      <c r="D91" s="19" t="s">
        <v>213</v>
      </c>
      <c r="E91" s="19" t="s">
        <v>10</v>
      </c>
      <c r="F91" s="20"/>
      <c r="G91" s="31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23" t="s">
        <v>214</v>
      </c>
      <c r="B92" s="24">
        <v>41423.0</v>
      </c>
      <c r="C92" s="30" t="s">
        <v>215</v>
      </c>
      <c r="D92" s="25" t="s">
        <v>183</v>
      </c>
      <c r="E92" s="25" t="s">
        <v>10</v>
      </c>
      <c r="F92" s="26"/>
      <c r="G92" s="32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6" t="s">
        <v>216</v>
      </c>
      <c r="B93" s="17">
        <v>20960.0</v>
      </c>
      <c r="C93" s="18" t="s">
        <v>217</v>
      </c>
      <c r="D93" s="19" t="s">
        <v>218</v>
      </c>
      <c r="E93" s="19" t="s">
        <v>10</v>
      </c>
      <c r="F93" s="20"/>
      <c r="G93" s="31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23" t="s">
        <v>219</v>
      </c>
      <c r="B94" s="24">
        <v>41685.0</v>
      </c>
      <c r="C94" s="30" t="s">
        <v>217</v>
      </c>
      <c r="D94" s="25" t="s">
        <v>218</v>
      </c>
      <c r="E94" s="25" t="s">
        <v>10</v>
      </c>
      <c r="F94" s="26"/>
      <c r="G94" s="32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23" t="s">
        <v>220</v>
      </c>
      <c r="B95" s="24">
        <v>26890.0</v>
      </c>
      <c r="C95" s="25" t="s">
        <v>221</v>
      </c>
      <c r="D95" s="25" t="s">
        <v>222</v>
      </c>
      <c r="E95" s="25" t="s">
        <v>223</v>
      </c>
      <c r="F95" s="26"/>
      <c r="G95" s="32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6" t="s">
        <v>224</v>
      </c>
      <c r="B96" s="17"/>
      <c r="C96" s="19" t="s">
        <v>225</v>
      </c>
      <c r="D96" s="19" t="s">
        <v>226</v>
      </c>
      <c r="E96" s="19" t="s">
        <v>223</v>
      </c>
      <c r="F96" s="20"/>
      <c r="G96" s="31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23"/>
      <c r="B97" s="24">
        <v>23090.0</v>
      </c>
      <c r="C97" s="25" t="s">
        <v>227</v>
      </c>
      <c r="D97" s="25" t="s">
        <v>228</v>
      </c>
      <c r="E97" s="25" t="s">
        <v>223</v>
      </c>
      <c r="F97" s="26"/>
      <c r="G97" s="32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6" t="s">
        <v>229</v>
      </c>
      <c r="B98" s="17">
        <v>24565.0</v>
      </c>
      <c r="C98" s="19" t="s">
        <v>230</v>
      </c>
      <c r="D98" s="19" t="s">
        <v>231</v>
      </c>
      <c r="E98" s="19" t="s">
        <v>223</v>
      </c>
      <c r="F98" s="20"/>
      <c r="G98" s="31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23" t="s">
        <v>232</v>
      </c>
      <c r="B99" s="24">
        <v>22641.0</v>
      </c>
      <c r="C99" s="25" t="s">
        <v>21</v>
      </c>
      <c r="D99" s="25" t="s">
        <v>233</v>
      </c>
      <c r="E99" s="25" t="s">
        <v>223</v>
      </c>
      <c r="F99" s="26"/>
      <c r="G99" s="32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5" t="s">
        <v>234</v>
      </c>
      <c r="B100" s="6"/>
      <c r="C100" s="8"/>
      <c r="D100" s="8" t="s">
        <v>235</v>
      </c>
      <c r="E100" s="8" t="s">
        <v>223</v>
      </c>
      <c r="F100" s="9"/>
      <c r="G100" s="33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6" t="s">
        <v>236</v>
      </c>
      <c r="B101" s="17">
        <v>27421.0</v>
      </c>
      <c r="C101" s="19" t="s">
        <v>237</v>
      </c>
      <c r="D101" s="19" t="s">
        <v>238</v>
      </c>
      <c r="E101" s="19" t="s">
        <v>223</v>
      </c>
      <c r="F101" s="20"/>
      <c r="G101" s="31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23" t="s">
        <v>239</v>
      </c>
      <c r="B102" s="24">
        <v>24439.0</v>
      </c>
      <c r="C102" s="25" t="s">
        <v>240</v>
      </c>
      <c r="D102" s="25" t="s">
        <v>241</v>
      </c>
      <c r="E102" s="25" t="s">
        <v>223</v>
      </c>
      <c r="F102" s="26"/>
      <c r="G102" s="32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6" t="s">
        <v>242</v>
      </c>
      <c r="B103" s="17">
        <v>39456.0</v>
      </c>
      <c r="C103" s="19" t="s">
        <v>243</v>
      </c>
      <c r="D103" s="19" t="s">
        <v>244</v>
      </c>
      <c r="E103" s="19" t="s">
        <v>223</v>
      </c>
      <c r="F103" s="20"/>
      <c r="G103" s="31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23" t="s">
        <v>245</v>
      </c>
      <c r="B104" s="24"/>
      <c r="C104" s="25" t="s">
        <v>246</v>
      </c>
      <c r="D104" s="25" t="s">
        <v>247</v>
      </c>
      <c r="E104" s="25" t="s">
        <v>223</v>
      </c>
      <c r="F104" s="26"/>
      <c r="G104" s="32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5" t="s">
        <v>248</v>
      </c>
      <c r="B105" s="6">
        <v>27621.0</v>
      </c>
      <c r="C105" s="8" t="s">
        <v>249</v>
      </c>
      <c r="D105" s="8" t="s">
        <v>250</v>
      </c>
      <c r="E105" s="8" t="s">
        <v>223</v>
      </c>
      <c r="F105" s="9"/>
      <c r="G105" s="33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6" t="s">
        <v>251</v>
      </c>
      <c r="B106" s="17"/>
      <c r="C106" s="19" t="s">
        <v>252</v>
      </c>
      <c r="D106" s="19" t="s">
        <v>247</v>
      </c>
      <c r="E106" s="19" t="s">
        <v>223</v>
      </c>
      <c r="F106" s="20"/>
      <c r="G106" s="31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5" t="s">
        <v>253</v>
      </c>
      <c r="B107" s="6">
        <v>39307.0</v>
      </c>
      <c r="C107" s="8" t="s">
        <v>254</v>
      </c>
      <c r="D107" s="8" t="s">
        <v>255</v>
      </c>
      <c r="E107" s="8" t="s">
        <v>223</v>
      </c>
      <c r="F107" s="9"/>
      <c r="G107" s="33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5"/>
      <c r="B108" s="6"/>
      <c r="C108" s="8"/>
      <c r="D108" s="8"/>
      <c r="E108" s="8"/>
      <c r="F108" s="9"/>
      <c r="G108" s="33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23" t="s">
        <v>256</v>
      </c>
      <c r="B109" s="24"/>
      <c r="C109" s="25" t="s">
        <v>257</v>
      </c>
      <c r="D109" s="25" t="s">
        <v>258</v>
      </c>
      <c r="E109" s="25" t="s">
        <v>223</v>
      </c>
      <c r="F109" s="26"/>
      <c r="G109" s="32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6" t="s">
        <v>259</v>
      </c>
      <c r="B110" s="17">
        <v>25242.0</v>
      </c>
      <c r="C110" s="19" t="s">
        <v>260</v>
      </c>
      <c r="D110" s="19" t="s">
        <v>261</v>
      </c>
      <c r="E110" s="19" t="s">
        <v>223</v>
      </c>
      <c r="F110" s="20"/>
      <c r="G110" s="31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5" t="s">
        <v>262</v>
      </c>
      <c r="B111" s="6">
        <v>28537.0</v>
      </c>
      <c r="C111" s="7" t="s">
        <v>263</v>
      </c>
      <c r="D111" s="19"/>
      <c r="E111" s="8" t="s">
        <v>223</v>
      </c>
      <c r="F111" s="9"/>
      <c r="G111" s="33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23" t="s">
        <v>264</v>
      </c>
      <c r="B112" s="24">
        <v>21826.0</v>
      </c>
      <c r="C112" s="30"/>
      <c r="D112" s="19"/>
      <c r="E112" s="25" t="s">
        <v>223</v>
      </c>
      <c r="F112" s="26"/>
      <c r="G112" s="32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6" t="s">
        <v>265</v>
      </c>
      <c r="B113" s="17">
        <v>14847.0</v>
      </c>
      <c r="C113" s="19" t="s">
        <v>266</v>
      </c>
      <c r="D113" s="19" t="s">
        <v>267</v>
      </c>
      <c r="E113" s="19" t="s">
        <v>223</v>
      </c>
      <c r="F113" s="20"/>
      <c r="G113" s="31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5" t="s">
        <v>268</v>
      </c>
      <c r="B114" s="6">
        <v>27850.0</v>
      </c>
      <c r="C114" s="8" t="s">
        <v>269</v>
      </c>
      <c r="D114" s="19"/>
      <c r="E114" s="8" t="s">
        <v>223</v>
      </c>
      <c r="F114" s="9"/>
      <c r="G114" s="33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23" t="s">
        <v>270</v>
      </c>
      <c r="B115" s="24">
        <v>31275.0</v>
      </c>
      <c r="C115" s="25" t="s">
        <v>271</v>
      </c>
      <c r="D115" s="19"/>
      <c r="E115" s="25" t="s">
        <v>223</v>
      </c>
      <c r="F115" s="26"/>
      <c r="G115" s="32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5" t="s">
        <v>272</v>
      </c>
      <c r="B116" s="6">
        <v>27693.0</v>
      </c>
      <c r="C116" s="8" t="s">
        <v>273</v>
      </c>
      <c r="D116" s="19" t="s">
        <v>274</v>
      </c>
      <c r="E116" s="8" t="s">
        <v>223</v>
      </c>
      <c r="F116" s="9"/>
      <c r="G116" s="33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6" t="s">
        <v>275</v>
      </c>
      <c r="B117" s="17">
        <v>29200.0</v>
      </c>
      <c r="C117" s="19" t="s">
        <v>276</v>
      </c>
      <c r="D117" s="19" t="s">
        <v>277</v>
      </c>
      <c r="E117" s="19" t="s">
        <v>223</v>
      </c>
      <c r="F117" s="20"/>
      <c r="G117" s="31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23" t="s">
        <v>278</v>
      </c>
      <c r="B118" s="24">
        <v>21436.0</v>
      </c>
      <c r="C118" s="25" t="s">
        <v>279</v>
      </c>
      <c r="D118" s="19"/>
      <c r="E118" s="25" t="s">
        <v>223</v>
      </c>
      <c r="F118" s="26"/>
      <c r="G118" s="32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6" t="s">
        <v>280</v>
      </c>
      <c r="B119" s="17">
        <v>45381.0</v>
      </c>
      <c r="C119" s="19" t="s">
        <v>281</v>
      </c>
      <c r="D119" s="19" t="s">
        <v>282</v>
      </c>
      <c r="E119" s="19" t="s">
        <v>223</v>
      </c>
      <c r="F119" s="20"/>
      <c r="G119" s="31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23" t="s">
        <v>283</v>
      </c>
      <c r="B120" s="24">
        <v>36777.0</v>
      </c>
      <c r="C120" s="25" t="s">
        <v>284</v>
      </c>
      <c r="D120" s="25" t="s">
        <v>285</v>
      </c>
      <c r="E120" s="25" t="s">
        <v>223</v>
      </c>
      <c r="F120" s="26"/>
      <c r="G120" s="32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6" t="s">
        <v>286</v>
      </c>
      <c r="B121" s="17">
        <v>23673.0</v>
      </c>
      <c r="C121" s="19" t="s">
        <v>287</v>
      </c>
      <c r="D121" s="19" t="s">
        <v>288</v>
      </c>
      <c r="E121" s="19" t="s">
        <v>223</v>
      </c>
      <c r="F121" s="20"/>
      <c r="G121" s="31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23" t="s">
        <v>289</v>
      </c>
      <c r="B122" s="24">
        <v>38287.0</v>
      </c>
      <c r="C122" s="25" t="s">
        <v>290</v>
      </c>
      <c r="D122" s="25" t="s">
        <v>291</v>
      </c>
      <c r="E122" s="25" t="s">
        <v>223</v>
      </c>
      <c r="F122" s="26"/>
      <c r="G122" s="32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6" t="s">
        <v>292</v>
      </c>
      <c r="B123" s="17">
        <v>27060.0</v>
      </c>
      <c r="C123" s="19" t="s">
        <v>293</v>
      </c>
      <c r="D123" s="19" t="s">
        <v>294</v>
      </c>
      <c r="E123" s="19" t="s">
        <v>223</v>
      </c>
      <c r="F123" s="20"/>
      <c r="G123" s="31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23" t="s">
        <v>295</v>
      </c>
      <c r="B124" s="24">
        <v>7747.0</v>
      </c>
      <c r="C124" s="25" t="s">
        <v>284</v>
      </c>
      <c r="D124" s="25" t="s">
        <v>296</v>
      </c>
      <c r="E124" s="25" t="s">
        <v>223</v>
      </c>
      <c r="F124" s="26"/>
      <c r="G124" s="32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6" t="s">
        <v>297</v>
      </c>
      <c r="B125" s="17">
        <v>26890.0</v>
      </c>
      <c r="C125" s="19" t="s">
        <v>221</v>
      </c>
      <c r="D125" s="19" t="s">
        <v>298</v>
      </c>
      <c r="E125" s="19" t="s">
        <v>223</v>
      </c>
      <c r="F125" s="20"/>
      <c r="G125" s="31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23" t="s">
        <v>299</v>
      </c>
      <c r="B126" s="24">
        <v>21755.0</v>
      </c>
      <c r="C126" s="25" t="s">
        <v>300</v>
      </c>
      <c r="D126" s="25" t="s">
        <v>301</v>
      </c>
      <c r="E126" s="25" t="s">
        <v>223</v>
      </c>
      <c r="F126" s="26"/>
      <c r="G126" s="32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6" t="s">
        <v>302</v>
      </c>
      <c r="B127" s="17">
        <v>35047.0</v>
      </c>
      <c r="C127" s="19" t="s">
        <v>303</v>
      </c>
      <c r="D127" s="19" t="s">
        <v>304</v>
      </c>
      <c r="E127" s="19" t="s">
        <v>223</v>
      </c>
      <c r="F127" s="20"/>
      <c r="G127" s="31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23" t="s">
        <v>305</v>
      </c>
      <c r="B128" s="24">
        <v>36274.0</v>
      </c>
      <c r="C128" s="30" t="s">
        <v>306</v>
      </c>
      <c r="D128" s="25" t="s">
        <v>307</v>
      </c>
      <c r="E128" s="25" t="s">
        <v>223</v>
      </c>
      <c r="F128" s="26"/>
      <c r="G128" s="32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6" t="s">
        <v>308</v>
      </c>
      <c r="B129" s="17">
        <v>23090.0</v>
      </c>
      <c r="C129" s="18" t="s">
        <v>309</v>
      </c>
      <c r="D129" s="19" t="s">
        <v>310</v>
      </c>
      <c r="E129" s="19" t="s">
        <v>223</v>
      </c>
      <c r="F129" s="20"/>
      <c r="G129" s="31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23" t="s">
        <v>311</v>
      </c>
      <c r="B130" s="24">
        <v>22641.0</v>
      </c>
      <c r="C130" s="25" t="s">
        <v>312</v>
      </c>
      <c r="D130" s="25" t="s">
        <v>313</v>
      </c>
      <c r="E130" s="25" t="s">
        <v>223</v>
      </c>
      <c r="F130" s="26"/>
      <c r="G130" s="32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6" t="s">
        <v>314</v>
      </c>
      <c r="B131" s="17"/>
      <c r="C131" s="18" t="s">
        <v>315</v>
      </c>
      <c r="D131" s="19" t="s">
        <v>316</v>
      </c>
      <c r="E131" s="19" t="s">
        <v>223</v>
      </c>
      <c r="F131" s="20"/>
      <c r="G131" s="31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23" t="s">
        <v>317</v>
      </c>
      <c r="B132" s="24"/>
      <c r="C132" s="30" t="s">
        <v>318</v>
      </c>
      <c r="D132" s="25" t="s">
        <v>319</v>
      </c>
      <c r="E132" s="25" t="s">
        <v>223</v>
      </c>
      <c r="F132" s="26"/>
      <c r="G132" s="32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6" t="s">
        <v>320</v>
      </c>
      <c r="B133" s="17">
        <v>32503.0</v>
      </c>
      <c r="C133" s="19" t="s">
        <v>321</v>
      </c>
      <c r="D133" s="19" t="s">
        <v>322</v>
      </c>
      <c r="E133" s="19" t="s">
        <v>223</v>
      </c>
      <c r="F133" s="20"/>
      <c r="G133" s="31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23" t="s">
        <v>323</v>
      </c>
      <c r="B134" s="24">
        <v>20138.0</v>
      </c>
      <c r="C134" s="30" t="s">
        <v>324</v>
      </c>
      <c r="D134" s="25" t="s">
        <v>325</v>
      </c>
      <c r="E134" s="25" t="s">
        <v>223</v>
      </c>
      <c r="F134" s="26"/>
      <c r="G134" s="32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1" t="s">
        <v>326</v>
      </c>
      <c r="B135" s="12">
        <v>28038.0</v>
      </c>
      <c r="C135" s="34" t="s">
        <v>327</v>
      </c>
      <c r="D135" s="13" t="s">
        <v>328</v>
      </c>
      <c r="E135" s="13" t="s">
        <v>223</v>
      </c>
      <c r="F135" s="9"/>
      <c r="G135" s="3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6" t="s">
        <v>329</v>
      </c>
      <c r="B136" s="17">
        <v>30568.0</v>
      </c>
      <c r="C136" s="18" t="s">
        <v>330</v>
      </c>
      <c r="D136" s="19" t="s">
        <v>331</v>
      </c>
      <c r="E136" s="19" t="s">
        <v>223</v>
      </c>
      <c r="F136" s="20"/>
      <c r="G136" s="31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23" t="s">
        <v>332</v>
      </c>
      <c r="B137" s="24">
        <v>17907.0</v>
      </c>
      <c r="C137" s="30" t="s">
        <v>333</v>
      </c>
      <c r="D137" s="25" t="s">
        <v>307</v>
      </c>
      <c r="E137" s="25" t="s">
        <v>223</v>
      </c>
      <c r="F137" s="26"/>
      <c r="G137" s="32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6" t="s">
        <v>334</v>
      </c>
      <c r="B138" s="17">
        <v>25726.0</v>
      </c>
      <c r="C138" s="18" t="s">
        <v>335</v>
      </c>
      <c r="D138" s="19" t="s">
        <v>336</v>
      </c>
      <c r="E138" s="19" t="s">
        <v>223</v>
      </c>
      <c r="F138" s="20"/>
      <c r="G138" s="31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23" t="s">
        <v>337</v>
      </c>
      <c r="B139" s="24">
        <v>32510.0</v>
      </c>
      <c r="C139" s="30" t="s">
        <v>338</v>
      </c>
      <c r="D139" s="25" t="s">
        <v>339</v>
      </c>
      <c r="E139" s="25" t="s">
        <v>223</v>
      </c>
      <c r="F139" s="26"/>
      <c r="G139" s="32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6" t="s">
        <v>340</v>
      </c>
      <c r="B140" s="17">
        <v>33479.0</v>
      </c>
      <c r="C140" s="18" t="s">
        <v>341</v>
      </c>
      <c r="D140" s="19" t="s">
        <v>342</v>
      </c>
      <c r="E140" s="19" t="s">
        <v>223</v>
      </c>
      <c r="F140" s="20"/>
      <c r="G140" s="31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23" t="s">
        <v>343</v>
      </c>
      <c r="B141" s="24">
        <v>31327.0</v>
      </c>
      <c r="C141" s="30" t="s">
        <v>344</v>
      </c>
      <c r="D141" s="25" t="s">
        <v>345</v>
      </c>
      <c r="E141" s="25" t="s">
        <v>223</v>
      </c>
      <c r="F141" s="26"/>
      <c r="G141" s="32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6" t="s">
        <v>346</v>
      </c>
      <c r="B142" s="17">
        <v>22678.0</v>
      </c>
      <c r="C142" s="18" t="s">
        <v>347</v>
      </c>
      <c r="D142" s="19" t="s">
        <v>348</v>
      </c>
      <c r="E142" s="19" t="s">
        <v>223</v>
      </c>
      <c r="F142" s="20"/>
      <c r="G142" s="31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23" t="s">
        <v>349</v>
      </c>
      <c r="B143" s="24">
        <v>22680.0</v>
      </c>
      <c r="C143" s="30" t="s">
        <v>350</v>
      </c>
      <c r="D143" s="25" t="s">
        <v>348</v>
      </c>
      <c r="E143" s="25" t="s">
        <v>223</v>
      </c>
      <c r="F143" s="26"/>
      <c r="G143" s="32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6" t="s">
        <v>351</v>
      </c>
      <c r="B144" s="17">
        <v>26918.0</v>
      </c>
      <c r="C144" s="18" t="s">
        <v>352</v>
      </c>
      <c r="D144" s="19" t="s">
        <v>353</v>
      </c>
      <c r="E144" s="19" t="s">
        <v>223</v>
      </c>
      <c r="F144" s="20"/>
      <c r="G144" s="31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23" t="s">
        <v>354</v>
      </c>
      <c r="B145" s="24">
        <v>32505.0</v>
      </c>
      <c r="C145" s="30" t="s">
        <v>355</v>
      </c>
      <c r="D145" s="25" t="s">
        <v>356</v>
      </c>
      <c r="E145" s="25" t="s">
        <v>223</v>
      </c>
      <c r="F145" s="26"/>
      <c r="G145" s="32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6" t="s">
        <v>357</v>
      </c>
      <c r="B146" s="17">
        <v>29399.0</v>
      </c>
      <c r="C146" s="18" t="s">
        <v>358</v>
      </c>
      <c r="D146" s="19" t="s">
        <v>359</v>
      </c>
      <c r="E146" s="19" t="s">
        <v>223</v>
      </c>
      <c r="F146" s="20"/>
      <c r="G146" s="31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23" t="s">
        <v>360</v>
      </c>
      <c r="B147" s="24">
        <v>24416.0</v>
      </c>
      <c r="C147" s="30" t="s">
        <v>361</v>
      </c>
      <c r="D147" s="25" t="s">
        <v>362</v>
      </c>
      <c r="E147" s="25" t="s">
        <v>223</v>
      </c>
      <c r="F147" s="26"/>
      <c r="G147" s="32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5" t="s">
        <v>363</v>
      </c>
      <c r="B148" s="6">
        <v>23671.0</v>
      </c>
      <c r="C148" s="7" t="s">
        <v>364</v>
      </c>
      <c r="D148" s="19" t="s">
        <v>365</v>
      </c>
      <c r="E148" s="8" t="s">
        <v>223</v>
      </c>
      <c r="F148" s="9"/>
      <c r="G148" s="3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5"/>
      <c r="B149" s="6"/>
      <c r="C149" s="7"/>
      <c r="D149" s="8"/>
      <c r="E149" s="8"/>
      <c r="F149" s="9"/>
      <c r="G149" s="3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6" t="s">
        <v>366</v>
      </c>
      <c r="B150" s="17">
        <v>17732.0</v>
      </c>
      <c r="C150" s="18" t="s">
        <v>367</v>
      </c>
      <c r="D150" s="19" t="s">
        <v>368</v>
      </c>
      <c r="E150" s="19" t="s">
        <v>223</v>
      </c>
      <c r="F150" s="20"/>
      <c r="G150" s="31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23" t="s">
        <v>369</v>
      </c>
      <c r="B151" s="24">
        <v>40336.0</v>
      </c>
      <c r="C151" s="25" t="s">
        <v>370</v>
      </c>
      <c r="D151" s="25" t="s">
        <v>371</v>
      </c>
      <c r="E151" s="25" t="s">
        <v>223</v>
      </c>
      <c r="F151" s="26"/>
      <c r="G151" s="32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6" t="s">
        <v>372</v>
      </c>
      <c r="B152" s="17">
        <v>30521.0</v>
      </c>
      <c r="C152" s="19" t="s">
        <v>370</v>
      </c>
      <c r="D152" s="19" t="s">
        <v>373</v>
      </c>
      <c r="E152" s="19" t="s">
        <v>223</v>
      </c>
      <c r="F152" s="20"/>
      <c r="G152" s="31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23" t="s">
        <v>374</v>
      </c>
      <c r="B153" s="24"/>
      <c r="C153" s="30"/>
      <c r="D153" s="19"/>
      <c r="E153" s="25" t="s">
        <v>223</v>
      </c>
      <c r="F153" s="26"/>
      <c r="G153" s="32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6" t="s">
        <v>375</v>
      </c>
      <c r="B154" s="17">
        <v>35854.0</v>
      </c>
      <c r="C154" s="19" t="s">
        <v>376</v>
      </c>
      <c r="D154" s="19" t="s">
        <v>377</v>
      </c>
      <c r="E154" s="19" t="s">
        <v>223</v>
      </c>
      <c r="F154" s="20"/>
      <c r="G154" s="31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23" t="s">
        <v>378</v>
      </c>
      <c r="B155" s="24">
        <v>30645.0</v>
      </c>
      <c r="C155" s="25" t="s">
        <v>379</v>
      </c>
      <c r="D155" s="25" t="s">
        <v>380</v>
      </c>
      <c r="E155" s="25" t="s">
        <v>223</v>
      </c>
      <c r="F155" s="26"/>
      <c r="G155" s="32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6" t="s">
        <v>381</v>
      </c>
      <c r="B156" s="17">
        <v>23878.0</v>
      </c>
      <c r="C156" s="18" t="s">
        <v>382</v>
      </c>
      <c r="D156" s="19" t="s">
        <v>383</v>
      </c>
      <c r="E156" s="19" t="s">
        <v>223</v>
      </c>
      <c r="F156" s="20"/>
      <c r="G156" s="31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23" t="s">
        <v>384</v>
      </c>
      <c r="B157" s="24">
        <v>25251.0</v>
      </c>
      <c r="C157" s="25" t="s">
        <v>385</v>
      </c>
      <c r="D157" s="25" t="s">
        <v>386</v>
      </c>
      <c r="E157" s="25" t="s">
        <v>223</v>
      </c>
      <c r="F157" s="26"/>
      <c r="G157" s="32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6" t="s">
        <v>387</v>
      </c>
      <c r="B158" s="17">
        <v>35398.0</v>
      </c>
      <c r="C158" s="19" t="s">
        <v>388</v>
      </c>
      <c r="D158" s="19" t="s">
        <v>389</v>
      </c>
      <c r="E158" s="19" t="s">
        <v>223</v>
      </c>
      <c r="F158" s="20"/>
      <c r="G158" s="31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23" t="s">
        <v>390</v>
      </c>
      <c r="B159" s="24">
        <v>33135.0</v>
      </c>
      <c r="C159" s="25" t="s">
        <v>391</v>
      </c>
      <c r="D159" s="25" t="s">
        <v>392</v>
      </c>
      <c r="E159" s="25" t="s">
        <v>223</v>
      </c>
      <c r="F159" s="26"/>
      <c r="G159" s="32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6" t="s">
        <v>393</v>
      </c>
      <c r="B160" s="17"/>
      <c r="C160" s="18" t="s">
        <v>394</v>
      </c>
      <c r="D160" s="19" t="s">
        <v>395</v>
      </c>
      <c r="E160" s="19" t="s">
        <v>223</v>
      </c>
      <c r="F160" s="20"/>
      <c r="G160" s="31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23" t="s">
        <v>396</v>
      </c>
      <c r="B161" s="24">
        <v>38672.0</v>
      </c>
      <c r="C161" s="30" t="s">
        <v>397</v>
      </c>
      <c r="D161" s="25" t="s">
        <v>398</v>
      </c>
      <c r="E161" s="25" t="s">
        <v>223</v>
      </c>
      <c r="F161" s="26"/>
      <c r="G161" s="32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6" t="s">
        <v>399</v>
      </c>
      <c r="B162" s="17">
        <v>42226.0</v>
      </c>
      <c r="C162" s="19" t="s">
        <v>400</v>
      </c>
      <c r="D162" s="19" t="s">
        <v>401</v>
      </c>
      <c r="E162" s="19" t="s">
        <v>402</v>
      </c>
      <c r="F162" s="20"/>
      <c r="G162" s="31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23" t="s">
        <v>403</v>
      </c>
      <c r="B163" s="24">
        <v>43589.0</v>
      </c>
      <c r="C163" s="30" t="s">
        <v>404</v>
      </c>
      <c r="D163" s="25" t="s">
        <v>405</v>
      </c>
      <c r="E163" s="25" t="s">
        <v>402</v>
      </c>
      <c r="F163" s="26"/>
      <c r="G163" s="32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6" t="s">
        <v>406</v>
      </c>
      <c r="B164" s="17">
        <v>42815.0</v>
      </c>
      <c r="C164" s="18" t="s">
        <v>404</v>
      </c>
      <c r="D164" s="19" t="s">
        <v>407</v>
      </c>
      <c r="E164" s="19" t="s">
        <v>402</v>
      </c>
      <c r="F164" s="20"/>
      <c r="G164" s="31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23" t="s">
        <v>408</v>
      </c>
      <c r="B165" s="24">
        <v>45134.0</v>
      </c>
      <c r="C165" s="30" t="s">
        <v>404</v>
      </c>
      <c r="D165" s="25" t="s">
        <v>409</v>
      </c>
      <c r="E165" s="25" t="s">
        <v>402</v>
      </c>
      <c r="F165" s="26"/>
      <c r="G165" s="32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6" t="s">
        <v>410</v>
      </c>
      <c r="B166" s="17">
        <v>42859.0</v>
      </c>
      <c r="C166" s="18" t="s">
        <v>411</v>
      </c>
      <c r="D166" s="19" t="s">
        <v>412</v>
      </c>
      <c r="E166" s="19" t="s">
        <v>402</v>
      </c>
      <c r="F166" s="20"/>
      <c r="G166" s="31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23" t="s">
        <v>413</v>
      </c>
      <c r="B167" s="24">
        <v>44249.0</v>
      </c>
      <c r="C167" s="30" t="s">
        <v>414</v>
      </c>
      <c r="D167" s="25" t="s">
        <v>415</v>
      </c>
      <c r="E167" s="25" t="s">
        <v>402</v>
      </c>
      <c r="F167" s="26"/>
      <c r="G167" s="32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6" t="s">
        <v>416</v>
      </c>
      <c r="B168" s="17">
        <v>41014.0</v>
      </c>
      <c r="C168" s="18" t="s">
        <v>411</v>
      </c>
      <c r="D168" s="19" t="s">
        <v>417</v>
      </c>
      <c r="E168" s="19" t="s">
        <v>402</v>
      </c>
      <c r="F168" s="20"/>
      <c r="G168" s="31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23" t="s">
        <v>418</v>
      </c>
      <c r="B169" s="24">
        <v>41811.0</v>
      </c>
      <c r="C169" s="30" t="s">
        <v>419</v>
      </c>
      <c r="D169" s="25" t="s">
        <v>420</v>
      </c>
      <c r="E169" s="25" t="s">
        <v>402</v>
      </c>
      <c r="F169" s="26"/>
      <c r="G169" s="32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6" t="s">
        <v>421</v>
      </c>
      <c r="B170" s="17">
        <v>42354.0</v>
      </c>
      <c r="C170" s="18" t="s">
        <v>419</v>
      </c>
      <c r="D170" s="19" t="s">
        <v>420</v>
      </c>
      <c r="E170" s="19" t="s">
        <v>402</v>
      </c>
      <c r="F170" s="20"/>
      <c r="G170" s="31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23" t="s">
        <v>422</v>
      </c>
      <c r="B171" s="24">
        <v>44517.0</v>
      </c>
      <c r="C171" s="30" t="s">
        <v>423</v>
      </c>
      <c r="D171" s="25" t="s">
        <v>424</v>
      </c>
      <c r="E171" s="25" t="s">
        <v>402</v>
      </c>
      <c r="F171" s="26"/>
      <c r="G171" s="32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6" t="s">
        <v>425</v>
      </c>
      <c r="B172" s="17">
        <v>42039.0</v>
      </c>
      <c r="C172" s="18" t="s">
        <v>423</v>
      </c>
      <c r="D172" s="19" t="s">
        <v>426</v>
      </c>
      <c r="E172" s="19" t="s">
        <v>402</v>
      </c>
      <c r="F172" s="20"/>
      <c r="G172" s="31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23" t="s">
        <v>427</v>
      </c>
      <c r="B173" s="24">
        <v>44224.0</v>
      </c>
      <c r="C173" s="30" t="s">
        <v>428</v>
      </c>
      <c r="D173" s="25" t="s">
        <v>429</v>
      </c>
      <c r="E173" s="25" t="s">
        <v>402</v>
      </c>
      <c r="F173" s="26"/>
      <c r="G173" s="32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6" t="s">
        <v>430</v>
      </c>
      <c r="B174" s="17">
        <v>42860.0</v>
      </c>
      <c r="C174" s="18" t="s">
        <v>431</v>
      </c>
      <c r="D174" s="19" t="s">
        <v>429</v>
      </c>
      <c r="E174" s="19" t="s">
        <v>402</v>
      </c>
      <c r="F174" s="20"/>
      <c r="G174" s="31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23" t="s">
        <v>432</v>
      </c>
      <c r="B175" s="24">
        <v>41890.0</v>
      </c>
      <c r="C175" s="30" t="s">
        <v>338</v>
      </c>
      <c r="D175" s="25" t="s">
        <v>433</v>
      </c>
      <c r="E175" s="25" t="s">
        <v>402</v>
      </c>
      <c r="F175" s="26"/>
      <c r="G175" s="32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6" t="s">
        <v>434</v>
      </c>
      <c r="B176" s="17">
        <v>40233.0</v>
      </c>
      <c r="C176" s="18" t="s">
        <v>338</v>
      </c>
      <c r="D176" s="19" t="s">
        <v>433</v>
      </c>
      <c r="E176" s="19" t="s">
        <v>402</v>
      </c>
      <c r="F176" s="20"/>
      <c r="G176" s="31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23" t="s">
        <v>435</v>
      </c>
      <c r="B177" s="24">
        <v>40864.0</v>
      </c>
      <c r="C177" s="30" t="s">
        <v>436</v>
      </c>
      <c r="D177" s="25" t="s">
        <v>437</v>
      </c>
      <c r="E177" s="25" t="s">
        <v>402</v>
      </c>
      <c r="F177" s="26"/>
      <c r="G177" s="32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6" t="s">
        <v>438</v>
      </c>
      <c r="B178" s="17">
        <v>44005.0</v>
      </c>
      <c r="C178" s="18" t="s">
        <v>436</v>
      </c>
      <c r="D178" s="19" t="s">
        <v>437</v>
      </c>
      <c r="E178" s="19" t="s">
        <v>402</v>
      </c>
      <c r="F178" s="20"/>
      <c r="G178" s="31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23" t="s">
        <v>439</v>
      </c>
      <c r="B179" s="24">
        <v>35239.0</v>
      </c>
      <c r="C179" s="30" t="s">
        <v>440</v>
      </c>
      <c r="D179" s="25" t="s">
        <v>441</v>
      </c>
      <c r="E179" s="25" t="s">
        <v>402</v>
      </c>
      <c r="F179" s="26"/>
      <c r="G179" s="32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6" t="s">
        <v>442</v>
      </c>
      <c r="B180" s="17">
        <v>45068.0</v>
      </c>
      <c r="C180" s="18" t="s">
        <v>440</v>
      </c>
      <c r="D180" s="19" t="s">
        <v>443</v>
      </c>
      <c r="E180" s="19" t="s">
        <v>402</v>
      </c>
      <c r="F180" s="20"/>
      <c r="G180" s="31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23" t="s">
        <v>444</v>
      </c>
      <c r="B181" s="24">
        <v>41590.0</v>
      </c>
      <c r="C181" s="30" t="s">
        <v>445</v>
      </c>
      <c r="D181" s="25" t="s">
        <v>446</v>
      </c>
      <c r="E181" s="25" t="s">
        <v>402</v>
      </c>
      <c r="F181" s="26"/>
      <c r="G181" s="32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6" t="s">
        <v>447</v>
      </c>
      <c r="B182" s="17">
        <v>26446.0</v>
      </c>
      <c r="C182" s="18" t="s">
        <v>445</v>
      </c>
      <c r="D182" s="19" t="s">
        <v>446</v>
      </c>
      <c r="E182" s="19" t="s">
        <v>402</v>
      </c>
      <c r="F182" s="20"/>
      <c r="G182" s="31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23" t="s">
        <v>448</v>
      </c>
      <c r="B183" s="24"/>
      <c r="C183" s="30" t="s">
        <v>449</v>
      </c>
      <c r="D183" s="25" t="s">
        <v>450</v>
      </c>
      <c r="E183" s="25" t="s">
        <v>402</v>
      </c>
      <c r="F183" s="26"/>
      <c r="G183" s="32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6" t="s">
        <v>451</v>
      </c>
      <c r="B184" s="17">
        <v>42039.0</v>
      </c>
      <c r="C184" s="19" t="s">
        <v>206</v>
      </c>
      <c r="D184" s="19" t="s">
        <v>452</v>
      </c>
      <c r="E184" s="19" t="s">
        <v>402</v>
      </c>
      <c r="F184" s="20"/>
      <c r="G184" s="31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23" t="s">
        <v>453</v>
      </c>
      <c r="B185" s="24">
        <v>44774.0</v>
      </c>
      <c r="C185" s="25" t="s">
        <v>454</v>
      </c>
      <c r="D185" s="25" t="s">
        <v>455</v>
      </c>
      <c r="E185" s="25" t="s">
        <v>402</v>
      </c>
      <c r="F185" s="26"/>
      <c r="G185" s="32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6" t="s">
        <v>456</v>
      </c>
      <c r="B186" s="17">
        <v>42105.0</v>
      </c>
      <c r="C186" s="19" t="s">
        <v>457</v>
      </c>
      <c r="D186" s="25"/>
      <c r="E186" s="19" t="s">
        <v>402</v>
      </c>
      <c r="F186" s="20"/>
      <c r="G186" s="31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23" t="s">
        <v>458</v>
      </c>
      <c r="B187" s="24">
        <v>41957.0</v>
      </c>
      <c r="C187" s="25" t="s">
        <v>459</v>
      </c>
      <c r="D187" s="25" t="s">
        <v>460</v>
      </c>
      <c r="E187" s="25" t="s">
        <v>402</v>
      </c>
      <c r="F187" s="26"/>
      <c r="G187" s="32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6" t="s">
        <v>461</v>
      </c>
      <c r="B188" s="17">
        <v>42108.0</v>
      </c>
      <c r="C188" s="19" t="s">
        <v>462</v>
      </c>
      <c r="D188" s="19" t="s">
        <v>463</v>
      </c>
      <c r="E188" s="19" t="s">
        <v>402</v>
      </c>
      <c r="F188" s="20"/>
      <c r="G188" s="31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23" t="s">
        <v>464</v>
      </c>
      <c r="B189" s="24">
        <v>39764.0</v>
      </c>
      <c r="C189" s="25" t="s">
        <v>465</v>
      </c>
      <c r="D189" s="25" t="s">
        <v>466</v>
      </c>
      <c r="E189" s="25" t="s">
        <v>402</v>
      </c>
      <c r="F189" s="26"/>
      <c r="G189" s="32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6" t="s">
        <v>467</v>
      </c>
      <c r="B190" s="17">
        <v>43796.0</v>
      </c>
      <c r="C190" s="19" t="s">
        <v>468</v>
      </c>
      <c r="D190" s="19" t="s">
        <v>469</v>
      </c>
      <c r="E190" s="19" t="s">
        <v>402</v>
      </c>
      <c r="F190" s="20"/>
      <c r="G190" s="31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23" t="s">
        <v>470</v>
      </c>
      <c r="B191" s="24">
        <v>42232.0</v>
      </c>
      <c r="C191" s="25" t="s">
        <v>468</v>
      </c>
      <c r="D191" s="25" t="s">
        <v>469</v>
      </c>
      <c r="E191" s="25" t="s">
        <v>402</v>
      </c>
      <c r="F191" s="26"/>
      <c r="G191" s="32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6" t="s">
        <v>471</v>
      </c>
      <c r="B192" s="17">
        <v>38566.0</v>
      </c>
      <c r="C192" s="19" t="s">
        <v>472</v>
      </c>
      <c r="D192" s="19" t="s">
        <v>473</v>
      </c>
      <c r="E192" s="19" t="s">
        <v>402</v>
      </c>
      <c r="F192" s="20"/>
      <c r="G192" s="31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23" t="s">
        <v>148</v>
      </c>
      <c r="B193" s="24">
        <v>41495.0</v>
      </c>
      <c r="C193" s="25" t="s">
        <v>472</v>
      </c>
      <c r="D193" s="25" t="s">
        <v>473</v>
      </c>
      <c r="E193" s="25" t="s">
        <v>402</v>
      </c>
      <c r="F193" s="26"/>
      <c r="G193" s="32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6" t="s">
        <v>474</v>
      </c>
      <c r="B194" s="17">
        <v>40336.0</v>
      </c>
      <c r="C194" s="19" t="s">
        <v>472</v>
      </c>
      <c r="D194" s="19" t="s">
        <v>473</v>
      </c>
      <c r="E194" s="19" t="s">
        <v>402</v>
      </c>
      <c r="F194" s="20"/>
      <c r="G194" s="31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23" t="s">
        <v>475</v>
      </c>
      <c r="B195" s="24">
        <v>42033.0</v>
      </c>
      <c r="C195" s="25" t="s">
        <v>476</v>
      </c>
      <c r="D195" s="25" t="s">
        <v>477</v>
      </c>
      <c r="E195" s="25" t="s">
        <v>402</v>
      </c>
      <c r="F195" s="26"/>
      <c r="G195" s="32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6" t="s">
        <v>478</v>
      </c>
      <c r="B196" s="17">
        <v>43020.0</v>
      </c>
      <c r="C196" s="19" t="s">
        <v>479</v>
      </c>
      <c r="D196" s="19" t="s">
        <v>480</v>
      </c>
      <c r="E196" s="19" t="s">
        <v>402</v>
      </c>
      <c r="F196" s="20"/>
      <c r="G196" s="31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23" t="s">
        <v>481</v>
      </c>
      <c r="B197" s="24">
        <v>43735.0</v>
      </c>
      <c r="C197" s="25" t="s">
        <v>482</v>
      </c>
      <c r="D197" s="25" t="s">
        <v>483</v>
      </c>
      <c r="E197" s="25" t="s">
        <v>402</v>
      </c>
      <c r="F197" s="26"/>
      <c r="G197" s="32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6" t="s">
        <v>484</v>
      </c>
      <c r="B198" s="17">
        <v>42938.0</v>
      </c>
      <c r="C198" s="19" t="s">
        <v>485</v>
      </c>
      <c r="D198" s="19" t="s">
        <v>486</v>
      </c>
      <c r="E198" s="19" t="s">
        <v>402</v>
      </c>
      <c r="F198" s="20"/>
      <c r="G198" s="31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23" t="s">
        <v>487</v>
      </c>
      <c r="B199" s="24">
        <v>43891.0</v>
      </c>
      <c r="C199" s="25" t="s">
        <v>485</v>
      </c>
      <c r="D199" s="25" t="s">
        <v>486</v>
      </c>
      <c r="E199" s="25" t="s">
        <v>402</v>
      </c>
      <c r="F199" s="26"/>
      <c r="G199" s="32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6" t="s">
        <v>488</v>
      </c>
      <c r="B200" s="17">
        <v>42844.0</v>
      </c>
      <c r="C200" s="19" t="s">
        <v>489</v>
      </c>
      <c r="D200" s="19" t="s">
        <v>490</v>
      </c>
      <c r="E200" s="19" t="s">
        <v>402</v>
      </c>
      <c r="F200" s="20"/>
      <c r="G200" s="31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23" t="s">
        <v>139</v>
      </c>
      <c r="B201" s="24">
        <v>39456.0</v>
      </c>
      <c r="C201" s="25" t="s">
        <v>491</v>
      </c>
      <c r="D201" s="25" t="s">
        <v>492</v>
      </c>
      <c r="E201" s="25" t="s">
        <v>402</v>
      </c>
      <c r="F201" s="26"/>
      <c r="G201" s="32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6" t="s">
        <v>493</v>
      </c>
      <c r="B202" s="17">
        <v>42909.0</v>
      </c>
      <c r="C202" s="19" t="s">
        <v>491</v>
      </c>
      <c r="D202" s="19" t="s">
        <v>492</v>
      </c>
      <c r="E202" s="19" t="s">
        <v>402</v>
      </c>
      <c r="F202" s="20"/>
      <c r="G202" s="31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23" t="s">
        <v>494</v>
      </c>
      <c r="B203" s="24">
        <v>44307.0</v>
      </c>
      <c r="C203" s="25" t="s">
        <v>495</v>
      </c>
      <c r="D203" s="25" t="s">
        <v>496</v>
      </c>
      <c r="E203" s="25" t="s">
        <v>402</v>
      </c>
      <c r="F203" s="26"/>
      <c r="G203" s="32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6" t="s">
        <v>497</v>
      </c>
      <c r="B204" s="17">
        <v>41645.0</v>
      </c>
      <c r="C204" s="19" t="s">
        <v>495</v>
      </c>
      <c r="D204" s="19" t="s">
        <v>496</v>
      </c>
      <c r="E204" s="19" t="s">
        <v>402</v>
      </c>
      <c r="F204" s="20"/>
      <c r="G204" s="31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23" t="s">
        <v>498</v>
      </c>
      <c r="B205" s="24">
        <v>42013.0</v>
      </c>
      <c r="C205" s="25" t="s">
        <v>499</v>
      </c>
      <c r="D205" s="25" t="s">
        <v>500</v>
      </c>
      <c r="E205" s="25" t="s">
        <v>402</v>
      </c>
      <c r="F205" s="26"/>
      <c r="G205" s="32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6" t="s">
        <v>501</v>
      </c>
      <c r="B206" s="17">
        <v>44084.0</v>
      </c>
      <c r="C206" s="19" t="s">
        <v>502</v>
      </c>
      <c r="D206" s="19" t="s">
        <v>503</v>
      </c>
      <c r="E206" s="19" t="s">
        <v>402</v>
      </c>
      <c r="F206" s="20"/>
      <c r="G206" s="31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23" t="s">
        <v>504</v>
      </c>
      <c r="B207" s="24">
        <v>44874.0</v>
      </c>
      <c r="C207" s="25" t="s">
        <v>505</v>
      </c>
      <c r="D207" s="19"/>
      <c r="E207" s="25" t="s">
        <v>402</v>
      </c>
      <c r="F207" s="26"/>
      <c r="G207" s="32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6" t="s">
        <v>506</v>
      </c>
      <c r="B208" s="17">
        <v>39555.0</v>
      </c>
      <c r="C208" s="19" t="s">
        <v>507</v>
      </c>
      <c r="D208" s="19" t="s">
        <v>508</v>
      </c>
      <c r="E208" s="19" t="s">
        <v>402</v>
      </c>
      <c r="F208" s="20"/>
      <c r="G208" s="31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23" t="s">
        <v>509</v>
      </c>
      <c r="B209" s="24">
        <v>39668.0</v>
      </c>
      <c r="C209" s="25" t="s">
        <v>510</v>
      </c>
      <c r="D209" s="25" t="s">
        <v>511</v>
      </c>
      <c r="E209" s="25" t="s">
        <v>402</v>
      </c>
      <c r="F209" s="26"/>
      <c r="G209" s="32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6" t="s">
        <v>512</v>
      </c>
      <c r="B210" s="17">
        <v>42810.0</v>
      </c>
      <c r="C210" s="19" t="s">
        <v>513</v>
      </c>
      <c r="D210" s="19" t="s">
        <v>514</v>
      </c>
      <c r="E210" s="19" t="s">
        <v>402</v>
      </c>
      <c r="F210" s="20"/>
      <c r="G210" s="31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23" t="s">
        <v>515</v>
      </c>
      <c r="B211" s="24">
        <v>42612.0</v>
      </c>
      <c r="C211" s="25" t="s">
        <v>516</v>
      </c>
      <c r="D211" s="25" t="s">
        <v>517</v>
      </c>
      <c r="E211" s="25" t="s">
        <v>402</v>
      </c>
      <c r="F211" s="26"/>
      <c r="G211" s="32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6" t="s">
        <v>518</v>
      </c>
      <c r="B212" s="17">
        <v>42046.0</v>
      </c>
      <c r="C212" s="19" t="s">
        <v>519</v>
      </c>
      <c r="D212" s="19" t="s">
        <v>520</v>
      </c>
      <c r="E212" s="19" t="s">
        <v>402</v>
      </c>
      <c r="F212" s="20"/>
      <c r="G212" s="31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23" t="s">
        <v>521</v>
      </c>
      <c r="B213" s="24">
        <v>42341.0</v>
      </c>
      <c r="C213" s="25" t="s">
        <v>522</v>
      </c>
      <c r="D213" s="25" t="s">
        <v>508</v>
      </c>
      <c r="E213" s="25" t="s">
        <v>402</v>
      </c>
      <c r="F213" s="26"/>
      <c r="G213" s="32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5" t="s">
        <v>523</v>
      </c>
      <c r="B214" s="24">
        <v>43737.0</v>
      </c>
      <c r="C214" s="8" t="s">
        <v>524</v>
      </c>
      <c r="D214" s="8" t="s">
        <v>525</v>
      </c>
      <c r="E214" s="8" t="s">
        <v>402</v>
      </c>
      <c r="F214" s="9"/>
      <c r="G214" s="3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6" t="s">
        <v>526</v>
      </c>
      <c r="B215" s="17">
        <v>40723.0</v>
      </c>
      <c r="C215" s="19" t="s">
        <v>522</v>
      </c>
      <c r="D215" s="19" t="s">
        <v>508</v>
      </c>
      <c r="E215" s="19" t="s">
        <v>402</v>
      </c>
      <c r="F215" s="20"/>
      <c r="G215" s="31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23" t="s">
        <v>527</v>
      </c>
      <c r="B216" s="24">
        <v>42734.0</v>
      </c>
      <c r="C216" s="25" t="s">
        <v>528</v>
      </c>
      <c r="D216" s="25" t="s">
        <v>529</v>
      </c>
      <c r="E216" s="25" t="s">
        <v>402</v>
      </c>
      <c r="F216" s="26"/>
      <c r="G216" s="32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6" t="s">
        <v>100</v>
      </c>
      <c r="B217" s="17">
        <v>39821.0</v>
      </c>
      <c r="C217" s="19" t="s">
        <v>530</v>
      </c>
      <c r="D217" s="19" t="s">
        <v>386</v>
      </c>
      <c r="E217" s="19" t="s">
        <v>402</v>
      </c>
      <c r="F217" s="20"/>
      <c r="G217" s="31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23" t="s">
        <v>531</v>
      </c>
      <c r="B218" s="24">
        <v>42771.0</v>
      </c>
      <c r="C218" s="25" t="s">
        <v>281</v>
      </c>
      <c r="D218" s="25" t="s">
        <v>450</v>
      </c>
      <c r="E218" s="25" t="s">
        <v>402</v>
      </c>
      <c r="F218" s="26"/>
      <c r="G218" s="32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6" t="s">
        <v>532</v>
      </c>
      <c r="B219" s="17">
        <v>43706.0</v>
      </c>
      <c r="C219" s="19" t="s">
        <v>533</v>
      </c>
      <c r="D219" s="19" t="s">
        <v>534</v>
      </c>
      <c r="E219" s="19" t="s">
        <v>402</v>
      </c>
      <c r="F219" s="20"/>
      <c r="G219" s="31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23" t="s">
        <v>535</v>
      </c>
      <c r="B220" s="24">
        <v>42745.0</v>
      </c>
      <c r="C220" s="25" t="s">
        <v>536</v>
      </c>
      <c r="D220" s="25" t="s">
        <v>537</v>
      </c>
      <c r="E220" s="25" t="s">
        <v>402</v>
      </c>
      <c r="F220" s="26"/>
      <c r="G220" s="32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6" t="s">
        <v>538</v>
      </c>
      <c r="B221" s="17">
        <v>27005.0</v>
      </c>
      <c r="C221" s="19" t="s">
        <v>539</v>
      </c>
      <c r="D221" s="19" t="s">
        <v>540</v>
      </c>
      <c r="E221" s="19" t="s">
        <v>402</v>
      </c>
      <c r="F221" s="20"/>
      <c r="G221" s="31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23" t="s">
        <v>541</v>
      </c>
      <c r="B222" s="24">
        <v>29764.0</v>
      </c>
      <c r="C222" s="25" t="s">
        <v>542</v>
      </c>
      <c r="D222" s="25" t="s">
        <v>543</v>
      </c>
      <c r="E222" s="25" t="s">
        <v>402</v>
      </c>
      <c r="F222" s="26"/>
      <c r="G222" s="32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16" t="s">
        <v>94</v>
      </c>
      <c r="B223" s="17">
        <v>42758.0</v>
      </c>
      <c r="C223" s="19" t="s">
        <v>95</v>
      </c>
      <c r="D223" s="19" t="s">
        <v>544</v>
      </c>
      <c r="E223" s="19" t="s">
        <v>402</v>
      </c>
      <c r="F223" s="20"/>
      <c r="G223" s="31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23" t="s">
        <v>545</v>
      </c>
      <c r="B224" s="24">
        <v>42361.0</v>
      </c>
      <c r="C224" s="25" t="s">
        <v>546</v>
      </c>
      <c r="D224" s="25" t="s">
        <v>547</v>
      </c>
      <c r="E224" s="25" t="s">
        <v>402</v>
      </c>
      <c r="F224" s="26"/>
      <c r="G224" s="32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16" t="s">
        <v>548</v>
      </c>
      <c r="B225" s="17">
        <v>41828.0</v>
      </c>
      <c r="C225" s="19" t="s">
        <v>549</v>
      </c>
      <c r="D225" s="19" t="s">
        <v>550</v>
      </c>
      <c r="E225" s="19" t="s">
        <v>402</v>
      </c>
      <c r="F225" s="20"/>
      <c r="G225" s="31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23" t="s">
        <v>551</v>
      </c>
      <c r="B226" s="24"/>
      <c r="C226" s="25" t="s">
        <v>552</v>
      </c>
      <c r="D226" s="25" t="s">
        <v>553</v>
      </c>
      <c r="E226" s="25" t="s">
        <v>402</v>
      </c>
      <c r="F226" s="26"/>
      <c r="G226" s="32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16" t="s">
        <v>554</v>
      </c>
      <c r="B227" s="17">
        <v>43830.0</v>
      </c>
      <c r="C227" s="19" t="s">
        <v>555</v>
      </c>
      <c r="D227" s="19" t="s">
        <v>556</v>
      </c>
      <c r="E227" s="19" t="s">
        <v>402</v>
      </c>
      <c r="F227" s="20"/>
      <c r="G227" s="31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23" t="s">
        <v>259</v>
      </c>
      <c r="B228" s="24">
        <v>25242.0</v>
      </c>
      <c r="C228" s="25" t="s">
        <v>260</v>
      </c>
      <c r="D228" s="19"/>
      <c r="E228" s="25" t="s">
        <v>402</v>
      </c>
      <c r="F228" s="26"/>
      <c r="G228" s="32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16" t="s">
        <v>292</v>
      </c>
      <c r="B229" s="17">
        <v>27060.0</v>
      </c>
      <c r="C229" s="19" t="s">
        <v>293</v>
      </c>
      <c r="D229" s="19" t="s">
        <v>557</v>
      </c>
      <c r="E229" s="19" t="s">
        <v>402</v>
      </c>
      <c r="F229" s="20"/>
      <c r="G229" s="31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23" t="s">
        <v>106</v>
      </c>
      <c r="B230" s="24">
        <v>42623.0</v>
      </c>
      <c r="C230" s="25" t="s">
        <v>558</v>
      </c>
      <c r="D230" s="25" t="s">
        <v>559</v>
      </c>
      <c r="E230" s="25" t="s">
        <v>402</v>
      </c>
      <c r="F230" s="26"/>
      <c r="G230" s="32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16" t="s">
        <v>560</v>
      </c>
      <c r="B231" s="17">
        <v>42063.0</v>
      </c>
      <c r="C231" s="19" t="s">
        <v>558</v>
      </c>
      <c r="D231" s="19" t="s">
        <v>559</v>
      </c>
      <c r="E231" s="19" t="s">
        <v>402</v>
      </c>
      <c r="F231" s="20"/>
      <c r="G231" s="31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23" t="s">
        <v>561</v>
      </c>
      <c r="B232" s="24">
        <v>44272.0</v>
      </c>
      <c r="C232" s="25" t="s">
        <v>284</v>
      </c>
      <c r="D232" s="25" t="s">
        <v>562</v>
      </c>
      <c r="E232" s="25" t="s">
        <v>402</v>
      </c>
      <c r="F232" s="26"/>
      <c r="G232" s="32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16" t="s">
        <v>563</v>
      </c>
      <c r="B233" s="17">
        <v>42068.0</v>
      </c>
      <c r="C233" s="19" t="s">
        <v>564</v>
      </c>
      <c r="D233" s="19" t="s">
        <v>565</v>
      </c>
      <c r="E233" s="19" t="s">
        <v>402</v>
      </c>
      <c r="F233" s="20"/>
      <c r="G233" s="31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23" t="s">
        <v>566</v>
      </c>
      <c r="B234" s="24">
        <v>42509.0</v>
      </c>
      <c r="C234" s="25" t="s">
        <v>533</v>
      </c>
      <c r="D234" s="25" t="s">
        <v>534</v>
      </c>
      <c r="E234" s="25" t="s">
        <v>402</v>
      </c>
      <c r="F234" s="26"/>
      <c r="G234" s="32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16" t="s">
        <v>567</v>
      </c>
      <c r="B235" s="17">
        <v>41935.0</v>
      </c>
      <c r="C235" s="19" t="s">
        <v>568</v>
      </c>
      <c r="D235" s="19" t="s">
        <v>569</v>
      </c>
      <c r="E235" s="19" t="s">
        <v>402</v>
      </c>
      <c r="F235" s="20"/>
      <c r="G235" s="31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23" t="s">
        <v>570</v>
      </c>
      <c r="B236" s="24">
        <v>43016.0</v>
      </c>
      <c r="C236" s="25" t="s">
        <v>568</v>
      </c>
      <c r="D236" s="25" t="s">
        <v>569</v>
      </c>
      <c r="E236" s="25" t="s">
        <v>402</v>
      </c>
      <c r="F236" s="26"/>
      <c r="G236" s="32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16" t="s">
        <v>571</v>
      </c>
      <c r="B237" s="17">
        <v>41499.0</v>
      </c>
      <c r="C237" s="19" t="s">
        <v>568</v>
      </c>
      <c r="D237" s="19" t="s">
        <v>569</v>
      </c>
      <c r="E237" s="19" t="s">
        <v>402</v>
      </c>
      <c r="F237" s="20"/>
      <c r="G237" s="31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23" t="s">
        <v>572</v>
      </c>
      <c r="B238" s="24">
        <v>43162.0</v>
      </c>
      <c r="C238" s="30"/>
      <c r="D238" s="25" t="s">
        <v>573</v>
      </c>
      <c r="E238" s="25" t="s">
        <v>402</v>
      </c>
      <c r="F238" s="26"/>
      <c r="G238" s="32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16" t="s">
        <v>574</v>
      </c>
      <c r="B239" s="17">
        <v>43522.0</v>
      </c>
      <c r="C239" s="19" t="s">
        <v>575</v>
      </c>
      <c r="D239" s="19" t="s">
        <v>576</v>
      </c>
      <c r="E239" s="19" t="s">
        <v>402</v>
      </c>
      <c r="F239" s="20"/>
      <c r="G239" s="31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23" t="s">
        <v>577</v>
      </c>
      <c r="B240" s="24">
        <v>42317.0</v>
      </c>
      <c r="C240" s="25" t="s">
        <v>578</v>
      </c>
      <c r="D240" s="25" t="s">
        <v>579</v>
      </c>
      <c r="E240" s="25" t="s">
        <v>402</v>
      </c>
      <c r="F240" s="26"/>
      <c r="G240" s="32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16" t="s">
        <v>580</v>
      </c>
      <c r="B241" s="17">
        <v>43103.0</v>
      </c>
      <c r="C241" s="19" t="s">
        <v>581</v>
      </c>
      <c r="D241" s="19" t="s">
        <v>582</v>
      </c>
      <c r="E241" s="19" t="s">
        <v>402</v>
      </c>
      <c r="F241" s="20"/>
      <c r="G241" s="31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23" t="s">
        <v>26</v>
      </c>
      <c r="B242" s="24">
        <v>40825.0</v>
      </c>
      <c r="C242" s="25" t="s">
        <v>21</v>
      </c>
      <c r="D242" s="19"/>
      <c r="E242" s="25" t="s">
        <v>402</v>
      </c>
      <c r="F242" s="26"/>
      <c r="G242" s="32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16" t="s">
        <v>583</v>
      </c>
      <c r="B243" s="17">
        <v>41267.0</v>
      </c>
      <c r="C243" s="19" t="s">
        <v>584</v>
      </c>
      <c r="D243" s="19" t="s">
        <v>585</v>
      </c>
      <c r="E243" s="19" t="s">
        <v>402</v>
      </c>
      <c r="F243" s="20"/>
      <c r="G243" s="31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23" t="s">
        <v>586</v>
      </c>
      <c r="B244" s="24">
        <v>42888.0</v>
      </c>
      <c r="C244" s="25" t="s">
        <v>587</v>
      </c>
      <c r="D244" s="25" t="s">
        <v>588</v>
      </c>
      <c r="E244" s="25" t="s">
        <v>402</v>
      </c>
      <c r="F244" s="26"/>
      <c r="G244" s="32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16" t="s">
        <v>589</v>
      </c>
      <c r="B245" s="17">
        <v>41774.0</v>
      </c>
      <c r="C245" s="19" t="s">
        <v>21</v>
      </c>
      <c r="D245" s="19" t="s">
        <v>590</v>
      </c>
      <c r="E245" s="19" t="s">
        <v>402</v>
      </c>
      <c r="F245" s="20"/>
      <c r="G245" s="31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23" t="s">
        <v>591</v>
      </c>
      <c r="B246" s="24">
        <v>45462.0</v>
      </c>
      <c r="C246" s="25" t="s">
        <v>592</v>
      </c>
      <c r="D246" s="25" t="s">
        <v>593</v>
      </c>
      <c r="E246" s="25" t="s">
        <v>402</v>
      </c>
      <c r="F246" s="26"/>
      <c r="G246" s="32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16" t="s">
        <v>594</v>
      </c>
      <c r="B247" s="17">
        <v>44640.0</v>
      </c>
      <c r="C247" s="19" t="s">
        <v>592</v>
      </c>
      <c r="D247" s="19" t="s">
        <v>593</v>
      </c>
      <c r="E247" s="19" t="s">
        <v>402</v>
      </c>
      <c r="F247" s="20"/>
      <c r="G247" s="31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23" t="s">
        <v>595</v>
      </c>
      <c r="B248" s="24">
        <v>44890.0</v>
      </c>
      <c r="C248" s="25" t="s">
        <v>596</v>
      </c>
      <c r="D248" s="25" t="s">
        <v>597</v>
      </c>
      <c r="E248" s="25" t="s">
        <v>402</v>
      </c>
      <c r="F248" s="26"/>
      <c r="G248" s="32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16" t="s">
        <v>598</v>
      </c>
      <c r="B249" s="17">
        <v>43793.0</v>
      </c>
      <c r="C249" s="19" t="s">
        <v>599</v>
      </c>
      <c r="D249" s="19" t="s">
        <v>600</v>
      </c>
      <c r="E249" s="19" t="s">
        <v>402</v>
      </c>
      <c r="F249" s="20"/>
      <c r="G249" s="31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23" t="s">
        <v>601</v>
      </c>
      <c r="B250" s="24">
        <v>42618.0</v>
      </c>
      <c r="C250" s="25" t="s">
        <v>602</v>
      </c>
      <c r="D250" s="25" t="s">
        <v>600</v>
      </c>
      <c r="E250" s="25" t="s">
        <v>402</v>
      </c>
      <c r="F250" s="26"/>
      <c r="G250" s="32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16" t="s">
        <v>603</v>
      </c>
      <c r="B251" s="17">
        <v>38010.0</v>
      </c>
      <c r="C251" s="19" t="s">
        <v>266</v>
      </c>
      <c r="D251" s="19" t="s">
        <v>604</v>
      </c>
      <c r="E251" s="19" t="s">
        <v>402</v>
      </c>
      <c r="F251" s="20"/>
      <c r="G251" s="31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23" t="s">
        <v>605</v>
      </c>
      <c r="B252" s="24">
        <v>44193.0</v>
      </c>
      <c r="C252" s="25" t="s">
        <v>606</v>
      </c>
      <c r="D252" s="25" t="s">
        <v>607</v>
      </c>
      <c r="E252" s="25" t="s">
        <v>402</v>
      </c>
      <c r="F252" s="26"/>
      <c r="G252" s="32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16" t="s">
        <v>608</v>
      </c>
      <c r="B253" s="17"/>
      <c r="C253" s="19" t="s">
        <v>609</v>
      </c>
      <c r="D253" s="19" t="s">
        <v>610</v>
      </c>
      <c r="E253" s="19" t="s">
        <v>611</v>
      </c>
      <c r="F253" s="20"/>
      <c r="G253" s="31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23" t="s">
        <v>612</v>
      </c>
      <c r="B254" s="24">
        <v>39555.0</v>
      </c>
      <c r="C254" s="25" t="s">
        <v>522</v>
      </c>
      <c r="D254" s="25" t="s">
        <v>613</v>
      </c>
      <c r="E254" s="25" t="s">
        <v>611</v>
      </c>
      <c r="F254" s="26"/>
      <c r="G254" s="32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16" t="s">
        <v>614</v>
      </c>
      <c r="B255" s="17">
        <v>37376.0</v>
      </c>
      <c r="C255" s="19" t="s">
        <v>615</v>
      </c>
      <c r="D255" s="19" t="s">
        <v>616</v>
      </c>
      <c r="E255" s="19" t="s">
        <v>611</v>
      </c>
      <c r="F255" s="20"/>
      <c r="G255" s="31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23" t="s">
        <v>617</v>
      </c>
      <c r="B256" s="24">
        <v>37702.0</v>
      </c>
      <c r="C256" s="25" t="s">
        <v>618</v>
      </c>
      <c r="D256" s="25" t="s">
        <v>619</v>
      </c>
      <c r="E256" s="25" t="s">
        <v>611</v>
      </c>
      <c r="F256" s="26"/>
      <c r="G256" s="32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16" t="s">
        <v>620</v>
      </c>
      <c r="B257" s="17">
        <v>37124.0</v>
      </c>
      <c r="C257" s="19" t="s">
        <v>621</v>
      </c>
      <c r="D257" s="25"/>
      <c r="E257" s="19" t="s">
        <v>611</v>
      </c>
      <c r="F257" s="20"/>
      <c r="G257" s="31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23" t="s">
        <v>622</v>
      </c>
      <c r="B258" s="24">
        <v>26849.0</v>
      </c>
      <c r="C258" s="25" t="s">
        <v>623</v>
      </c>
      <c r="D258" s="25" t="s">
        <v>624</v>
      </c>
      <c r="E258" s="25" t="s">
        <v>611</v>
      </c>
      <c r="F258" s="26"/>
      <c r="G258" s="32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16" t="s">
        <v>625</v>
      </c>
      <c r="B259" s="17">
        <v>26446.0</v>
      </c>
      <c r="C259" s="19" t="s">
        <v>626</v>
      </c>
      <c r="D259" s="19" t="s">
        <v>627</v>
      </c>
      <c r="E259" s="19" t="s">
        <v>611</v>
      </c>
      <c r="F259" s="20"/>
      <c r="G259" s="31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23" t="s">
        <v>628</v>
      </c>
      <c r="B260" s="24">
        <v>29342.0</v>
      </c>
      <c r="C260" s="25" t="s">
        <v>629</v>
      </c>
      <c r="D260" s="25" t="s">
        <v>627</v>
      </c>
      <c r="E260" s="25" t="s">
        <v>611</v>
      </c>
      <c r="F260" s="26"/>
      <c r="G260" s="32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16" t="s">
        <v>630</v>
      </c>
      <c r="B261" s="17">
        <v>37009.0</v>
      </c>
      <c r="C261" s="19" t="s">
        <v>631</v>
      </c>
      <c r="D261" s="19" t="s">
        <v>632</v>
      </c>
      <c r="E261" s="19" t="s">
        <v>611</v>
      </c>
      <c r="F261" s="20"/>
      <c r="G261" s="31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23" t="s">
        <v>633</v>
      </c>
      <c r="B262" s="24">
        <v>33123.0</v>
      </c>
      <c r="C262" s="25" t="s">
        <v>634</v>
      </c>
      <c r="D262" s="25" t="s">
        <v>635</v>
      </c>
      <c r="E262" s="25" t="s">
        <v>611</v>
      </c>
      <c r="F262" s="26"/>
      <c r="G262" s="32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16" t="s">
        <v>636</v>
      </c>
      <c r="B263" s="17">
        <v>33024.0</v>
      </c>
      <c r="C263" s="19" t="s">
        <v>499</v>
      </c>
      <c r="D263" s="19" t="s">
        <v>637</v>
      </c>
      <c r="E263" s="19" t="s">
        <v>611</v>
      </c>
      <c r="F263" s="20"/>
      <c r="G263" s="31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23" t="s">
        <v>638</v>
      </c>
      <c r="B264" s="24">
        <v>32746.0</v>
      </c>
      <c r="C264" s="25" t="s">
        <v>639</v>
      </c>
      <c r="D264" s="25" t="s">
        <v>640</v>
      </c>
      <c r="E264" s="25" t="s">
        <v>611</v>
      </c>
      <c r="F264" s="26"/>
      <c r="G264" s="32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16" t="s">
        <v>641</v>
      </c>
      <c r="B265" s="17">
        <v>28223.0</v>
      </c>
      <c r="C265" s="19" t="s">
        <v>642</v>
      </c>
      <c r="D265" s="19" t="s">
        <v>643</v>
      </c>
      <c r="E265" s="19" t="s">
        <v>611</v>
      </c>
      <c r="F265" s="20"/>
      <c r="G265" s="31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23" t="s">
        <v>644</v>
      </c>
      <c r="B266" s="24">
        <v>29781.0</v>
      </c>
      <c r="C266" s="25" t="s">
        <v>645</v>
      </c>
      <c r="D266" s="25" t="s">
        <v>646</v>
      </c>
      <c r="E266" s="25" t="s">
        <v>611</v>
      </c>
      <c r="F266" s="26"/>
      <c r="G266" s="32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16" t="s">
        <v>647</v>
      </c>
      <c r="B267" s="17">
        <v>34238.0</v>
      </c>
      <c r="C267" s="19" t="s">
        <v>648</v>
      </c>
      <c r="D267" s="19" t="s">
        <v>649</v>
      </c>
      <c r="E267" s="19" t="s">
        <v>611</v>
      </c>
      <c r="F267" s="20"/>
      <c r="G267" s="31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23" t="s">
        <v>650</v>
      </c>
      <c r="B268" s="24">
        <v>27645.0</v>
      </c>
      <c r="C268" s="25" t="s">
        <v>651</v>
      </c>
      <c r="D268" s="25" t="s">
        <v>652</v>
      </c>
      <c r="E268" s="25" t="s">
        <v>611</v>
      </c>
      <c r="F268" s="26"/>
      <c r="G268" s="32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16" t="s">
        <v>653</v>
      </c>
      <c r="B269" s="17">
        <v>35535.0</v>
      </c>
      <c r="C269" s="19" t="s">
        <v>654</v>
      </c>
      <c r="D269" s="19" t="s">
        <v>652</v>
      </c>
      <c r="E269" s="19" t="s">
        <v>611</v>
      </c>
      <c r="F269" s="20"/>
      <c r="G269" s="31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23" t="s">
        <v>655</v>
      </c>
      <c r="B270" s="24">
        <v>39122.0</v>
      </c>
      <c r="C270" s="25" t="s">
        <v>656</v>
      </c>
      <c r="D270" s="25" t="s">
        <v>657</v>
      </c>
      <c r="E270" s="25" t="s">
        <v>611</v>
      </c>
      <c r="F270" s="26"/>
      <c r="G270" s="32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16" t="s">
        <v>658</v>
      </c>
      <c r="B271" s="17">
        <v>27119.0</v>
      </c>
      <c r="C271" s="19" t="s">
        <v>510</v>
      </c>
      <c r="D271" s="19" t="s">
        <v>511</v>
      </c>
      <c r="E271" s="19" t="s">
        <v>611</v>
      </c>
      <c r="F271" s="20"/>
      <c r="G271" s="31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23" t="s">
        <v>659</v>
      </c>
      <c r="B272" s="24">
        <v>32777.0</v>
      </c>
      <c r="C272" s="25" t="s">
        <v>660</v>
      </c>
      <c r="D272" s="25" t="s">
        <v>661</v>
      </c>
      <c r="E272" s="25" t="s">
        <v>611</v>
      </c>
      <c r="F272" s="26"/>
      <c r="G272" s="32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16" t="s">
        <v>662</v>
      </c>
      <c r="B273" s="17">
        <v>30727.0</v>
      </c>
      <c r="C273" s="19" t="s">
        <v>533</v>
      </c>
      <c r="D273" s="19" t="s">
        <v>534</v>
      </c>
      <c r="E273" s="19" t="s">
        <v>611</v>
      </c>
      <c r="F273" s="20"/>
      <c r="G273" s="31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5" t="s">
        <v>663</v>
      </c>
      <c r="B274" s="17">
        <v>30282.0</v>
      </c>
      <c r="C274" s="8" t="s">
        <v>266</v>
      </c>
      <c r="D274" s="8" t="s">
        <v>664</v>
      </c>
      <c r="E274" s="8" t="s">
        <v>611</v>
      </c>
      <c r="F274" s="9"/>
      <c r="G274" s="3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23" t="s">
        <v>665</v>
      </c>
      <c r="B275" s="24">
        <v>29399.0</v>
      </c>
      <c r="C275" s="25" t="s">
        <v>18</v>
      </c>
      <c r="D275" s="25" t="s">
        <v>666</v>
      </c>
      <c r="E275" s="25" t="s">
        <v>611</v>
      </c>
      <c r="F275" s="26"/>
      <c r="G275" s="32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16" t="s">
        <v>667</v>
      </c>
      <c r="B276" s="17">
        <v>22813.0</v>
      </c>
      <c r="C276" s="19" t="s">
        <v>668</v>
      </c>
      <c r="D276" s="19" t="s">
        <v>669</v>
      </c>
      <c r="E276" s="19" t="s">
        <v>611</v>
      </c>
      <c r="F276" s="20"/>
      <c r="G276" s="31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23" t="s">
        <v>354</v>
      </c>
      <c r="B277" s="24">
        <v>32505.0</v>
      </c>
      <c r="C277" s="25" t="s">
        <v>670</v>
      </c>
      <c r="D277" s="25" t="s">
        <v>671</v>
      </c>
      <c r="E277" s="25" t="s">
        <v>611</v>
      </c>
      <c r="F277" s="26"/>
      <c r="G277" s="32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16" t="s">
        <v>672</v>
      </c>
      <c r="B278" s="17">
        <v>31637.0</v>
      </c>
      <c r="C278" s="19" t="s">
        <v>673</v>
      </c>
      <c r="D278" s="19" t="s">
        <v>674</v>
      </c>
      <c r="E278" s="19" t="s">
        <v>611</v>
      </c>
      <c r="F278" s="20"/>
      <c r="G278" s="31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23" t="s">
        <v>675</v>
      </c>
      <c r="B279" s="24">
        <v>33638.0</v>
      </c>
      <c r="C279" s="25" t="s">
        <v>676</v>
      </c>
      <c r="D279" s="25" t="s">
        <v>613</v>
      </c>
      <c r="E279" s="25" t="s">
        <v>611</v>
      </c>
      <c r="F279" s="26"/>
      <c r="G279" s="32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16" t="s">
        <v>677</v>
      </c>
      <c r="B280" s="17">
        <v>31561.0</v>
      </c>
      <c r="C280" s="19" t="s">
        <v>489</v>
      </c>
      <c r="D280" s="19" t="s">
        <v>490</v>
      </c>
      <c r="E280" s="19" t="s">
        <v>611</v>
      </c>
      <c r="F280" s="20"/>
      <c r="G280" s="31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23" t="s">
        <v>678</v>
      </c>
      <c r="B281" s="24">
        <v>34277.0</v>
      </c>
      <c r="C281" s="25" t="s">
        <v>555</v>
      </c>
      <c r="D281" s="25" t="s">
        <v>679</v>
      </c>
      <c r="E281" s="25" t="s">
        <v>611</v>
      </c>
      <c r="F281" s="26"/>
      <c r="G281" s="32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16" t="s">
        <v>680</v>
      </c>
      <c r="B282" s="17">
        <v>33962.0</v>
      </c>
      <c r="C282" s="19" t="s">
        <v>681</v>
      </c>
      <c r="D282" s="19" t="s">
        <v>682</v>
      </c>
      <c r="E282" s="19" t="s">
        <v>611</v>
      </c>
      <c r="F282" s="20"/>
      <c r="G282" s="31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23" t="s">
        <v>683</v>
      </c>
      <c r="B283" s="24">
        <v>29662.0</v>
      </c>
      <c r="C283" s="30" t="s">
        <v>684</v>
      </c>
      <c r="D283" s="25" t="s">
        <v>685</v>
      </c>
      <c r="E283" s="25" t="s">
        <v>611</v>
      </c>
      <c r="F283" s="26"/>
      <c r="G283" s="32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11" t="s">
        <v>686</v>
      </c>
      <c r="B284" s="35">
        <v>28021.0</v>
      </c>
      <c r="C284" s="13" t="s">
        <v>687</v>
      </c>
      <c r="D284" s="13" t="s">
        <v>688</v>
      </c>
      <c r="E284" s="13" t="s">
        <v>611</v>
      </c>
      <c r="F284" s="9"/>
      <c r="G284" s="3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11" t="s">
        <v>689</v>
      </c>
      <c r="B285" s="35">
        <v>35412.0</v>
      </c>
      <c r="C285" s="13"/>
      <c r="D285" s="13"/>
      <c r="E285" s="13" t="s">
        <v>611</v>
      </c>
      <c r="F285" s="9"/>
      <c r="G285" s="3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11" t="s">
        <v>690</v>
      </c>
      <c r="B286" s="35">
        <v>42204.0</v>
      </c>
      <c r="C286" s="13" t="s">
        <v>691</v>
      </c>
      <c r="D286" s="13" t="s">
        <v>692</v>
      </c>
      <c r="E286" s="13" t="s">
        <v>611</v>
      </c>
      <c r="F286" s="9"/>
      <c r="G286" s="3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5" t="s">
        <v>663</v>
      </c>
      <c r="B287" s="24">
        <v>30282.0</v>
      </c>
      <c r="C287" s="8" t="s">
        <v>266</v>
      </c>
      <c r="D287" s="8" t="s">
        <v>664</v>
      </c>
      <c r="E287" s="8" t="s">
        <v>611</v>
      </c>
      <c r="F287" s="9"/>
      <c r="G287" s="3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16" t="s">
        <v>693</v>
      </c>
      <c r="B288" s="17">
        <v>31575.0</v>
      </c>
      <c r="C288" s="19" t="s">
        <v>694</v>
      </c>
      <c r="D288" s="19" t="s">
        <v>685</v>
      </c>
      <c r="E288" s="19" t="s">
        <v>611</v>
      </c>
      <c r="F288" s="20"/>
      <c r="G288" s="31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23" t="s">
        <v>695</v>
      </c>
      <c r="B289" s="24">
        <v>33083.0</v>
      </c>
      <c r="C289" s="25" t="s">
        <v>696</v>
      </c>
      <c r="D289" s="25" t="s">
        <v>697</v>
      </c>
      <c r="E289" s="25" t="s">
        <v>611</v>
      </c>
      <c r="F289" s="26"/>
      <c r="G289" s="32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16" t="s">
        <v>698</v>
      </c>
      <c r="B290" s="17">
        <v>28943.0</v>
      </c>
      <c r="C290" s="19" t="s">
        <v>699</v>
      </c>
      <c r="D290" s="19" t="s">
        <v>700</v>
      </c>
      <c r="E290" s="19" t="s">
        <v>611</v>
      </c>
      <c r="F290" s="20"/>
      <c r="G290" s="31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23" t="s">
        <v>701</v>
      </c>
      <c r="B291" s="24">
        <v>35977.0</v>
      </c>
      <c r="C291" s="25" t="s">
        <v>702</v>
      </c>
      <c r="D291" s="25" t="s">
        <v>703</v>
      </c>
      <c r="E291" s="25" t="s">
        <v>611</v>
      </c>
      <c r="F291" s="26"/>
      <c r="G291" s="32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16" t="s">
        <v>704</v>
      </c>
      <c r="B292" s="17">
        <v>38287.0</v>
      </c>
      <c r="C292" s="19" t="s">
        <v>290</v>
      </c>
      <c r="D292" s="19" t="s">
        <v>705</v>
      </c>
      <c r="E292" s="19" t="s">
        <v>611</v>
      </c>
      <c r="F292" s="20"/>
      <c r="G292" s="31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11" t="s">
        <v>706</v>
      </c>
      <c r="B293" s="12">
        <v>40402.0</v>
      </c>
      <c r="C293" s="13" t="s">
        <v>707</v>
      </c>
      <c r="D293" s="8"/>
      <c r="E293" s="13" t="s">
        <v>611</v>
      </c>
      <c r="F293" s="9"/>
      <c r="G293" s="3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23" t="s">
        <v>708</v>
      </c>
      <c r="B294" s="24">
        <v>36523.0</v>
      </c>
      <c r="C294" s="25" t="s">
        <v>709</v>
      </c>
      <c r="D294" s="25" t="s">
        <v>705</v>
      </c>
      <c r="E294" s="25" t="s">
        <v>611</v>
      </c>
      <c r="F294" s="26"/>
      <c r="G294" s="32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16" t="s">
        <v>710</v>
      </c>
      <c r="B295" s="17">
        <v>33492.0</v>
      </c>
      <c r="C295" s="18"/>
      <c r="D295" s="19" t="s">
        <v>711</v>
      </c>
      <c r="E295" s="19" t="s">
        <v>611</v>
      </c>
      <c r="F295" s="20"/>
      <c r="G295" s="31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23" t="s">
        <v>712</v>
      </c>
      <c r="B296" s="24">
        <v>30645.0</v>
      </c>
      <c r="C296" s="30"/>
      <c r="D296" s="19"/>
      <c r="E296" s="25" t="s">
        <v>611</v>
      </c>
      <c r="F296" s="26"/>
      <c r="G296" s="32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16" t="s">
        <v>713</v>
      </c>
      <c r="B297" s="17">
        <v>34612.0</v>
      </c>
      <c r="C297" s="18" t="s">
        <v>714</v>
      </c>
      <c r="D297" s="19" t="s">
        <v>715</v>
      </c>
      <c r="E297" s="19" t="s">
        <v>611</v>
      </c>
      <c r="F297" s="20"/>
      <c r="G297" s="31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23" t="s">
        <v>716</v>
      </c>
      <c r="B298" s="24">
        <v>23657.0</v>
      </c>
      <c r="C298" s="30" t="s">
        <v>717</v>
      </c>
      <c r="D298" s="25" t="s">
        <v>718</v>
      </c>
      <c r="E298" s="25" t="s">
        <v>611</v>
      </c>
      <c r="F298" s="26"/>
      <c r="G298" s="32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16" t="s">
        <v>719</v>
      </c>
      <c r="B299" s="17">
        <v>40287.0</v>
      </c>
      <c r="C299" s="18"/>
      <c r="D299" s="25"/>
      <c r="E299" s="19" t="s">
        <v>611</v>
      </c>
      <c r="F299" s="20"/>
      <c r="G299" s="31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23" t="s">
        <v>720</v>
      </c>
      <c r="B300" s="24"/>
      <c r="C300" s="30"/>
      <c r="D300" s="19"/>
      <c r="E300" s="25" t="s">
        <v>611</v>
      </c>
      <c r="F300" s="26"/>
      <c r="G300" s="32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16" t="s">
        <v>721</v>
      </c>
      <c r="B301" s="17">
        <v>40618.0</v>
      </c>
      <c r="C301" s="18" t="s">
        <v>722</v>
      </c>
      <c r="D301" s="19" t="s">
        <v>711</v>
      </c>
      <c r="E301" s="19" t="s">
        <v>611</v>
      </c>
      <c r="F301" s="20"/>
      <c r="G301" s="31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23" t="s">
        <v>723</v>
      </c>
      <c r="B302" s="24">
        <v>41337.0</v>
      </c>
      <c r="C302" s="30" t="s">
        <v>722</v>
      </c>
      <c r="D302" s="25" t="s">
        <v>711</v>
      </c>
      <c r="E302" s="25" t="s">
        <v>611</v>
      </c>
      <c r="F302" s="26"/>
      <c r="G302" s="32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16" t="s">
        <v>724</v>
      </c>
      <c r="B303" s="17">
        <v>41429.0</v>
      </c>
      <c r="C303" s="18" t="s">
        <v>722</v>
      </c>
      <c r="D303" s="19" t="s">
        <v>725</v>
      </c>
      <c r="E303" s="19" t="s">
        <v>611</v>
      </c>
      <c r="F303" s="20"/>
      <c r="G303" s="31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23" t="s">
        <v>726</v>
      </c>
      <c r="B304" s="24">
        <v>42013.0</v>
      </c>
      <c r="C304" s="30"/>
      <c r="D304" s="19"/>
      <c r="E304" s="25" t="s">
        <v>611</v>
      </c>
      <c r="F304" s="26"/>
      <c r="G304" s="32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16" t="s">
        <v>727</v>
      </c>
      <c r="B305" s="17">
        <v>35347.0</v>
      </c>
      <c r="C305" s="18"/>
      <c r="D305" s="25"/>
      <c r="E305" s="19" t="s">
        <v>611</v>
      </c>
      <c r="F305" s="20"/>
      <c r="G305" s="31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23" t="s">
        <v>728</v>
      </c>
      <c r="B306" s="24">
        <v>25847.0</v>
      </c>
      <c r="C306" s="30" t="s">
        <v>729</v>
      </c>
      <c r="D306" s="25" t="s">
        <v>730</v>
      </c>
      <c r="E306" s="25" t="s">
        <v>611</v>
      </c>
      <c r="F306" s="26"/>
      <c r="G306" s="32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16" t="s">
        <v>731</v>
      </c>
      <c r="B307" s="17">
        <v>30587.0</v>
      </c>
      <c r="C307" s="18" t="s">
        <v>732</v>
      </c>
      <c r="D307" s="19" t="s">
        <v>733</v>
      </c>
      <c r="E307" s="19" t="s">
        <v>611</v>
      </c>
      <c r="F307" s="20"/>
      <c r="G307" s="31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23" t="s">
        <v>734</v>
      </c>
      <c r="B308" s="24">
        <v>32578.0</v>
      </c>
      <c r="C308" s="25" t="s">
        <v>735</v>
      </c>
      <c r="D308" s="25" t="s">
        <v>736</v>
      </c>
      <c r="E308" s="25" t="s">
        <v>737</v>
      </c>
      <c r="F308" s="26"/>
      <c r="G308" s="32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16" t="s">
        <v>738</v>
      </c>
      <c r="B309" s="17">
        <v>18918.0</v>
      </c>
      <c r="C309" s="19" t="s">
        <v>739</v>
      </c>
      <c r="D309" s="19" t="s">
        <v>740</v>
      </c>
      <c r="E309" s="19" t="s">
        <v>737</v>
      </c>
      <c r="F309" s="20"/>
      <c r="G309" s="31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23" t="s">
        <v>741</v>
      </c>
      <c r="B310" s="24">
        <v>21656.0</v>
      </c>
      <c r="C310" s="25" t="s">
        <v>546</v>
      </c>
      <c r="D310" s="25" t="s">
        <v>547</v>
      </c>
      <c r="E310" s="25" t="s">
        <v>737</v>
      </c>
      <c r="F310" s="26"/>
      <c r="G310" s="32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16" t="s">
        <v>742</v>
      </c>
      <c r="B311" s="17">
        <v>39344.0</v>
      </c>
      <c r="C311" s="19" t="s">
        <v>743</v>
      </c>
      <c r="D311" s="19" t="s">
        <v>744</v>
      </c>
      <c r="E311" s="19" t="s">
        <v>737</v>
      </c>
      <c r="F311" s="20"/>
      <c r="G311" s="31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23" t="s">
        <v>745</v>
      </c>
      <c r="B312" s="24">
        <v>25785.0</v>
      </c>
      <c r="C312" s="25" t="s">
        <v>743</v>
      </c>
      <c r="D312" s="25" t="s">
        <v>744</v>
      </c>
      <c r="E312" s="25" t="s">
        <v>737</v>
      </c>
      <c r="F312" s="26"/>
      <c r="G312" s="32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16" t="s">
        <v>746</v>
      </c>
      <c r="B313" s="17">
        <v>28081.0</v>
      </c>
      <c r="C313" s="19" t="s">
        <v>747</v>
      </c>
      <c r="D313" s="19" t="s">
        <v>748</v>
      </c>
      <c r="E313" s="19" t="s">
        <v>737</v>
      </c>
      <c r="F313" s="20"/>
      <c r="G313" s="31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23" t="s">
        <v>749</v>
      </c>
      <c r="B314" s="24">
        <v>35356.0</v>
      </c>
      <c r="C314" s="25" t="s">
        <v>750</v>
      </c>
      <c r="D314" s="25" t="s">
        <v>477</v>
      </c>
      <c r="E314" s="25" t="s">
        <v>737</v>
      </c>
      <c r="F314" s="26"/>
      <c r="G314" s="32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16" t="s">
        <v>751</v>
      </c>
      <c r="B315" s="17">
        <v>30713.0</v>
      </c>
      <c r="C315" s="19" t="s">
        <v>546</v>
      </c>
      <c r="D315" s="19" t="s">
        <v>547</v>
      </c>
      <c r="E315" s="19" t="s">
        <v>737</v>
      </c>
      <c r="F315" s="20"/>
      <c r="G315" s="31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23" t="s">
        <v>752</v>
      </c>
      <c r="B316" s="24">
        <v>27421.0</v>
      </c>
      <c r="C316" s="25" t="s">
        <v>237</v>
      </c>
      <c r="D316" s="25" t="s">
        <v>753</v>
      </c>
      <c r="E316" s="25" t="s">
        <v>737</v>
      </c>
      <c r="F316" s="26"/>
      <c r="G316" s="32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16" t="s">
        <v>754</v>
      </c>
      <c r="B317" s="17">
        <v>18940.0</v>
      </c>
      <c r="C317" s="19" t="s">
        <v>510</v>
      </c>
      <c r="D317" s="19" t="s">
        <v>755</v>
      </c>
      <c r="E317" s="19" t="s">
        <v>737</v>
      </c>
      <c r="F317" s="20"/>
      <c r="G317" s="31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23" t="s">
        <v>756</v>
      </c>
      <c r="B318" s="24">
        <v>22422.0</v>
      </c>
      <c r="C318" s="25" t="s">
        <v>510</v>
      </c>
      <c r="D318" s="25" t="s">
        <v>755</v>
      </c>
      <c r="E318" s="25" t="s">
        <v>737</v>
      </c>
      <c r="F318" s="26"/>
      <c r="G318" s="32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16" t="s">
        <v>757</v>
      </c>
      <c r="B319" s="17"/>
      <c r="C319" s="19" t="s">
        <v>758</v>
      </c>
      <c r="D319" s="19" t="s">
        <v>755</v>
      </c>
      <c r="E319" s="19" t="s">
        <v>737</v>
      </c>
      <c r="F319" s="20"/>
      <c r="G319" s="31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23" t="s">
        <v>759</v>
      </c>
      <c r="B320" s="24">
        <v>27119.0</v>
      </c>
      <c r="C320" s="25" t="s">
        <v>510</v>
      </c>
      <c r="D320" s="25" t="s">
        <v>755</v>
      </c>
      <c r="E320" s="25" t="s">
        <v>737</v>
      </c>
      <c r="F320" s="26"/>
      <c r="G320" s="32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16" t="s">
        <v>760</v>
      </c>
      <c r="B321" s="17">
        <v>33498.0</v>
      </c>
      <c r="C321" s="19" t="s">
        <v>761</v>
      </c>
      <c r="D321" s="19" t="s">
        <v>762</v>
      </c>
      <c r="E321" s="19" t="s">
        <v>737</v>
      </c>
      <c r="F321" s="20"/>
      <c r="G321" s="31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23" t="s">
        <v>763</v>
      </c>
      <c r="B322" s="24">
        <v>21621.0</v>
      </c>
      <c r="C322" s="25" t="s">
        <v>764</v>
      </c>
      <c r="D322" s="25" t="s">
        <v>765</v>
      </c>
      <c r="E322" s="25" t="s">
        <v>737</v>
      </c>
      <c r="F322" s="26"/>
      <c r="G322" s="32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16" t="s">
        <v>766</v>
      </c>
      <c r="B323" s="17">
        <v>33257.0</v>
      </c>
      <c r="C323" s="19" t="s">
        <v>491</v>
      </c>
      <c r="D323" s="19" t="s">
        <v>767</v>
      </c>
      <c r="E323" s="19" t="s">
        <v>737</v>
      </c>
      <c r="F323" s="20"/>
      <c r="G323" s="31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11" t="s">
        <v>768</v>
      </c>
      <c r="B324" s="12">
        <v>25402.0</v>
      </c>
      <c r="C324" s="13" t="s">
        <v>769</v>
      </c>
      <c r="D324" s="13" t="s">
        <v>770</v>
      </c>
      <c r="E324" s="13" t="s">
        <v>737</v>
      </c>
      <c r="F324" s="9"/>
      <c r="G324" s="3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23" t="s">
        <v>771</v>
      </c>
      <c r="B325" s="24">
        <v>23673.0</v>
      </c>
      <c r="C325" s="25" t="s">
        <v>555</v>
      </c>
      <c r="D325" s="25" t="s">
        <v>772</v>
      </c>
      <c r="E325" s="25" t="s">
        <v>737</v>
      </c>
      <c r="F325" s="26"/>
      <c r="G325" s="32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16" t="s">
        <v>773</v>
      </c>
      <c r="B326" s="17">
        <v>33123.0</v>
      </c>
      <c r="C326" s="19" t="s">
        <v>634</v>
      </c>
      <c r="D326" s="19" t="s">
        <v>774</v>
      </c>
      <c r="E326" s="19" t="s">
        <v>737</v>
      </c>
      <c r="F326" s="20"/>
      <c r="G326" s="31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23" t="s">
        <v>775</v>
      </c>
      <c r="B327" s="24">
        <v>40287.0</v>
      </c>
      <c r="C327" s="25" t="s">
        <v>634</v>
      </c>
      <c r="D327" s="25" t="s">
        <v>776</v>
      </c>
      <c r="E327" s="25" t="s">
        <v>737</v>
      </c>
      <c r="F327" s="26"/>
      <c r="G327" s="32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16" t="s">
        <v>628</v>
      </c>
      <c r="B328" s="17">
        <v>29342.0</v>
      </c>
      <c r="C328" s="19" t="s">
        <v>629</v>
      </c>
      <c r="D328" s="19" t="s">
        <v>777</v>
      </c>
      <c r="E328" s="19" t="s">
        <v>737</v>
      </c>
      <c r="F328" s="20"/>
      <c r="G328" s="31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23" t="s">
        <v>778</v>
      </c>
      <c r="B329" s="24">
        <v>30835.0</v>
      </c>
      <c r="C329" s="25" t="s">
        <v>779</v>
      </c>
      <c r="D329" s="25" t="s">
        <v>780</v>
      </c>
      <c r="E329" s="25" t="s">
        <v>737</v>
      </c>
      <c r="F329" s="26"/>
      <c r="G329" s="32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16" t="s">
        <v>781</v>
      </c>
      <c r="B330" s="17">
        <v>23602.0</v>
      </c>
      <c r="C330" s="19" t="s">
        <v>782</v>
      </c>
      <c r="D330" s="19" t="s">
        <v>783</v>
      </c>
      <c r="E330" s="19" t="s">
        <v>737</v>
      </c>
      <c r="F330" s="20"/>
      <c r="G330" s="31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23" t="s">
        <v>784</v>
      </c>
      <c r="B331" s="24">
        <v>33365.0</v>
      </c>
      <c r="C331" s="25" t="s">
        <v>785</v>
      </c>
      <c r="D331" s="25" t="s">
        <v>786</v>
      </c>
      <c r="E331" s="25" t="s">
        <v>737</v>
      </c>
      <c r="F331" s="26"/>
      <c r="G331" s="32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16" t="s">
        <v>787</v>
      </c>
      <c r="B332" s="17">
        <v>22813.0</v>
      </c>
      <c r="C332" s="19" t="s">
        <v>668</v>
      </c>
      <c r="D332" s="19" t="s">
        <v>788</v>
      </c>
      <c r="E332" s="19" t="s">
        <v>737</v>
      </c>
      <c r="F332" s="20"/>
      <c r="G332" s="31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23" t="s">
        <v>789</v>
      </c>
      <c r="B333" s="24">
        <v>25843.0</v>
      </c>
      <c r="C333" s="25" t="s">
        <v>790</v>
      </c>
      <c r="D333" s="25" t="s">
        <v>788</v>
      </c>
      <c r="E333" s="25" t="s">
        <v>737</v>
      </c>
      <c r="F333" s="26"/>
      <c r="G333" s="32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16" t="s">
        <v>791</v>
      </c>
      <c r="B334" s="17">
        <v>36800.0</v>
      </c>
      <c r="C334" s="18" t="s">
        <v>792</v>
      </c>
      <c r="D334" s="19" t="s">
        <v>793</v>
      </c>
      <c r="E334" s="19" t="s">
        <v>737</v>
      </c>
      <c r="F334" s="20"/>
      <c r="G334" s="31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23" t="s">
        <v>734</v>
      </c>
      <c r="B335" s="24">
        <v>32578.0</v>
      </c>
      <c r="C335" s="30" t="s">
        <v>794</v>
      </c>
      <c r="D335" s="25" t="s">
        <v>795</v>
      </c>
      <c r="E335" s="25" t="s">
        <v>737</v>
      </c>
      <c r="F335" s="26"/>
      <c r="G335" s="32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16" t="s">
        <v>796</v>
      </c>
      <c r="B336" s="17">
        <v>24772.0</v>
      </c>
      <c r="C336" s="18" t="s">
        <v>797</v>
      </c>
      <c r="D336" s="19" t="s">
        <v>798</v>
      </c>
      <c r="E336" s="19" t="s">
        <v>737</v>
      </c>
      <c r="F336" s="20"/>
      <c r="G336" s="31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5" t="s">
        <v>799</v>
      </c>
      <c r="B337" s="6">
        <v>36542.0</v>
      </c>
      <c r="C337" s="7" t="s">
        <v>592</v>
      </c>
      <c r="D337" s="8" t="s">
        <v>800</v>
      </c>
      <c r="E337" s="8" t="s">
        <v>737</v>
      </c>
      <c r="F337" s="9"/>
      <c r="G337" s="3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5" t="s">
        <v>232</v>
      </c>
      <c r="B338" s="6">
        <v>22641.0</v>
      </c>
      <c r="C338" s="7" t="s">
        <v>21</v>
      </c>
      <c r="D338" s="8" t="s">
        <v>801</v>
      </c>
      <c r="E338" s="8" t="s">
        <v>737</v>
      </c>
      <c r="F338" s="9"/>
      <c r="G338" s="3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23" t="s">
        <v>802</v>
      </c>
      <c r="B339" s="24">
        <v>33083.0</v>
      </c>
      <c r="C339" s="30" t="s">
        <v>803</v>
      </c>
      <c r="D339" s="25" t="s">
        <v>804</v>
      </c>
      <c r="E339" s="25" t="s">
        <v>737</v>
      </c>
      <c r="F339" s="26"/>
      <c r="G339" s="32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5" t="s">
        <v>805</v>
      </c>
      <c r="B340" s="6">
        <v>24939.0</v>
      </c>
      <c r="C340" s="7" t="s">
        <v>806</v>
      </c>
      <c r="D340" s="8" t="s">
        <v>807</v>
      </c>
      <c r="E340" s="8" t="s">
        <v>737</v>
      </c>
      <c r="F340" s="9"/>
      <c r="G340" s="3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5" t="s">
        <v>808</v>
      </c>
      <c r="B341" s="6">
        <v>27952.0</v>
      </c>
      <c r="C341" s="7" t="s">
        <v>592</v>
      </c>
      <c r="D341" s="8" t="s">
        <v>809</v>
      </c>
      <c r="E341" s="8" t="s">
        <v>737</v>
      </c>
      <c r="F341" s="9"/>
      <c r="G341" s="3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16" t="s">
        <v>810</v>
      </c>
      <c r="B342" s="17">
        <v>28943.0</v>
      </c>
      <c r="C342" s="18" t="s">
        <v>811</v>
      </c>
      <c r="D342" s="19" t="s">
        <v>812</v>
      </c>
      <c r="E342" s="19" t="s">
        <v>737</v>
      </c>
      <c r="F342" s="20"/>
      <c r="G342" s="31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23" t="s">
        <v>813</v>
      </c>
      <c r="B343" s="24">
        <v>33257.0</v>
      </c>
      <c r="C343" s="30"/>
      <c r="D343" s="19"/>
      <c r="E343" s="25" t="s">
        <v>737</v>
      </c>
      <c r="F343" s="26"/>
      <c r="G343" s="32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5"/>
      <c r="B344" s="6"/>
      <c r="C344" s="7"/>
      <c r="D344" s="19"/>
      <c r="E344" s="8"/>
      <c r="F344" s="9"/>
      <c r="G344" s="3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16" t="s">
        <v>814</v>
      </c>
      <c r="B345" s="17">
        <v>28166.0</v>
      </c>
      <c r="C345" s="18" t="s">
        <v>815</v>
      </c>
      <c r="D345" s="19" t="s">
        <v>816</v>
      </c>
      <c r="E345" s="19" t="s">
        <v>737</v>
      </c>
      <c r="F345" s="20"/>
      <c r="G345" s="31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23" t="s">
        <v>817</v>
      </c>
      <c r="B346" s="24">
        <v>29784.0</v>
      </c>
      <c r="C346" s="30" t="s">
        <v>43</v>
      </c>
      <c r="D346" s="25" t="s">
        <v>818</v>
      </c>
      <c r="E346" s="25" t="s">
        <v>737</v>
      </c>
      <c r="F346" s="26"/>
      <c r="G346" s="32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16" t="s">
        <v>819</v>
      </c>
      <c r="B347" s="17">
        <v>26587.0</v>
      </c>
      <c r="C347" s="18" t="s">
        <v>820</v>
      </c>
      <c r="D347" s="19" t="s">
        <v>821</v>
      </c>
      <c r="E347" s="19" t="s">
        <v>737</v>
      </c>
      <c r="F347" s="20"/>
      <c r="G347" s="31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23" t="s">
        <v>822</v>
      </c>
      <c r="B348" s="24">
        <v>25918.0</v>
      </c>
      <c r="C348" s="30" t="s">
        <v>823</v>
      </c>
      <c r="D348" s="25" t="s">
        <v>824</v>
      </c>
      <c r="E348" s="25" t="s">
        <v>737</v>
      </c>
      <c r="F348" s="26"/>
      <c r="G348" s="32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16" t="s">
        <v>825</v>
      </c>
      <c r="B349" s="17"/>
      <c r="C349" s="18" t="s">
        <v>826</v>
      </c>
      <c r="D349" s="19" t="s">
        <v>827</v>
      </c>
      <c r="E349" s="19" t="s">
        <v>737</v>
      </c>
      <c r="F349" s="20"/>
      <c r="G349" s="31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23" t="s">
        <v>828</v>
      </c>
      <c r="B350" s="24">
        <v>35092.0</v>
      </c>
      <c r="C350" s="30" t="s">
        <v>829</v>
      </c>
      <c r="D350" s="25" t="s">
        <v>830</v>
      </c>
      <c r="E350" s="25" t="s">
        <v>737</v>
      </c>
      <c r="F350" s="26"/>
      <c r="G350" s="32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16" t="s">
        <v>831</v>
      </c>
      <c r="B351" s="17">
        <v>16823.0</v>
      </c>
      <c r="C351" s="19" t="s">
        <v>832</v>
      </c>
      <c r="D351" s="19" t="s">
        <v>833</v>
      </c>
      <c r="E351" s="19" t="s">
        <v>737</v>
      </c>
      <c r="F351" s="20"/>
      <c r="G351" s="31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23" t="s">
        <v>334</v>
      </c>
      <c r="B352" s="24">
        <v>25726.0</v>
      </c>
      <c r="C352" s="30" t="s">
        <v>335</v>
      </c>
      <c r="D352" s="25" t="s">
        <v>834</v>
      </c>
      <c r="E352" s="25" t="s">
        <v>737</v>
      </c>
      <c r="F352" s="26"/>
      <c r="G352" s="32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16" t="s">
        <v>835</v>
      </c>
      <c r="B353" s="17">
        <v>31916.0</v>
      </c>
      <c r="C353" s="18" t="s">
        <v>836</v>
      </c>
      <c r="D353" s="19" t="s">
        <v>837</v>
      </c>
      <c r="E353" s="19" t="s">
        <v>737</v>
      </c>
      <c r="F353" s="20"/>
      <c r="G353" s="31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23" t="s">
        <v>838</v>
      </c>
      <c r="B354" s="24">
        <v>23845.0</v>
      </c>
      <c r="C354" s="30" t="s">
        <v>839</v>
      </c>
      <c r="D354" s="25" t="s">
        <v>840</v>
      </c>
      <c r="E354" s="25" t="s">
        <v>737</v>
      </c>
      <c r="F354" s="26"/>
      <c r="G354" s="32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16" t="s">
        <v>841</v>
      </c>
      <c r="B355" s="17">
        <v>24449.0</v>
      </c>
      <c r="C355" s="18" t="s">
        <v>842</v>
      </c>
      <c r="D355" s="19" t="s">
        <v>843</v>
      </c>
      <c r="E355" s="19" t="s">
        <v>737</v>
      </c>
      <c r="F355" s="20"/>
      <c r="G355" s="31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23" t="s">
        <v>844</v>
      </c>
      <c r="B356" s="24">
        <v>26446.0</v>
      </c>
      <c r="C356" s="30" t="s">
        <v>445</v>
      </c>
      <c r="D356" s="25" t="s">
        <v>845</v>
      </c>
      <c r="E356" s="25" t="s">
        <v>737</v>
      </c>
      <c r="F356" s="26"/>
      <c r="G356" s="32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16" t="s">
        <v>302</v>
      </c>
      <c r="B357" s="17">
        <v>35047.0</v>
      </c>
      <c r="C357" s="18" t="s">
        <v>846</v>
      </c>
      <c r="D357" s="19" t="s">
        <v>847</v>
      </c>
      <c r="E357" s="19" t="s">
        <v>737</v>
      </c>
      <c r="F357" s="20"/>
      <c r="G357" s="31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23" t="s">
        <v>360</v>
      </c>
      <c r="B358" s="24">
        <v>24238.0</v>
      </c>
      <c r="C358" s="30" t="s">
        <v>361</v>
      </c>
      <c r="D358" s="25" t="s">
        <v>848</v>
      </c>
      <c r="E358" s="25" t="s">
        <v>737</v>
      </c>
      <c r="F358" s="26"/>
      <c r="G358" s="32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16" t="s">
        <v>849</v>
      </c>
      <c r="B359" s="17"/>
      <c r="C359" s="18" t="s">
        <v>850</v>
      </c>
      <c r="D359" s="25"/>
      <c r="E359" s="19" t="s">
        <v>737</v>
      </c>
      <c r="F359" s="20"/>
      <c r="G359" s="31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23" t="s">
        <v>851</v>
      </c>
      <c r="B360" s="24">
        <v>27549.0</v>
      </c>
      <c r="C360" s="30" t="s">
        <v>852</v>
      </c>
      <c r="D360" s="25" t="s">
        <v>853</v>
      </c>
      <c r="E360" s="25" t="s">
        <v>737</v>
      </c>
      <c r="F360" s="26"/>
      <c r="G360" s="32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16" t="s">
        <v>854</v>
      </c>
      <c r="B361" s="17">
        <v>17481.0</v>
      </c>
      <c r="C361" s="18" t="s">
        <v>852</v>
      </c>
      <c r="D361" s="19" t="s">
        <v>853</v>
      </c>
      <c r="E361" s="19" t="s">
        <v>737</v>
      </c>
      <c r="F361" s="20"/>
      <c r="G361" s="31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5" t="s">
        <v>855</v>
      </c>
      <c r="B362" s="6">
        <v>42243.0</v>
      </c>
      <c r="C362" s="7" t="s">
        <v>856</v>
      </c>
      <c r="D362" s="8" t="s">
        <v>857</v>
      </c>
      <c r="E362" s="8" t="s">
        <v>858</v>
      </c>
      <c r="F362" s="9"/>
      <c r="G362" s="3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5" t="s">
        <v>859</v>
      </c>
      <c r="B363" s="6">
        <v>43326.0</v>
      </c>
      <c r="C363" s="7" t="s">
        <v>860</v>
      </c>
      <c r="D363" s="8" t="s">
        <v>861</v>
      </c>
      <c r="E363" s="8" t="s">
        <v>858</v>
      </c>
      <c r="F363" s="9"/>
      <c r="G363" s="3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5" t="s">
        <v>862</v>
      </c>
      <c r="B364" s="6">
        <v>42392.0</v>
      </c>
      <c r="C364" s="7"/>
      <c r="D364" s="8" t="s">
        <v>861</v>
      </c>
      <c r="E364" s="8" t="s">
        <v>858</v>
      </c>
      <c r="F364" s="9"/>
      <c r="G364" s="3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23" t="s">
        <v>506</v>
      </c>
      <c r="B365" s="24">
        <v>39555.0</v>
      </c>
      <c r="C365" s="30" t="s">
        <v>507</v>
      </c>
      <c r="D365" s="25" t="s">
        <v>863</v>
      </c>
      <c r="E365" s="25" t="s">
        <v>858</v>
      </c>
      <c r="F365" s="26"/>
      <c r="G365" s="32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23" t="s">
        <v>864</v>
      </c>
      <c r="B366" s="24">
        <v>43251.0</v>
      </c>
      <c r="C366" s="30" t="s">
        <v>865</v>
      </c>
      <c r="D366" s="25" t="s">
        <v>866</v>
      </c>
      <c r="E366" s="25" t="s">
        <v>867</v>
      </c>
      <c r="F366" s="26"/>
      <c r="G366" s="32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23" t="s">
        <v>868</v>
      </c>
      <c r="B367" s="24">
        <v>41982.0</v>
      </c>
      <c r="C367" s="30" t="s">
        <v>869</v>
      </c>
      <c r="D367" s="25" t="s">
        <v>870</v>
      </c>
      <c r="E367" s="25" t="s">
        <v>867</v>
      </c>
      <c r="F367" s="26"/>
      <c r="G367" s="32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23" t="s">
        <v>871</v>
      </c>
      <c r="B368" s="24">
        <v>43844.0</v>
      </c>
      <c r="C368" s="30" t="s">
        <v>872</v>
      </c>
      <c r="D368" s="25" t="s">
        <v>873</v>
      </c>
      <c r="E368" s="25" t="s">
        <v>867</v>
      </c>
      <c r="F368" s="26"/>
      <c r="G368" s="32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23" t="s">
        <v>874</v>
      </c>
      <c r="B369" s="24">
        <v>43192.0</v>
      </c>
      <c r="C369" s="30" t="s">
        <v>587</v>
      </c>
      <c r="D369" s="25" t="s">
        <v>875</v>
      </c>
      <c r="E369" s="25" t="s">
        <v>867</v>
      </c>
      <c r="F369" s="26"/>
      <c r="G369" s="32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23" t="s">
        <v>876</v>
      </c>
      <c r="B370" s="24">
        <v>44258.0</v>
      </c>
      <c r="C370" s="30" t="s">
        <v>872</v>
      </c>
      <c r="D370" s="25" t="s">
        <v>873</v>
      </c>
      <c r="E370" s="25" t="s">
        <v>867</v>
      </c>
      <c r="F370" s="26"/>
      <c r="G370" s="32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23" t="s">
        <v>33</v>
      </c>
      <c r="B371" s="24">
        <v>41610.0</v>
      </c>
      <c r="C371" s="30" t="s">
        <v>34</v>
      </c>
      <c r="D371" s="25" t="s">
        <v>877</v>
      </c>
      <c r="E371" s="25" t="s">
        <v>867</v>
      </c>
      <c r="F371" s="26"/>
      <c r="G371" s="32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23" t="s">
        <v>878</v>
      </c>
      <c r="B372" s="24">
        <v>42731.0</v>
      </c>
      <c r="C372" s="30" t="s">
        <v>879</v>
      </c>
      <c r="D372" s="25" t="s">
        <v>880</v>
      </c>
      <c r="E372" s="25" t="s">
        <v>867</v>
      </c>
      <c r="F372" s="26"/>
      <c r="G372" s="32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23" t="s">
        <v>881</v>
      </c>
      <c r="B373" s="24">
        <v>43160.0</v>
      </c>
      <c r="C373" s="30" t="s">
        <v>581</v>
      </c>
      <c r="D373" s="25" t="s">
        <v>882</v>
      </c>
      <c r="E373" s="25" t="s">
        <v>867</v>
      </c>
      <c r="F373" s="26"/>
      <c r="G373" s="32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23" t="s">
        <v>883</v>
      </c>
      <c r="B374" s="24"/>
      <c r="C374" s="30" t="s">
        <v>884</v>
      </c>
      <c r="D374" s="25" t="s">
        <v>885</v>
      </c>
      <c r="E374" s="25" t="s">
        <v>867</v>
      </c>
      <c r="F374" s="26"/>
      <c r="G374" s="32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23" t="s">
        <v>886</v>
      </c>
      <c r="B375" s="24">
        <v>42832.0</v>
      </c>
      <c r="C375" s="30" t="s">
        <v>869</v>
      </c>
      <c r="D375" s="25" t="s">
        <v>870</v>
      </c>
      <c r="E375" s="25" t="s">
        <v>867</v>
      </c>
      <c r="F375" s="26"/>
      <c r="G375" s="32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23" t="s">
        <v>887</v>
      </c>
      <c r="B376" s="24">
        <v>43504.0</v>
      </c>
      <c r="C376" s="30" t="s">
        <v>879</v>
      </c>
      <c r="D376" s="25" t="s">
        <v>880</v>
      </c>
      <c r="E376" s="25" t="s">
        <v>867</v>
      </c>
      <c r="F376" s="26"/>
      <c r="G376" s="32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36" t="s">
        <v>888</v>
      </c>
      <c r="B377" s="24"/>
      <c r="C377" s="30"/>
      <c r="D377" s="25"/>
      <c r="E377" s="25"/>
      <c r="F377" s="26"/>
      <c r="G377" s="32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23" t="s">
        <v>889</v>
      </c>
      <c r="B378" s="24">
        <v>42272.0</v>
      </c>
      <c r="C378" s="30" t="s">
        <v>879</v>
      </c>
      <c r="D378" s="25" t="s">
        <v>880</v>
      </c>
      <c r="E378" s="25" t="s">
        <v>867</v>
      </c>
      <c r="F378" s="26"/>
      <c r="G378" s="32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23" t="s">
        <v>890</v>
      </c>
      <c r="B379" s="24">
        <v>24234.0</v>
      </c>
      <c r="C379" s="30" t="s">
        <v>891</v>
      </c>
      <c r="D379" s="25" t="s">
        <v>892</v>
      </c>
      <c r="E379" s="25" t="s">
        <v>867</v>
      </c>
      <c r="F379" s="26"/>
      <c r="G379" s="32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5" t="s">
        <v>893</v>
      </c>
      <c r="B380" s="6">
        <v>42255.0</v>
      </c>
      <c r="C380" s="8" t="s">
        <v>894</v>
      </c>
      <c r="D380" s="8" t="s">
        <v>895</v>
      </c>
      <c r="E380" s="8" t="s">
        <v>867</v>
      </c>
      <c r="F380" s="9"/>
      <c r="G380" s="3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5" t="s">
        <v>896</v>
      </c>
      <c r="B381" s="6">
        <v>41061.0</v>
      </c>
      <c r="C381" s="8" t="s">
        <v>897</v>
      </c>
      <c r="D381" s="8" t="s">
        <v>898</v>
      </c>
      <c r="E381" s="8" t="s">
        <v>867</v>
      </c>
      <c r="F381" s="9"/>
      <c r="G381" s="3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5" t="s">
        <v>523</v>
      </c>
      <c r="B382" s="6">
        <v>43737.0</v>
      </c>
      <c r="C382" s="8" t="s">
        <v>524</v>
      </c>
      <c r="D382" s="8" t="s">
        <v>525</v>
      </c>
      <c r="E382" s="8" t="s">
        <v>867</v>
      </c>
      <c r="F382" s="9"/>
      <c r="G382" s="3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5" t="s">
        <v>899</v>
      </c>
      <c r="B383" s="6">
        <v>41404.0</v>
      </c>
      <c r="C383" s="8" t="s">
        <v>900</v>
      </c>
      <c r="D383" s="8" t="s">
        <v>901</v>
      </c>
      <c r="E383" s="8" t="s">
        <v>867</v>
      </c>
      <c r="F383" s="9"/>
      <c r="G383" s="3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5" t="s">
        <v>902</v>
      </c>
      <c r="B384" s="6">
        <v>42765.0</v>
      </c>
      <c r="C384" s="8" t="s">
        <v>900</v>
      </c>
      <c r="D384" s="8" t="s">
        <v>901</v>
      </c>
      <c r="E384" s="8" t="s">
        <v>867</v>
      </c>
      <c r="F384" s="9"/>
      <c r="G384" s="3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5" t="s">
        <v>903</v>
      </c>
      <c r="B385" s="6">
        <v>42345.0</v>
      </c>
      <c r="C385" s="8" t="s">
        <v>269</v>
      </c>
      <c r="D385" s="8" t="s">
        <v>904</v>
      </c>
      <c r="E385" s="8" t="s">
        <v>867</v>
      </c>
      <c r="F385" s="9"/>
      <c r="G385" s="3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16" t="s">
        <v>905</v>
      </c>
      <c r="B386" s="17"/>
      <c r="C386" s="19" t="s">
        <v>906</v>
      </c>
      <c r="D386" s="19" t="s">
        <v>907</v>
      </c>
      <c r="E386" s="19" t="s">
        <v>867</v>
      </c>
      <c r="F386" s="20"/>
      <c r="G386" s="31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23" t="s">
        <v>908</v>
      </c>
      <c r="B387" s="24">
        <v>42446.0</v>
      </c>
      <c r="C387" s="25" t="s">
        <v>909</v>
      </c>
      <c r="D387" s="25" t="s">
        <v>910</v>
      </c>
      <c r="E387" s="25" t="s">
        <v>867</v>
      </c>
      <c r="F387" s="26"/>
      <c r="G387" s="32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16" t="s">
        <v>911</v>
      </c>
      <c r="B388" s="17">
        <v>40672.0</v>
      </c>
      <c r="C388" s="19" t="s">
        <v>37</v>
      </c>
      <c r="D388" s="19" t="s">
        <v>912</v>
      </c>
      <c r="E388" s="19" t="s">
        <v>867</v>
      </c>
      <c r="F388" s="20"/>
      <c r="G388" s="31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23" t="s">
        <v>58</v>
      </c>
      <c r="B389" s="24">
        <v>42158.0</v>
      </c>
      <c r="C389" s="25" t="s">
        <v>913</v>
      </c>
      <c r="D389" s="19"/>
      <c r="E389" s="25" t="s">
        <v>867</v>
      </c>
      <c r="F389" s="26"/>
      <c r="G389" s="32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16" t="s">
        <v>914</v>
      </c>
      <c r="B390" s="17"/>
      <c r="C390" s="19" t="s">
        <v>694</v>
      </c>
      <c r="D390" s="25"/>
      <c r="E390" s="19" t="s">
        <v>915</v>
      </c>
      <c r="F390" s="20"/>
      <c r="G390" s="31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23" t="s">
        <v>916</v>
      </c>
      <c r="B391" s="24"/>
      <c r="C391" s="25" t="s">
        <v>917</v>
      </c>
      <c r="D391" s="25" t="s">
        <v>918</v>
      </c>
      <c r="E391" s="25" t="s">
        <v>919</v>
      </c>
      <c r="F391" s="26"/>
      <c r="G391" s="32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16" t="s">
        <v>728</v>
      </c>
      <c r="B392" s="17"/>
      <c r="C392" s="19" t="s">
        <v>920</v>
      </c>
      <c r="D392" s="19" t="s">
        <v>921</v>
      </c>
      <c r="E392" s="19" t="s">
        <v>919</v>
      </c>
      <c r="F392" s="20"/>
      <c r="G392" s="31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23" t="s">
        <v>922</v>
      </c>
      <c r="B393" s="24">
        <v>42343.0</v>
      </c>
      <c r="C393" s="25" t="s">
        <v>923</v>
      </c>
      <c r="D393" s="25" t="s">
        <v>924</v>
      </c>
      <c r="E393" s="25" t="s">
        <v>919</v>
      </c>
      <c r="F393" s="26"/>
      <c r="G393" s="32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16" t="s">
        <v>925</v>
      </c>
      <c r="B394" s="17">
        <v>36269.0</v>
      </c>
      <c r="C394" s="19" t="s">
        <v>926</v>
      </c>
      <c r="D394" s="19" t="s">
        <v>927</v>
      </c>
      <c r="E394" s="19" t="s">
        <v>919</v>
      </c>
      <c r="F394" s="20"/>
      <c r="G394" s="31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23" t="s">
        <v>928</v>
      </c>
      <c r="B395" s="24">
        <v>40894.0</v>
      </c>
      <c r="C395" s="25" t="s">
        <v>929</v>
      </c>
      <c r="D395" s="19"/>
      <c r="E395" s="25" t="s">
        <v>919</v>
      </c>
      <c r="F395" s="26"/>
      <c r="G395" s="32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16" t="s">
        <v>930</v>
      </c>
      <c r="B396" s="17">
        <v>39065.0</v>
      </c>
      <c r="C396" s="19" t="s">
        <v>931</v>
      </c>
      <c r="D396" s="19" t="s">
        <v>932</v>
      </c>
      <c r="E396" s="19" t="s">
        <v>919</v>
      </c>
      <c r="F396" s="20"/>
      <c r="G396" s="31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23" t="s">
        <v>933</v>
      </c>
      <c r="B397" s="24">
        <v>34326.0</v>
      </c>
      <c r="C397" s="25" t="s">
        <v>934</v>
      </c>
      <c r="D397" s="25" t="s">
        <v>935</v>
      </c>
      <c r="E397" s="25" t="s">
        <v>919</v>
      </c>
      <c r="F397" s="26"/>
      <c r="G397" s="32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16" t="s">
        <v>936</v>
      </c>
      <c r="B398" s="17">
        <v>36804.0</v>
      </c>
      <c r="C398" s="19" t="s">
        <v>937</v>
      </c>
      <c r="D398" s="19" t="s">
        <v>938</v>
      </c>
      <c r="E398" s="19" t="s">
        <v>919</v>
      </c>
      <c r="F398" s="20"/>
      <c r="G398" s="31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23" t="s">
        <v>939</v>
      </c>
      <c r="B399" s="24">
        <v>32793.0</v>
      </c>
      <c r="C399" s="25" t="s">
        <v>940</v>
      </c>
      <c r="D399" s="25" t="s">
        <v>941</v>
      </c>
      <c r="E399" s="25" t="s">
        <v>919</v>
      </c>
      <c r="F399" s="26"/>
      <c r="G399" s="32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16" t="s">
        <v>942</v>
      </c>
      <c r="B400" s="17">
        <v>36234.0</v>
      </c>
      <c r="C400" s="19" t="s">
        <v>943</v>
      </c>
      <c r="D400" s="19" t="s">
        <v>944</v>
      </c>
      <c r="E400" s="19" t="s">
        <v>919</v>
      </c>
      <c r="F400" s="20"/>
      <c r="G400" s="31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23" t="s">
        <v>945</v>
      </c>
      <c r="B401" s="24">
        <v>27645.0</v>
      </c>
      <c r="C401" s="25" t="s">
        <v>946</v>
      </c>
      <c r="D401" s="25" t="s">
        <v>947</v>
      </c>
      <c r="E401" s="25" t="s">
        <v>919</v>
      </c>
      <c r="F401" s="26"/>
      <c r="G401" s="32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16" t="s">
        <v>948</v>
      </c>
      <c r="B402" s="17">
        <v>29342.0</v>
      </c>
      <c r="C402" s="19" t="s">
        <v>629</v>
      </c>
      <c r="D402" s="19" t="s">
        <v>949</v>
      </c>
      <c r="E402" s="19" t="s">
        <v>919</v>
      </c>
      <c r="F402" s="20"/>
      <c r="G402" s="31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23" t="s">
        <v>950</v>
      </c>
      <c r="B403" s="24">
        <v>27645.0</v>
      </c>
      <c r="C403" s="25" t="s">
        <v>951</v>
      </c>
      <c r="D403" s="25" t="s">
        <v>952</v>
      </c>
      <c r="E403" s="25" t="s">
        <v>919</v>
      </c>
      <c r="F403" s="26"/>
      <c r="G403" s="32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16" t="s">
        <v>259</v>
      </c>
      <c r="B404" s="17">
        <v>22685.0</v>
      </c>
      <c r="C404" s="19" t="s">
        <v>260</v>
      </c>
      <c r="D404" s="19" t="s">
        <v>952</v>
      </c>
      <c r="E404" s="19" t="s">
        <v>919</v>
      </c>
      <c r="F404" s="20"/>
      <c r="G404" s="31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23" t="s">
        <v>953</v>
      </c>
      <c r="B405" s="24">
        <v>26397.0</v>
      </c>
      <c r="C405" s="30" t="s">
        <v>954</v>
      </c>
      <c r="D405" s="25" t="s">
        <v>955</v>
      </c>
      <c r="E405" s="25" t="s">
        <v>919</v>
      </c>
      <c r="F405" s="26"/>
      <c r="G405" s="32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16" t="s">
        <v>956</v>
      </c>
      <c r="B406" s="17">
        <v>34872.0</v>
      </c>
      <c r="C406" s="19" t="s">
        <v>957</v>
      </c>
      <c r="D406" s="19" t="s">
        <v>958</v>
      </c>
      <c r="E406" s="19" t="s">
        <v>919</v>
      </c>
      <c r="F406" s="20"/>
      <c r="G406" s="31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23" t="s">
        <v>959</v>
      </c>
      <c r="B407" s="24">
        <v>31959.0</v>
      </c>
      <c r="C407" s="25" t="s">
        <v>960</v>
      </c>
      <c r="D407" s="25" t="s">
        <v>961</v>
      </c>
      <c r="E407" s="25" t="s">
        <v>919</v>
      </c>
      <c r="F407" s="26"/>
      <c r="G407" s="32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16" t="s">
        <v>962</v>
      </c>
      <c r="B408" s="17">
        <v>32277.0</v>
      </c>
      <c r="C408" s="18"/>
      <c r="D408" s="19" t="s">
        <v>963</v>
      </c>
      <c r="E408" s="19" t="s">
        <v>919</v>
      </c>
      <c r="F408" s="20"/>
      <c r="G408" s="31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23" t="s">
        <v>964</v>
      </c>
      <c r="B409" s="24">
        <v>33124.0</v>
      </c>
      <c r="C409" s="25" t="s">
        <v>965</v>
      </c>
      <c r="D409" s="25" t="s">
        <v>966</v>
      </c>
      <c r="E409" s="25" t="s">
        <v>919</v>
      </c>
      <c r="F409" s="26"/>
      <c r="G409" s="32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16" t="s">
        <v>967</v>
      </c>
      <c r="B410" s="17">
        <v>33787.0</v>
      </c>
      <c r="C410" s="19" t="s">
        <v>968</v>
      </c>
      <c r="D410" s="19" t="s">
        <v>969</v>
      </c>
      <c r="E410" s="19" t="s">
        <v>919</v>
      </c>
      <c r="F410" s="20"/>
      <c r="G410" s="31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23" t="s">
        <v>760</v>
      </c>
      <c r="B411" s="24">
        <v>33498.0</v>
      </c>
      <c r="C411" s="25" t="s">
        <v>761</v>
      </c>
      <c r="D411" s="25" t="s">
        <v>970</v>
      </c>
      <c r="E411" s="25" t="s">
        <v>919</v>
      </c>
      <c r="F411" s="26"/>
      <c r="G411" s="32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16" t="s">
        <v>971</v>
      </c>
      <c r="B412" s="17">
        <v>34277.0</v>
      </c>
      <c r="C412" s="18" t="s">
        <v>972</v>
      </c>
      <c r="D412" s="19" t="s">
        <v>557</v>
      </c>
      <c r="E412" s="19" t="s">
        <v>919</v>
      </c>
      <c r="F412" s="20"/>
      <c r="G412" s="31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23" t="s">
        <v>292</v>
      </c>
      <c r="B413" s="24">
        <v>27060.0</v>
      </c>
      <c r="C413" s="25" t="s">
        <v>293</v>
      </c>
      <c r="D413" s="25" t="s">
        <v>952</v>
      </c>
      <c r="E413" s="25" t="s">
        <v>919</v>
      </c>
      <c r="F413" s="26"/>
      <c r="G413" s="32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16" t="s">
        <v>973</v>
      </c>
      <c r="B414" s="17">
        <v>27331.0</v>
      </c>
      <c r="C414" s="19" t="s">
        <v>974</v>
      </c>
      <c r="D414" s="19" t="s">
        <v>975</v>
      </c>
      <c r="E414" s="19" t="s">
        <v>919</v>
      </c>
      <c r="F414" s="20"/>
      <c r="G414" s="31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23" t="s">
        <v>976</v>
      </c>
      <c r="B415" s="24">
        <v>36274.0</v>
      </c>
      <c r="C415" s="25" t="s">
        <v>977</v>
      </c>
      <c r="D415" s="25" t="s">
        <v>978</v>
      </c>
      <c r="E415" s="25" t="s">
        <v>919</v>
      </c>
      <c r="F415" s="26"/>
      <c r="G415" s="32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16" t="s">
        <v>979</v>
      </c>
      <c r="B416" s="17">
        <v>33123.0</v>
      </c>
      <c r="C416" s="19" t="s">
        <v>634</v>
      </c>
      <c r="D416" s="19" t="s">
        <v>980</v>
      </c>
      <c r="E416" s="19" t="s">
        <v>919</v>
      </c>
      <c r="F416" s="20"/>
      <c r="G416" s="31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23" t="s">
        <v>659</v>
      </c>
      <c r="B417" s="24">
        <v>32777.0</v>
      </c>
      <c r="C417" s="25" t="s">
        <v>660</v>
      </c>
      <c r="D417" s="25" t="s">
        <v>981</v>
      </c>
      <c r="E417" s="25" t="s">
        <v>919</v>
      </c>
      <c r="F417" s="26"/>
      <c r="G417" s="32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16" t="s">
        <v>982</v>
      </c>
      <c r="B418" s="17">
        <v>29756.0</v>
      </c>
      <c r="C418" s="19" t="s">
        <v>645</v>
      </c>
      <c r="D418" s="19" t="s">
        <v>983</v>
      </c>
      <c r="E418" s="19" t="s">
        <v>919</v>
      </c>
      <c r="F418" s="20"/>
      <c r="G418" s="31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23" t="s">
        <v>984</v>
      </c>
      <c r="B419" s="24"/>
      <c r="C419" s="25" t="s">
        <v>985</v>
      </c>
      <c r="D419" s="25" t="s">
        <v>986</v>
      </c>
      <c r="E419" s="25" t="s">
        <v>919</v>
      </c>
      <c r="F419" s="26"/>
      <c r="G419" s="32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16" t="s">
        <v>987</v>
      </c>
      <c r="B420" s="17">
        <v>35535.0</v>
      </c>
      <c r="C420" s="19" t="s">
        <v>651</v>
      </c>
      <c r="D420" s="19" t="s">
        <v>988</v>
      </c>
      <c r="E420" s="19" t="s">
        <v>919</v>
      </c>
      <c r="F420" s="20"/>
      <c r="G420" s="31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23" t="s">
        <v>989</v>
      </c>
      <c r="B421" s="24">
        <v>39137.0</v>
      </c>
      <c r="C421" s="25" t="s">
        <v>990</v>
      </c>
      <c r="D421" s="25" t="s">
        <v>991</v>
      </c>
      <c r="E421" s="25" t="s">
        <v>919</v>
      </c>
      <c r="F421" s="26"/>
      <c r="G421" s="32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16" t="s">
        <v>992</v>
      </c>
      <c r="B422" s="17">
        <v>34238.0</v>
      </c>
      <c r="C422" s="19" t="s">
        <v>648</v>
      </c>
      <c r="D422" s="19" t="s">
        <v>993</v>
      </c>
      <c r="E422" s="19" t="s">
        <v>919</v>
      </c>
      <c r="F422" s="20"/>
      <c r="G422" s="31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23" t="s">
        <v>994</v>
      </c>
      <c r="B423" s="24">
        <v>33083.0</v>
      </c>
      <c r="C423" s="25" t="s">
        <v>696</v>
      </c>
      <c r="D423" s="25" t="s">
        <v>995</v>
      </c>
      <c r="E423" s="25" t="s">
        <v>919</v>
      </c>
      <c r="F423" s="26"/>
      <c r="G423" s="32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16" t="s">
        <v>996</v>
      </c>
      <c r="B424" s="17">
        <v>30865.0</v>
      </c>
      <c r="C424" s="19" t="s">
        <v>997</v>
      </c>
      <c r="D424" s="19" t="s">
        <v>998</v>
      </c>
      <c r="E424" s="19" t="s">
        <v>919</v>
      </c>
      <c r="F424" s="20"/>
      <c r="G424" s="31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23" t="s">
        <v>659</v>
      </c>
      <c r="B425" s="24">
        <v>32777.0</v>
      </c>
      <c r="C425" s="25" t="s">
        <v>660</v>
      </c>
      <c r="D425" s="25" t="s">
        <v>999</v>
      </c>
      <c r="E425" s="25" t="s">
        <v>919</v>
      </c>
      <c r="F425" s="26"/>
      <c r="G425" s="32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16" t="s">
        <v>930</v>
      </c>
      <c r="B426" s="17">
        <v>39065.0</v>
      </c>
      <c r="C426" s="19" t="s">
        <v>931</v>
      </c>
      <c r="D426" s="19" t="s">
        <v>1000</v>
      </c>
      <c r="E426" s="19" t="s">
        <v>919</v>
      </c>
      <c r="F426" s="20"/>
      <c r="G426" s="31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23" t="s">
        <v>1001</v>
      </c>
      <c r="B427" s="24">
        <v>28068.0</v>
      </c>
      <c r="C427" s="25" t="s">
        <v>1002</v>
      </c>
      <c r="D427" s="25" t="s">
        <v>1000</v>
      </c>
      <c r="E427" s="25" t="s">
        <v>919</v>
      </c>
      <c r="F427" s="26"/>
      <c r="G427" s="32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16" t="s">
        <v>1003</v>
      </c>
      <c r="B428" s="17"/>
      <c r="C428" s="18"/>
      <c r="D428" s="19" t="s">
        <v>1004</v>
      </c>
      <c r="E428" s="19" t="s">
        <v>919</v>
      </c>
      <c r="F428" s="20"/>
      <c r="G428" s="31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23" t="s">
        <v>1005</v>
      </c>
      <c r="B429" s="24">
        <v>32774.0</v>
      </c>
      <c r="C429" s="30" t="s">
        <v>1006</v>
      </c>
      <c r="D429" s="25" t="s">
        <v>1007</v>
      </c>
      <c r="E429" s="25" t="s">
        <v>919</v>
      </c>
      <c r="F429" s="26"/>
      <c r="G429" s="32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16" t="s">
        <v>817</v>
      </c>
      <c r="B430" s="17">
        <v>29784.0</v>
      </c>
      <c r="C430" s="18" t="s">
        <v>43</v>
      </c>
      <c r="D430" s="19" t="s">
        <v>1008</v>
      </c>
      <c r="E430" s="19" t="s">
        <v>919</v>
      </c>
      <c r="F430" s="20"/>
      <c r="G430" s="31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23" t="s">
        <v>1009</v>
      </c>
      <c r="B431" s="24"/>
      <c r="C431" s="30"/>
      <c r="D431" s="19"/>
      <c r="E431" s="25" t="s">
        <v>919</v>
      </c>
      <c r="F431" s="26"/>
      <c r="G431" s="32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16" t="s">
        <v>442</v>
      </c>
      <c r="B432" s="17">
        <v>43607.0</v>
      </c>
      <c r="C432" s="18" t="s">
        <v>1010</v>
      </c>
      <c r="D432" s="19" t="s">
        <v>1011</v>
      </c>
      <c r="E432" s="19" t="s">
        <v>919</v>
      </c>
      <c r="F432" s="20"/>
      <c r="G432" s="31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23" t="s">
        <v>1012</v>
      </c>
      <c r="B433" s="24">
        <v>29233.0</v>
      </c>
      <c r="C433" s="30" t="s">
        <v>1013</v>
      </c>
      <c r="D433" s="25" t="s">
        <v>1014</v>
      </c>
      <c r="E433" s="25" t="s">
        <v>919</v>
      </c>
      <c r="F433" s="26"/>
      <c r="G433" s="32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16" t="s">
        <v>1015</v>
      </c>
      <c r="B434" s="17">
        <v>41957.0</v>
      </c>
      <c r="C434" s="18" t="s">
        <v>1016</v>
      </c>
      <c r="D434" s="19" t="s">
        <v>1017</v>
      </c>
      <c r="E434" s="19" t="s">
        <v>919</v>
      </c>
      <c r="F434" s="20"/>
      <c r="G434" s="31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23" t="s">
        <v>1018</v>
      </c>
      <c r="B435" s="24">
        <v>31664.0</v>
      </c>
      <c r="C435" s="30" t="s">
        <v>1019</v>
      </c>
      <c r="D435" s="25" t="s">
        <v>991</v>
      </c>
      <c r="E435" s="25" t="s">
        <v>919</v>
      </c>
      <c r="F435" s="26"/>
      <c r="G435" s="32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16" t="s">
        <v>608</v>
      </c>
      <c r="B436" s="17">
        <v>31342.0</v>
      </c>
      <c r="C436" s="18" t="s">
        <v>215</v>
      </c>
      <c r="D436" s="19" t="s">
        <v>183</v>
      </c>
      <c r="E436" s="19" t="s">
        <v>919</v>
      </c>
      <c r="F436" s="20"/>
      <c r="G436" s="31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23" t="s">
        <v>1020</v>
      </c>
      <c r="B437" s="24">
        <v>39137.0</v>
      </c>
      <c r="C437" s="30" t="s">
        <v>1019</v>
      </c>
      <c r="D437" s="25" t="s">
        <v>991</v>
      </c>
      <c r="E437" s="25" t="s">
        <v>919</v>
      </c>
      <c r="F437" s="26"/>
      <c r="G437" s="32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16" t="s">
        <v>1021</v>
      </c>
      <c r="B438" s="17"/>
      <c r="C438" s="18" t="s">
        <v>1022</v>
      </c>
      <c r="D438" s="19" t="s">
        <v>1023</v>
      </c>
      <c r="E438" s="19" t="s">
        <v>919</v>
      </c>
      <c r="F438" s="20"/>
      <c r="G438" s="31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23" t="s">
        <v>1024</v>
      </c>
      <c r="B439" s="24">
        <v>40287.0</v>
      </c>
      <c r="C439" s="30" t="s">
        <v>1025</v>
      </c>
      <c r="D439" s="25" t="s">
        <v>1026</v>
      </c>
      <c r="E439" s="25" t="s">
        <v>919</v>
      </c>
      <c r="F439" s="26"/>
      <c r="G439" s="32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16" t="s">
        <v>1027</v>
      </c>
      <c r="B440" s="17">
        <v>42059.0</v>
      </c>
      <c r="C440" s="18" t="s">
        <v>423</v>
      </c>
      <c r="D440" s="19" t="s">
        <v>424</v>
      </c>
      <c r="E440" s="19" t="s">
        <v>919</v>
      </c>
      <c r="F440" s="20"/>
      <c r="G440" s="31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23" t="s">
        <v>1028</v>
      </c>
      <c r="B441" s="24">
        <v>31904.0</v>
      </c>
      <c r="C441" s="30" t="s">
        <v>1029</v>
      </c>
      <c r="D441" s="25" t="s">
        <v>1030</v>
      </c>
      <c r="E441" s="25" t="s">
        <v>919</v>
      </c>
      <c r="F441" s="26"/>
      <c r="G441" s="32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16" t="s">
        <v>1031</v>
      </c>
      <c r="B442" s="17"/>
      <c r="C442" s="18" t="s">
        <v>1032</v>
      </c>
      <c r="D442" s="25"/>
      <c r="E442" s="19" t="s">
        <v>919</v>
      </c>
      <c r="F442" s="20"/>
      <c r="G442" s="31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23" t="s">
        <v>1033</v>
      </c>
      <c r="B443" s="24"/>
      <c r="C443" s="30" t="s">
        <v>1034</v>
      </c>
      <c r="D443" s="25" t="s">
        <v>1035</v>
      </c>
      <c r="E443" s="25" t="s">
        <v>919</v>
      </c>
      <c r="F443" s="26"/>
      <c r="G443" s="32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16" t="s">
        <v>1036</v>
      </c>
      <c r="B444" s="17"/>
      <c r="C444" s="18" t="s">
        <v>1037</v>
      </c>
      <c r="D444" s="19" t="s">
        <v>1038</v>
      </c>
      <c r="E444" s="19" t="s">
        <v>919</v>
      </c>
      <c r="F444" s="20"/>
      <c r="G444" s="31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23" t="s">
        <v>716</v>
      </c>
      <c r="B445" s="24">
        <v>23657.0</v>
      </c>
      <c r="C445" s="30" t="s">
        <v>717</v>
      </c>
      <c r="D445" s="25" t="s">
        <v>718</v>
      </c>
      <c r="E445" s="25" t="s">
        <v>919</v>
      </c>
      <c r="F445" s="26"/>
      <c r="G445" s="32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37" t="s">
        <v>442</v>
      </c>
      <c r="B446" s="38">
        <v>43607.0</v>
      </c>
      <c r="C446" s="39" t="s">
        <v>1039</v>
      </c>
      <c r="D446" s="39" t="s">
        <v>1040</v>
      </c>
      <c r="E446" s="39" t="s">
        <v>1041</v>
      </c>
      <c r="F446" s="40"/>
      <c r="G446" s="41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2" t="s">
        <v>1042</v>
      </c>
      <c r="B447" s="42" t="s">
        <v>1043</v>
      </c>
      <c r="C447" s="9" t="s">
        <v>40</v>
      </c>
      <c r="D447" s="42" t="s">
        <v>1044</v>
      </c>
      <c r="E447" s="42" t="s">
        <v>1041</v>
      </c>
      <c r="F447" s="43"/>
      <c r="G447" s="9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2" t="s">
        <v>1045</v>
      </c>
      <c r="B448" s="44">
        <v>41317.0</v>
      </c>
      <c r="C448" s="9" t="s">
        <v>34</v>
      </c>
      <c r="D448" s="42" t="s">
        <v>1046</v>
      </c>
      <c r="E448" s="42" t="s">
        <v>1041</v>
      </c>
      <c r="F448" s="43"/>
      <c r="G448" s="9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2" t="s">
        <v>589</v>
      </c>
      <c r="B449" s="42" t="s">
        <v>1047</v>
      </c>
      <c r="C449" s="9" t="s">
        <v>21</v>
      </c>
      <c r="D449" s="42" t="s">
        <v>1048</v>
      </c>
      <c r="E449" s="42" t="s">
        <v>1041</v>
      </c>
      <c r="F449" s="43"/>
      <c r="G449" s="9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2" t="s">
        <v>1049</v>
      </c>
      <c r="B450" s="44">
        <v>43561.0</v>
      </c>
      <c r="C450" s="9" t="s">
        <v>1050</v>
      </c>
      <c r="D450" s="42" t="s">
        <v>1051</v>
      </c>
      <c r="E450" s="42" t="s">
        <v>1041</v>
      </c>
      <c r="F450" s="43"/>
      <c r="G450" s="9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2" t="s">
        <v>1052</v>
      </c>
      <c r="B451" s="44">
        <v>40825.0</v>
      </c>
      <c r="C451" s="9" t="s">
        <v>21</v>
      </c>
      <c r="D451" s="42" t="s">
        <v>1053</v>
      </c>
      <c r="E451" s="42" t="s">
        <v>1041</v>
      </c>
      <c r="F451" s="43"/>
      <c r="G451" s="9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2" t="s">
        <v>1054</v>
      </c>
      <c r="B452" s="42" t="s">
        <v>1055</v>
      </c>
      <c r="C452" s="9" t="s">
        <v>1056</v>
      </c>
      <c r="D452" s="42" t="s">
        <v>1057</v>
      </c>
      <c r="E452" s="42" t="s">
        <v>1041</v>
      </c>
      <c r="F452" s="43"/>
      <c r="G452" s="9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5" t="s">
        <v>523</v>
      </c>
      <c r="B453" s="24">
        <v>43737.0</v>
      </c>
      <c r="C453" s="8" t="s">
        <v>524</v>
      </c>
      <c r="D453" s="8" t="s">
        <v>525</v>
      </c>
      <c r="E453" s="8" t="s">
        <v>1058</v>
      </c>
      <c r="F453" s="9"/>
      <c r="G453" s="3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5" t="s">
        <v>1059</v>
      </c>
      <c r="B454" s="35">
        <v>42632.0</v>
      </c>
      <c r="C454" s="46" t="s">
        <v>1060</v>
      </c>
      <c r="D454" s="45" t="s">
        <v>1061</v>
      </c>
      <c r="E454" s="45" t="s">
        <v>1041</v>
      </c>
      <c r="F454" s="43"/>
      <c r="G454" s="9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5" t="s">
        <v>1062</v>
      </c>
      <c r="B455" s="35">
        <v>42678.0</v>
      </c>
      <c r="C455" s="46" t="s">
        <v>1063</v>
      </c>
      <c r="D455" s="45" t="s">
        <v>1064</v>
      </c>
      <c r="E455" s="45" t="s">
        <v>1041</v>
      </c>
      <c r="F455" s="43"/>
      <c r="G455" s="9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5" t="s">
        <v>1065</v>
      </c>
      <c r="B456" s="35">
        <v>42954.0</v>
      </c>
      <c r="C456" s="46" t="s">
        <v>1063</v>
      </c>
      <c r="D456" s="45" t="s">
        <v>1064</v>
      </c>
      <c r="E456" s="45" t="s">
        <v>1041</v>
      </c>
      <c r="F456" s="43"/>
      <c r="G456" s="9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5" t="s">
        <v>1066</v>
      </c>
      <c r="B457" s="35">
        <v>43321.0</v>
      </c>
      <c r="C457" s="46" t="s">
        <v>1063</v>
      </c>
      <c r="D457" s="45" t="s">
        <v>1064</v>
      </c>
      <c r="E457" s="45" t="s">
        <v>1041</v>
      </c>
      <c r="F457" s="43"/>
      <c r="G457" s="9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7"/>
      <c r="D458" s="4"/>
      <c r="E458" s="4"/>
      <c r="F458" s="48"/>
      <c r="G458" s="47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7"/>
      <c r="D459" s="4"/>
      <c r="E459" s="4"/>
      <c r="F459" s="48"/>
      <c r="G459" s="47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7"/>
      <c r="D460" s="4"/>
      <c r="E460" s="4"/>
      <c r="F460" s="48"/>
      <c r="G460" s="47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7"/>
      <c r="D461" s="4"/>
      <c r="E461" s="4"/>
      <c r="F461" s="48"/>
      <c r="G461" s="47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7"/>
      <c r="D462" s="4"/>
      <c r="E462" s="4"/>
      <c r="F462" s="48"/>
      <c r="G462" s="47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7"/>
      <c r="D463" s="4"/>
      <c r="E463" s="4"/>
      <c r="F463" s="48"/>
      <c r="G463" s="47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7"/>
      <c r="D464" s="4"/>
      <c r="E464" s="4"/>
      <c r="F464" s="48"/>
      <c r="G464" s="47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7"/>
      <c r="D465" s="4"/>
      <c r="E465" s="4"/>
      <c r="F465" s="48"/>
      <c r="G465" s="47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7"/>
      <c r="D466" s="4"/>
      <c r="E466" s="4"/>
      <c r="F466" s="48"/>
      <c r="G466" s="47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7"/>
      <c r="D467" s="4"/>
      <c r="E467" s="4"/>
      <c r="F467" s="48"/>
      <c r="G467" s="47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7"/>
      <c r="D468" s="4"/>
      <c r="E468" s="4"/>
      <c r="F468" s="48"/>
      <c r="G468" s="47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7"/>
      <c r="D469" s="4"/>
      <c r="E469" s="4"/>
      <c r="F469" s="48"/>
      <c r="G469" s="47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7"/>
      <c r="D470" s="4"/>
      <c r="E470" s="4"/>
      <c r="F470" s="48"/>
      <c r="G470" s="47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7"/>
      <c r="D471" s="4"/>
      <c r="E471" s="4"/>
      <c r="F471" s="48"/>
      <c r="G471" s="47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7"/>
      <c r="D472" s="4"/>
      <c r="E472" s="4"/>
      <c r="F472" s="48"/>
      <c r="G472" s="47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7"/>
      <c r="D473" s="4"/>
      <c r="E473" s="4"/>
      <c r="F473" s="48"/>
      <c r="G473" s="47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7"/>
      <c r="D474" s="4"/>
      <c r="E474" s="4"/>
      <c r="F474" s="48"/>
      <c r="G474" s="47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7"/>
      <c r="D475" s="4"/>
      <c r="E475" s="4"/>
      <c r="F475" s="48"/>
      <c r="G475" s="47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7"/>
      <c r="D476" s="4"/>
      <c r="E476" s="4"/>
      <c r="F476" s="48"/>
      <c r="G476" s="47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7"/>
      <c r="D477" s="4"/>
      <c r="E477" s="4"/>
      <c r="F477" s="48"/>
      <c r="G477" s="47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7"/>
      <c r="D478" s="4"/>
      <c r="E478" s="4"/>
      <c r="F478" s="48"/>
      <c r="G478" s="47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7"/>
      <c r="D479" s="4"/>
      <c r="E479" s="4"/>
      <c r="F479" s="48"/>
      <c r="G479" s="47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7"/>
      <c r="D480" s="4"/>
      <c r="E480" s="4"/>
      <c r="F480" s="48"/>
      <c r="G480" s="47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7"/>
      <c r="D481" s="4"/>
      <c r="E481" s="4"/>
      <c r="F481" s="48"/>
      <c r="G481" s="47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7"/>
      <c r="D482" s="4"/>
      <c r="E482" s="4"/>
      <c r="F482" s="48"/>
      <c r="G482" s="47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7"/>
      <c r="D483" s="4"/>
      <c r="E483" s="4"/>
      <c r="F483" s="48"/>
      <c r="G483" s="47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7"/>
      <c r="D484" s="4"/>
      <c r="E484" s="4"/>
      <c r="F484" s="48"/>
      <c r="G484" s="47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7"/>
      <c r="D485" s="4"/>
      <c r="E485" s="4"/>
      <c r="F485" s="48"/>
      <c r="G485" s="47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7"/>
      <c r="D486" s="4"/>
      <c r="E486" s="4"/>
      <c r="F486" s="48"/>
      <c r="G486" s="47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7"/>
      <c r="D487" s="4"/>
      <c r="E487" s="4"/>
      <c r="F487" s="48"/>
      <c r="G487" s="47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7"/>
      <c r="D488" s="4"/>
      <c r="E488" s="4"/>
      <c r="F488" s="48"/>
      <c r="G488" s="47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7"/>
      <c r="D489" s="4"/>
      <c r="E489" s="4"/>
      <c r="F489" s="48"/>
      <c r="G489" s="47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7"/>
      <c r="D490" s="4"/>
      <c r="E490" s="4"/>
      <c r="F490" s="48"/>
      <c r="G490" s="47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7"/>
      <c r="D491" s="4"/>
      <c r="E491" s="4"/>
      <c r="F491" s="48"/>
      <c r="G491" s="47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7"/>
      <c r="D492" s="4"/>
      <c r="E492" s="4"/>
      <c r="F492" s="48"/>
      <c r="G492" s="47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7"/>
      <c r="D493" s="4"/>
      <c r="E493" s="4"/>
      <c r="F493" s="48"/>
      <c r="G493" s="47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7"/>
      <c r="D494" s="4"/>
      <c r="E494" s="4"/>
      <c r="F494" s="48"/>
      <c r="G494" s="47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7"/>
      <c r="D495" s="4"/>
      <c r="E495" s="4"/>
      <c r="F495" s="48"/>
      <c r="G495" s="47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7"/>
      <c r="D496" s="4"/>
      <c r="E496" s="4"/>
      <c r="F496" s="48"/>
      <c r="G496" s="47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7"/>
      <c r="D497" s="4"/>
      <c r="E497" s="4"/>
      <c r="F497" s="48"/>
      <c r="G497" s="47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7"/>
      <c r="D498" s="4"/>
      <c r="E498" s="4"/>
      <c r="F498" s="48"/>
      <c r="G498" s="47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7"/>
      <c r="D499" s="4"/>
      <c r="E499" s="4"/>
      <c r="F499" s="48"/>
      <c r="G499" s="47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7"/>
      <c r="D500" s="4"/>
      <c r="E500" s="4"/>
      <c r="F500" s="48"/>
      <c r="G500" s="47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7"/>
      <c r="D501" s="4"/>
      <c r="E501" s="4"/>
      <c r="F501" s="48"/>
      <c r="G501" s="47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7"/>
      <c r="D502" s="4"/>
      <c r="E502" s="4"/>
      <c r="F502" s="48"/>
      <c r="G502" s="47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7"/>
      <c r="D503" s="4"/>
      <c r="E503" s="4"/>
      <c r="F503" s="48"/>
      <c r="G503" s="47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7"/>
      <c r="D504" s="4"/>
      <c r="E504" s="4"/>
      <c r="F504" s="48"/>
      <c r="G504" s="47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7"/>
      <c r="D505" s="4"/>
      <c r="E505" s="4"/>
      <c r="F505" s="48"/>
      <c r="G505" s="47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7"/>
      <c r="D506" s="4"/>
      <c r="E506" s="4"/>
      <c r="F506" s="48"/>
      <c r="G506" s="47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7"/>
      <c r="D507" s="4"/>
      <c r="E507" s="4"/>
      <c r="F507" s="48"/>
      <c r="G507" s="47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7"/>
      <c r="D508" s="4"/>
      <c r="E508" s="4"/>
      <c r="F508" s="48"/>
      <c r="G508" s="47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7"/>
      <c r="D509" s="4"/>
      <c r="E509" s="4"/>
      <c r="F509" s="48"/>
      <c r="G509" s="47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7"/>
      <c r="D510" s="4"/>
      <c r="E510" s="4"/>
      <c r="F510" s="48"/>
      <c r="G510" s="47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7"/>
      <c r="D511" s="4"/>
      <c r="E511" s="4"/>
      <c r="F511" s="48"/>
      <c r="G511" s="47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7"/>
      <c r="D512" s="4"/>
      <c r="E512" s="4"/>
      <c r="F512" s="48"/>
      <c r="G512" s="47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7"/>
      <c r="D513" s="4"/>
      <c r="E513" s="4"/>
      <c r="F513" s="48"/>
      <c r="G513" s="47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7"/>
      <c r="D514" s="4"/>
      <c r="E514" s="4"/>
      <c r="F514" s="48"/>
      <c r="G514" s="47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7"/>
      <c r="D515" s="4"/>
      <c r="E515" s="4"/>
      <c r="F515" s="48"/>
      <c r="G515" s="47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7"/>
      <c r="D516" s="4"/>
      <c r="E516" s="4"/>
      <c r="F516" s="48"/>
      <c r="G516" s="47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7"/>
      <c r="D517" s="4"/>
      <c r="E517" s="4"/>
      <c r="F517" s="48"/>
      <c r="G517" s="47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7"/>
      <c r="D518" s="4"/>
      <c r="E518" s="4"/>
      <c r="F518" s="48"/>
      <c r="G518" s="47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7"/>
      <c r="D519" s="4"/>
      <c r="E519" s="4"/>
      <c r="F519" s="48"/>
      <c r="G519" s="47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7"/>
      <c r="D520" s="4"/>
      <c r="E520" s="4"/>
      <c r="F520" s="48"/>
      <c r="G520" s="47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7"/>
      <c r="D521" s="4"/>
      <c r="E521" s="4"/>
      <c r="F521" s="48"/>
      <c r="G521" s="47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7"/>
      <c r="D522" s="4"/>
      <c r="E522" s="4"/>
      <c r="F522" s="48"/>
      <c r="G522" s="47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7"/>
      <c r="D523" s="4"/>
      <c r="E523" s="4"/>
      <c r="F523" s="48"/>
      <c r="G523" s="47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7"/>
      <c r="D524" s="4"/>
      <c r="E524" s="4"/>
      <c r="F524" s="48"/>
      <c r="G524" s="47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7"/>
      <c r="D525" s="4"/>
      <c r="E525" s="4"/>
      <c r="F525" s="48"/>
      <c r="G525" s="47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7"/>
      <c r="D526" s="4"/>
      <c r="E526" s="4"/>
      <c r="F526" s="48"/>
      <c r="G526" s="47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7"/>
      <c r="D527" s="4"/>
      <c r="E527" s="4"/>
      <c r="F527" s="48"/>
      <c r="G527" s="47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7"/>
      <c r="D528" s="4"/>
      <c r="E528" s="4"/>
      <c r="F528" s="48"/>
      <c r="G528" s="47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7"/>
      <c r="D529" s="4"/>
      <c r="E529" s="4"/>
      <c r="F529" s="48"/>
      <c r="G529" s="47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7"/>
      <c r="D530" s="4"/>
      <c r="E530" s="4"/>
      <c r="F530" s="48"/>
      <c r="G530" s="47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7"/>
      <c r="D531" s="4"/>
      <c r="E531" s="4"/>
      <c r="F531" s="48"/>
      <c r="G531" s="47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7"/>
      <c r="D532" s="4"/>
      <c r="E532" s="4"/>
      <c r="F532" s="48"/>
      <c r="G532" s="47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7"/>
      <c r="D533" s="4"/>
      <c r="E533" s="4"/>
      <c r="F533" s="48"/>
      <c r="G533" s="47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7"/>
      <c r="D534" s="4"/>
      <c r="E534" s="4"/>
      <c r="F534" s="48"/>
      <c r="G534" s="47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7"/>
      <c r="D535" s="4"/>
      <c r="E535" s="4"/>
      <c r="F535" s="48"/>
      <c r="G535" s="47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7"/>
      <c r="D536" s="4"/>
      <c r="E536" s="4"/>
      <c r="F536" s="48"/>
      <c r="G536" s="47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7"/>
      <c r="D537" s="4"/>
      <c r="E537" s="4"/>
      <c r="F537" s="48"/>
      <c r="G537" s="47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7"/>
      <c r="D538" s="4"/>
      <c r="E538" s="4"/>
      <c r="F538" s="48"/>
      <c r="G538" s="47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7"/>
      <c r="D539" s="4"/>
      <c r="E539" s="4"/>
      <c r="F539" s="48"/>
      <c r="G539" s="47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7"/>
      <c r="D540" s="4"/>
      <c r="E540" s="4"/>
      <c r="F540" s="48"/>
      <c r="G540" s="47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7"/>
      <c r="D541" s="4"/>
      <c r="E541" s="4"/>
      <c r="F541" s="48"/>
      <c r="G541" s="47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7"/>
      <c r="D542" s="4"/>
      <c r="E542" s="4"/>
      <c r="F542" s="48"/>
      <c r="G542" s="47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7"/>
      <c r="D543" s="4"/>
      <c r="E543" s="4"/>
      <c r="F543" s="48"/>
      <c r="G543" s="47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7"/>
      <c r="D544" s="4"/>
      <c r="E544" s="4"/>
      <c r="F544" s="48"/>
      <c r="G544" s="47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7"/>
      <c r="D545" s="4"/>
      <c r="E545" s="4"/>
      <c r="F545" s="48"/>
      <c r="G545" s="47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7"/>
      <c r="D546" s="4"/>
      <c r="E546" s="4"/>
      <c r="F546" s="48"/>
      <c r="G546" s="47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7"/>
      <c r="D547" s="4"/>
      <c r="E547" s="4"/>
      <c r="F547" s="48"/>
      <c r="G547" s="47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7"/>
      <c r="D548" s="4"/>
      <c r="E548" s="4"/>
      <c r="F548" s="48"/>
      <c r="G548" s="47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7"/>
      <c r="D549" s="4"/>
      <c r="E549" s="4"/>
      <c r="F549" s="48"/>
      <c r="G549" s="47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7"/>
      <c r="D550" s="4"/>
      <c r="E550" s="4"/>
      <c r="F550" s="48"/>
      <c r="G550" s="47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7"/>
      <c r="D551" s="4"/>
      <c r="E551" s="4"/>
      <c r="F551" s="48"/>
      <c r="G551" s="47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7"/>
      <c r="D552" s="4"/>
      <c r="E552" s="4"/>
      <c r="F552" s="48"/>
      <c r="G552" s="47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7"/>
      <c r="D553" s="4"/>
      <c r="E553" s="4"/>
      <c r="F553" s="48"/>
      <c r="G553" s="47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7"/>
      <c r="D554" s="4"/>
      <c r="E554" s="4"/>
      <c r="F554" s="48"/>
      <c r="G554" s="47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7"/>
      <c r="D555" s="4"/>
      <c r="E555" s="4"/>
      <c r="F555" s="48"/>
      <c r="G555" s="47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7"/>
      <c r="D556" s="4"/>
      <c r="E556" s="4"/>
      <c r="F556" s="48"/>
      <c r="G556" s="47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7"/>
      <c r="D557" s="4"/>
      <c r="E557" s="4"/>
      <c r="F557" s="48"/>
      <c r="G557" s="47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7"/>
      <c r="D558" s="4"/>
      <c r="E558" s="4"/>
      <c r="F558" s="48"/>
      <c r="G558" s="47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7"/>
      <c r="D559" s="4"/>
      <c r="E559" s="4"/>
      <c r="F559" s="48"/>
      <c r="G559" s="47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7"/>
      <c r="D560" s="4"/>
      <c r="E560" s="4"/>
      <c r="F560" s="48"/>
      <c r="G560" s="47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7"/>
      <c r="D561" s="4"/>
      <c r="E561" s="4"/>
      <c r="F561" s="48"/>
      <c r="G561" s="47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7"/>
      <c r="D562" s="4"/>
      <c r="E562" s="4"/>
      <c r="F562" s="48"/>
      <c r="G562" s="47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7"/>
      <c r="D563" s="4"/>
      <c r="E563" s="4"/>
      <c r="F563" s="48"/>
      <c r="G563" s="47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7"/>
      <c r="D564" s="4"/>
      <c r="E564" s="4"/>
      <c r="F564" s="48"/>
      <c r="G564" s="47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7"/>
      <c r="D565" s="4"/>
      <c r="E565" s="4"/>
      <c r="F565" s="48"/>
      <c r="G565" s="47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7"/>
      <c r="D566" s="4"/>
      <c r="E566" s="4"/>
      <c r="F566" s="48"/>
      <c r="G566" s="47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7"/>
      <c r="D567" s="4"/>
      <c r="E567" s="4"/>
      <c r="F567" s="48"/>
      <c r="G567" s="47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7"/>
      <c r="D568" s="4"/>
      <c r="E568" s="4"/>
      <c r="F568" s="48"/>
      <c r="G568" s="47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7"/>
      <c r="D569" s="4"/>
      <c r="E569" s="4"/>
      <c r="F569" s="48"/>
      <c r="G569" s="47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7"/>
      <c r="D570" s="4"/>
      <c r="E570" s="4"/>
      <c r="F570" s="48"/>
      <c r="G570" s="47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7"/>
      <c r="D571" s="4"/>
      <c r="E571" s="4"/>
      <c r="F571" s="48"/>
      <c r="G571" s="47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7"/>
      <c r="D572" s="4"/>
      <c r="E572" s="4"/>
      <c r="F572" s="48"/>
      <c r="G572" s="47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7"/>
      <c r="D573" s="4"/>
      <c r="E573" s="4"/>
      <c r="F573" s="48"/>
      <c r="G573" s="47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7"/>
      <c r="D574" s="4"/>
      <c r="E574" s="4"/>
      <c r="F574" s="48"/>
      <c r="G574" s="47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7"/>
      <c r="D575" s="4"/>
      <c r="E575" s="4"/>
      <c r="F575" s="48"/>
      <c r="G575" s="47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7"/>
      <c r="D576" s="4"/>
      <c r="E576" s="4"/>
      <c r="F576" s="48"/>
      <c r="G576" s="47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7"/>
      <c r="D577" s="4"/>
      <c r="E577" s="4"/>
      <c r="F577" s="48"/>
      <c r="G577" s="47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7"/>
      <c r="D578" s="4"/>
      <c r="E578" s="4"/>
      <c r="F578" s="48"/>
      <c r="G578" s="47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7"/>
      <c r="D579" s="4"/>
      <c r="E579" s="4"/>
      <c r="F579" s="48"/>
      <c r="G579" s="47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7"/>
      <c r="D580" s="4"/>
      <c r="E580" s="4"/>
      <c r="F580" s="48"/>
      <c r="G580" s="47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7"/>
      <c r="D581" s="4"/>
      <c r="E581" s="4"/>
      <c r="F581" s="48"/>
      <c r="G581" s="47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7"/>
      <c r="D582" s="4"/>
      <c r="E582" s="4"/>
      <c r="F582" s="48"/>
      <c r="G582" s="47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7"/>
      <c r="D583" s="4"/>
      <c r="E583" s="4"/>
      <c r="F583" s="48"/>
      <c r="G583" s="47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7"/>
      <c r="D584" s="4"/>
      <c r="E584" s="4"/>
      <c r="F584" s="48"/>
      <c r="G584" s="47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7"/>
      <c r="D585" s="4"/>
      <c r="E585" s="4"/>
      <c r="F585" s="48"/>
      <c r="G585" s="47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7"/>
      <c r="D586" s="4"/>
      <c r="E586" s="4"/>
      <c r="F586" s="48"/>
      <c r="G586" s="47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7"/>
      <c r="D587" s="4"/>
      <c r="E587" s="4"/>
      <c r="F587" s="48"/>
      <c r="G587" s="47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7"/>
      <c r="D588" s="4"/>
      <c r="E588" s="4"/>
      <c r="F588" s="48"/>
      <c r="G588" s="47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7"/>
      <c r="D589" s="4"/>
      <c r="E589" s="4"/>
      <c r="F589" s="48"/>
      <c r="G589" s="47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7"/>
      <c r="D590" s="4"/>
      <c r="E590" s="4"/>
      <c r="F590" s="48"/>
      <c r="G590" s="47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7"/>
      <c r="D591" s="4"/>
      <c r="E591" s="4"/>
      <c r="F591" s="48"/>
      <c r="G591" s="47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7"/>
      <c r="D592" s="4"/>
      <c r="E592" s="4"/>
      <c r="F592" s="48"/>
      <c r="G592" s="47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7"/>
      <c r="D593" s="4"/>
      <c r="E593" s="4"/>
      <c r="F593" s="48"/>
      <c r="G593" s="47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7"/>
      <c r="D594" s="4"/>
      <c r="E594" s="4"/>
      <c r="F594" s="48"/>
      <c r="G594" s="47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7"/>
      <c r="D595" s="4"/>
      <c r="E595" s="4"/>
      <c r="F595" s="48"/>
      <c r="G595" s="47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7"/>
      <c r="D596" s="4"/>
      <c r="E596" s="4"/>
      <c r="F596" s="48"/>
      <c r="G596" s="47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7"/>
      <c r="D597" s="4"/>
      <c r="E597" s="4"/>
      <c r="F597" s="48"/>
      <c r="G597" s="47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7"/>
      <c r="D598" s="4"/>
      <c r="E598" s="4"/>
      <c r="F598" s="48"/>
      <c r="G598" s="47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7"/>
      <c r="D599" s="4"/>
      <c r="E599" s="4"/>
      <c r="F599" s="48"/>
      <c r="G599" s="47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7"/>
      <c r="D600" s="4"/>
      <c r="E600" s="4"/>
      <c r="F600" s="48"/>
      <c r="G600" s="47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7"/>
      <c r="D601" s="4"/>
      <c r="E601" s="4"/>
      <c r="F601" s="48"/>
      <c r="G601" s="47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7"/>
      <c r="D602" s="4"/>
      <c r="E602" s="4"/>
      <c r="F602" s="48"/>
      <c r="G602" s="47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7"/>
      <c r="D603" s="4"/>
      <c r="E603" s="4"/>
      <c r="F603" s="48"/>
      <c r="G603" s="47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7"/>
      <c r="D604" s="4"/>
      <c r="E604" s="4"/>
      <c r="F604" s="48"/>
      <c r="G604" s="47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7"/>
      <c r="D605" s="4"/>
      <c r="E605" s="4"/>
      <c r="F605" s="48"/>
      <c r="G605" s="47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7"/>
      <c r="D606" s="4"/>
      <c r="E606" s="4"/>
      <c r="F606" s="48"/>
      <c r="G606" s="47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7"/>
      <c r="D607" s="4"/>
      <c r="E607" s="4"/>
      <c r="F607" s="48"/>
      <c r="G607" s="47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7"/>
      <c r="D608" s="4"/>
      <c r="E608" s="4"/>
      <c r="F608" s="48"/>
      <c r="G608" s="47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7"/>
      <c r="D609" s="4"/>
      <c r="E609" s="4"/>
      <c r="F609" s="48"/>
      <c r="G609" s="47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7"/>
      <c r="D610" s="4"/>
      <c r="E610" s="4"/>
      <c r="F610" s="48"/>
      <c r="G610" s="47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7"/>
      <c r="D611" s="4"/>
      <c r="E611" s="4"/>
      <c r="F611" s="48"/>
      <c r="G611" s="47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7"/>
      <c r="D612" s="4"/>
      <c r="E612" s="4"/>
      <c r="F612" s="48"/>
      <c r="G612" s="47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7"/>
      <c r="D613" s="4"/>
      <c r="E613" s="4"/>
      <c r="F613" s="48"/>
      <c r="G613" s="47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7"/>
      <c r="D614" s="4"/>
      <c r="E614" s="4"/>
      <c r="F614" s="48"/>
      <c r="G614" s="47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7"/>
      <c r="D615" s="4"/>
      <c r="E615" s="4"/>
      <c r="F615" s="48"/>
      <c r="G615" s="47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7"/>
      <c r="D616" s="4"/>
      <c r="E616" s="4"/>
      <c r="F616" s="48"/>
      <c r="G616" s="47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7"/>
      <c r="D617" s="4"/>
      <c r="E617" s="4"/>
      <c r="F617" s="48"/>
      <c r="G617" s="47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7"/>
      <c r="D618" s="4"/>
      <c r="E618" s="4"/>
      <c r="F618" s="48"/>
      <c r="G618" s="47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7"/>
      <c r="D619" s="4"/>
      <c r="E619" s="4"/>
      <c r="F619" s="48"/>
      <c r="G619" s="47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7"/>
      <c r="D620" s="4"/>
      <c r="E620" s="4"/>
      <c r="F620" s="48"/>
      <c r="G620" s="47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7"/>
      <c r="D621" s="4"/>
      <c r="E621" s="4"/>
      <c r="F621" s="48"/>
      <c r="G621" s="47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7"/>
      <c r="D622" s="4"/>
      <c r="E622" s="4"/>
      <c r="F622" s="48"/>
      <c r="G622" s="47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7"/>
      <c r="D623" s="4"/>
      <c r="E623" s="4"/>
      <c r="F623" s="48"/>
      <c r="G623" s="47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7"/>
      <c r="D624" s="4"/>
      <c r="E624" s="4"/>
      <c r="F624" s="48"/>
      <c r="G624" s="47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7"/>
      <c r="D625" s="4"/>
      <c r="E625" s="4"/>
      <c r="F625" s="48"/>
      <c r="G625" s="47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7"/>
      <c r="D626" s="4"/>
      <c r="E626" s="4"/>
      <c r="F626" s="48"/>
      <c r="G626" s="47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7"/>
      <c r="D627" s="4"/>
      <c r="E627" s="4"/>
      <c r="F627" s="48"/>
      <c r="G627" s="47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7"/>
      <c r="D628" s="4"/>
      <c r="E628" s="4"/>
      <c r="F628" s="48"/>
      <c r="G628" s="47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7"/>
      <c r="D629" s="4"/>
      <c r="E629" s="4"/>
      <c r="F629" s="48"/>
      <c r="G629" s="47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7"/>
      <c r="D630" s="4"/>
      <c r="E630" s="4"/>
      <c r="F630" s="48"/>
      <c r="G630" s="47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7"/>
      <c r="D631" s="4"/>
      <c r="E631" s="4"/>
      <c r="F631" s="48"/>
      <c r="G631" s="47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7"/>
      <c r="D632" s="4"/>
      <c r="E632" s="4"/>
      <c r="F632" s="48"/>
      <c r="G632" s="47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7"/>
      <c r="D633" s="4"/>
      <c r="E633" s="4"/>
      <c r="F633" s="48"/>
      <c r="G633" s="47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7"/>
      <c r="D634" s="4"/>
      <c r="E634" s="4"/>
      <c r="F634" s="48"/>
      <c r="G634" s="47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7"/>
      <c r="D635" s="4"/>
      <c r="E635" s="4"/>
      <c r="F635" s="48"/>
      <c r="G635" s="47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7"/>
      <c r="D636" s="4"/>
      <c r="E636" s="4"/>
      <c r="F636" s="48"/>
      <c r="G636" s="47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7"/>
      <c r="D637" s="4"/>
      <c r="E637" s="4"/>
      <c r="F637" s="48"/>
      <c r="G637" s="47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7"/>
      <c r="D638" s="4"/>
      <c r="E638" s="4"/>
      <c r="F638" s="48"/>
      <c r="G638" s="47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7"/>
      <c r="D639" s="4"/>
      <c r="E639" s="4"/>
      <c r="F639" s="48"/>
      <c r="G639" s="47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7"/>
      <c r="D640" s="4"/>
      <c r="E640" s="4"/>
      <c r="F640" s="48"/>
      <c r="G640" s="47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7"/>
      <c r="D641" s="4"/>
      <c r="E641" s="4"/>
      <c r="F641" s="48"/>
      <c r="G641" s="47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7"/>
      <c r="D642" s="4"/>
      <c r="E642" s="4"/>
      <c r="F642" s="48"/>
      <c r="G642" s="47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7"/>
      <c r="D643" s="4"/>
      <c r="E643" s="4"/>
      <c r="F643" s="48"/>
      <c r="G643" s="47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7"/>
      <c r="D644" s="4"/>
      <c r="E644" s="4"/>
      <c r="F644" s="48"/>
      <c r="G644" s="47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7"/>
      <c r="D645" s="4"/>
      <c r="E645" s="4"/>
      <c r="F645" s="48"/>
      <c r="G645" s="47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7"/>
      <c r="D646" s="4"/>
      <c r="E646" s="4"/>
      <c r="F646" s="48"/>
      <c r="G646" s="47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8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8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8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8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8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8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8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dataValidations>
    <dataValidation type="list" allowBlank="1" showDropDown="1" showErrorMessage="1" sqref="E2:E365 E390:E445 E453">
      <formula1>"Informática,Fisioterapia,Natação,Funcional,Hidroginastica,Karatè,Capoeira,Dança,Bomveiro mirim"</formula1>
    </dataValidation>
    <dataValidation type="custom" allowBlank="1" showDropDown="1" showErrorMessage="1" sqref="B2:B446 B453:B457">
      <formula1>OR(NOT(ISERROR(DATEVALUE(B2))), AND(ISNUMBER(B2), LEFT(CELL("format", B2))="D"))</formula1>
    </dataValidation>
    <dataValidation type="list" allowBlank="1" showDropDown="1" showErrorMessage="1" sqref="E446">
      <formula1>"Informática,Fisioterapia,Natação,Funcional,Hidroginastica,Karatè,Capoeira,Dança,Bombeiro mirim"</formula1>
    </dataValidation>
    <dataValidation type="list" allowBlank="1" showDropDown="1" showErrorMessage="1" sqref="E380:E386">
      <formula1>"Informática,Fisioterapia,Natação,Funcional,Hidroginastica,Karatê,Capoeira,Dança,Bombeiro mirim"</formula1>
    </dataValidation>
    <dataValidation type="list" allowBlank="1" showDropDown="1" showErrorMessage="1" sqref="E366:E376 E378:E379 E387:E389">
      <formula1>"Informática,Fisioterapia,Natação,Funcional,Hidroginastica,Karatê,Capoeira,Dança,Bomveiro mirim"</formula1>
    </dataValidation>
  </dataValidations>
  <printOptions/>
  <pageMargins bottom="1.0" footer="0.0" header="0.0" left="0.75" right="0.75" top="1.0"/>
  <pageSetup orientation="landscape"/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43.0"/>
    <col customWidth="1" min="2" max="2" width="31.86"/>
    <col customWidth="1" min="3" max="3" width="16.57"/>
    <col customWidth="1" min="4" max="4" width="43.0"/>
    <col customWidth="1" min="5" max="5" width="13.43"/>
    <col customWidth="1" min="6" max="13" width="8.71"/>
  </cols>
  <sheetData>
    <row r="1">
      <c r="A1" s="49" t="s">
        <v>1067</v>
      </c>
      <c r="B1" s="49" t="s">
        <v>1068</v>
      </c>
      <c r="C1" s="4"/>
      <c r="D1" s="4"/>
      <c r="E1" s="4"/>
      <c r="F1" s="4"/>
      <c r="G1" s="4"/>
      <c r="H1" s="4"/>
      <c r="I1" s="4"/>
      <c r="J1" s="4"/>
      <c r="K1" s="4"/>
      <c r="L1" s="4"/>
      <c r="M1" s="49" t="s">
        <v>1069</v>
      </c>
      <c r="N1" s="4"/>
      <c r="O1" s="4"/>
      <c r="P1" s="4"/>
      <c r="Q1" s="4"/>
      <c r="R1" s="4"/>
      <c r="S1" s="4"/>
      <c r="T1" s="4"/>
      <c r="U1" s="4"/>
      <c r="V1" s="4"/>
      <c r="W1" s="4"/>
    </row>
    <row r="2">
      <c r="A2" s="49" t="s">
        <v>0</v>
      </c>
      <c r="B2" s="49" t="s">
        <v>1</v>
      </c>
      <c r="C2" s="49" t="s">
        <v>2</v>
      </c>
      <c r="D2" s="49" t="s">
        <v>3</v>
      </c>
      <c r="E2" s="49" t="s">
        <v>4</v>
      </c>
      <c r="F2" s="4"/>
      <c r="G2" s="4"/>
      <c r="H2" s="4"/>
      <c r="I2" s="4"/>
      <c r="J2" s="4"/>
      <c r="K2" s="4"/>
      <c r="L2" s="4"/>
      <c r="M2" s="49" t="s">
        <v>1070</v>
      </c>
      <c r="N2" s="4"/>
      <c r="O2" s="4"/>
      <c r="P2" s="4"/>
      <c r="Q2" s="4"/>
      <c r="R2" s="4"/>
      <c r="S2" s="4"/>
      <c r="T2" s="4"/>
      <c r="U2" s="4"/>
      <c r="V2" s="4"/>
      <c r="W2" s="4"/>
    </row>
    <row r="3">
      <c r="A3" s="50" t="str">
        <f>IFERROR(__xludf.DUMMYFUNCTION("FILTER(
  Cadastro!A:E,
  MONTH(Cadastro!B:B) = MATCH(
    B1,
    {""Janeiro"";""Fevereiro"";""Março"";""Abril"";""Maio"";""Junho"";""Julho"";""Agosto"";""Setembro"";""Outubro"";""Novembro"";""Dezembro""},
    0
  )
)
"),"KALLEBE FERREIRA NASCIMENTO     ")</f>
        <v>KALLEBE FERREIRA NASCIMENTO     </v>
      </c>
      <c r="B3" s="51">
        <f>IFERROR(__xludf.DUMMYFUNCTION("""COMPUTED_VALUE"""),42808.0)</f>
        <v>42808</v>
      </c>
      <c r="C3" s="52" t="str">
        <f>IFERROR(__xludf.DUMMYFUNCTION("""COMPUTED_VALUE"""),"62 995115026")</f>
        <v>62 995115026</v>
      </c>
      <c r="D3" s="53" t="str">
        <f>IFERROR(__xludf.DUMMYFUNCTION("""COMPUTED_VALUE"""),"rua girassol qd 33 lt 25 st. palmares")</f>
        <v>rua girassol qd 33 lt 25 st. palmares</v>
      </c>
      <c r="E3" s="54" t="str">
        <f>IFERROR(__xludf.DUMMYFUNCTION("""COMPUTED_VALUE"""),"Informática")</f>
        <v>Informática</v>
      </c>
      <c r="F3" s="55"/>
      <c r="G3" s="55"/>
      <c r="H3" s="55"/>
      <c r="I3" s="55"/>
      <c r="J3" s="55"/>
      <c r="K3" s="55"/>
      <c r="L3" s="55"/>
      <c r="M3" s="56" t="s">
        <v>1071</v>
      </c>
      <c r="N3" s="55"/>
      <c r="O3" s="55"/>
      <c r="P3" s="55"/>
      <c r="Q3" s="55"/>
      <c r="R3" s="55"/>
      <c r="S3" s="55"/>
      <c r="T3" s="55"/>
      <c r="U3" s="55"/>
      <c r="V3" s="55"/>
      <c r="W3" s="55"/>
      <c r="X3" s="56"/>
      <c r="Y3" s="56"/>
      <c r="Z3" s="56"/>
    </row>
    <row r="4">
      <c r="A4" s="23" t="str">
        <f>IFERROR(__xludf.DUMMYFUNCTION("""COMPUTED_VALUE"""),"HESTEFANY VITÓRIA DE OLIVEIRA VIEIRA ")</f>
        <v>HESTEFANY VITÓRIA DE OLIVEIRA VIEIRA </v>
      </c>
      <c r="B4" s="57">
        <f>IFERROR(__xludf.DUMMYFUNCTION("""COMPUTED_VALUE"""),40971.0)</f>
        <v>40971</v>
      </c>
      <c r="C4" s="30" t="str">
        <f>IFERROR(__xludf.DUMMYFUNCTION("""COMPUTED_VALUE"""),"62 995420681")</f>
        <v>62 995420681</v>
      </c>
      <c r="D4" s="25"/>
      <c r="E4" s="58" t="str">
        <f>IFERROR(__xludf.DUMMYFUNCTION("""COMPUTED_VALUE"""),"Informática")</f>
        <v>Informática</v>
      </c>
      <c r="F4" s="49"/>
      <c r="G4" s="4"/>
      <c r="H4" s="4"/>
      <c r="I4" s="4"/>
      <c r="J4" s="4"/>
      <c r="K4" s="4"/>
      <c r="L4" s="4"/>
      <c r="M4" s="49" t="s">
        <v>1072</v>
      </c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16" t="str">
        <f>IFERROR(__xludf.DUMMYFUNCTION("""COMPUTED_VALUE"""),"JOSÉ PAULO FEITOSA GUABIRABA")</f>
        <v>JOSÉ PAULO FEITOSA GUABIRABA</v>
      </c>
      <c r="B5" s="59">
        <f>IFERROR(__xludf.DUMMYFUNCTION("""COMPUTED_VALUE"""),42069.0)</f>
        <v>42069</v>
      </c>
      <c r="C5" s="18" t="str">
        <f>IFERROR(__xludf.DUMMYFUNCTION("""COMPUTED_VALUE"""),"62995604467")</f>
        <v>62995604467</v>
      </c>
      <c r="D5" s="19"/>
      <c r="E5" s="60" t="str">
        <f>IFERROR(__xludf.DUMMYFUNCTION("""COMPUTED_VALUE"""),"Informática")</f>
        <v>Informática</v>
      </c>
      <c r="F5" s="49"/>
      <c r="G5" s="4"/>
      <c r="H5" s="4"/>
      <c r="I5" s="4"/>
      <c r="J5" s="4"/>
      <c r="K5" s="4"/>
      <c r="L5" s="4"/>
      <c r="M5" s="49" t="s">
        <v>1073</v>
      </c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23" t="str">
        <f>IFERROR(__xludf.DUMMYFUNCTION("""COMPUTED_VALUE"""),"MARIA FERNANDA CARDOSO PEREIRA")</f>
        <v>MARIA FERNANDA CARDOSO PEREIRA</v>
      </c>
      <c r="B6" s="57">
        <f>IFERROR(__xludf.DUMMYFUNCTION("""COMPUTED_VALUE"""),39517.0)</f>
        <v>39517</v>
      </c>
      <c r="C6" s="30" t="str">
        <f>IFERROR(__xludf.DUMMYFUNCTION("""COMPUTED_VALUE"""),"62992719438")</f>
        <v>62992719438</v>
      </c>
      <c r="D6" s="25" t="str">
        <f>IFERROR(__xludf.DUMMYFUNCTION("""COMPUTED_VALUE"""),"RUA SB 64 QD 93 LT 18 SÃO BERNARDO 2")</f>
        <v>RUA SB 64 QD 93 LT 18 SÃO BERNARDO 2</v>
      </c>
      <c r="E6" s="58" t="str">
        <f>IFERROR(__xludf.DUMMYFUNCTION("""COMPUTED_VALUE"""),"Informática")</f>
        <v>Informática</v>
      </c>
      <c r="F6" s="49"/>
      <c r="G6" s="4"/>
      <c r="H6" s="4"/>
      <c r="I6" s="4"/>
      <c r="J6" s="4"/>
      <c r="K6" s="4"/>
      <c r="L6" s="4"/>
      <c r="M6" s="49" t="s">
        <v>1074</v>
      </c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16" t="str">
        <f>IFERROR(__xludf.DUMMYFUNCTION("""COMPUTED_VALUE"""),"ADALBERTO GUILHERME NUNES BANDEIRA ")</f>
        <v>ADALBERTO GUILHERME NUNES BANDEIRA </v>
      </c>
      <c r="B7" s="59">
        <f>IFERROR(__xludf.DUMMYFUNCTION("""COMPUTED_VALUE"""),41338.0)</f>
        <v>41338</v>
      </c>
      <c r="C7" s="18" t="str">
        <f>IFERROR(__xludf.DUMMYFUNCTION("""COMPUTED_VALUE"""),"62992878539")</f>
        <v>62992878539</v>
      </c>
      <c r="D7" s="19" t="str">
        <f>IFERROR(__xludf.DUMMYFUNCTION("""COMPUTED_VALUE"""),"RUA JUCELANDIO QD 127 LT 20 MAYSA 2")</f>
        <v>RUA JUCELANDIO QD 127 LT 20 MAYSA 2</v>
      </c>
      <c r="E7" s="60" t="str">
        <f>IFERROR(__xludf.DUMMYFUNCTION("""COMPUTED_VALUE"""),"Informática")</f>
        <v>Informática</v>
      </c>
      <c r="F7" s="49"/>
      <c r="G7" s="4"/>
      <c r="H7" s="4"/>
      <c r="I7" s="4"/>
      <c r="J7" s="4"/>
      <c r="K7" s="4"/>
      <c r="L7" s="4"/>
      <c r="M7" s="49" t="s">
        <v>1075</v>
      </c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23" t="str">
        <f>IFERROR(__xludf.DUMMYFUNCTION("""COMPUTED_VALUE"""),"SANDY APARECIDA MARTINS ")</f>
        <v>SANDY APARECIDA MARTINS </v>
      </c>
      <c r="B8" s="57">
        <f>IFERROR(__xludf.DUMMYFUNCTION("""COMPUTED_VALUE"""),36966.0)</f>
        <v>36966</v>
      </c>
      <c r="C8" s="30" t="str">
        <f>IFERROR(__xludf.DUMMYFUNCTION("""COMPUTED_VALUE"""),"62994559185")</f>
        <v>62994559185</v>
      </c>
      <c r="D8" s="25" t="str">
        <f>IFERROR(__xludf.DUMMYFUNCTION("""COMPUTED_VALUE"""),"RUA ALAMEDA DAS ACÁCIAS PALMARES ")</f>
        <v>RUA ALAMEDA DAS ACÁCIAS PALMARES </v>
      </c>
      <c r="E8" s="58" t="str">
        <f>IFERROR(__xludf.DUMMYFUNCTION("""COMPUTED_VALUE"""),"Informática")</f>
        <v>Informática</v>
      </c>
      <c r="F8" s="49"/>
      <c r="G8" s="4"/>
      <c r="H8" s="4"/>
      <c r="I8" s="4"/>
      <c r="J8" s="4"/>
      <c r="K8" s="4"/>
      <c r="L8" s="4"/>
      <c r="M8" s="49" t="s">
        <v>1076</v>
      </c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16" t="str">
        <f>IFERROR(__xludf.DUMMYFUNCTION("""COMPUTED_VALUE"""),"MIRELA LIMA SOUSA")</f>
        <v>MIRELA LIMA SOUSA</v>
      </c>
      <c r="B9" s="59">
        <f>IFERROR(__xludf.DUMMYFUNCTION("""COMPUTED_VALUE"""),40988.0)</f>
        <v>40988</v>
      </c>
      <c r="C9" s="18" t="str">
        <f>IFERROR(__xludf.DUMMYFUNCTION("""COMPUTED_VALUE"""),"62995440053")</f>
        <v>62995440053</v>
      </c>
      <c r="D9" s="19" t="str">
        <f>IFERROR(__xludf.DUMMYFUNCTION("""COMPUTED_VALUE"""),"RUA SB 48QD 67 LT 28")</f>
        <v>RUA SB 48QD 67 LT 28</v>
      </c>
      <c r="E9" s="60" t="str">
        <f>IFERROR(__xludf.DUMMYFUNCTION("""COMPUTED_VALUE"""),"Informática")</f>
        <v>Informática</v>
      </c>
      <c r="F9" s="49"/>
      <c r="G9" s="4"/>
      <c r="H9" s="4"/>
      <c r="I9" s="4"/>
      <c r="J9" s="4"/>
      <c r="K9" s="4"/>
      <c r="L9" s="4"/>
      <c r="M9" s="49" t="s">
        <v>1077</v>
      </c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23"/>
      <c r="B10" s="57">
        <f>IFERROR(__xludf.DUMMYFUNCTION("""COMPUTED_VALUE"""),23090.0)</f>
        <v>23090</v>
      </c>
      <c r="C10" s="30" t="str">
        <f>IFERROR(__xludf.DUMMYFUNCTION("""COMPUTED_VALUE"""),"62 993113582")</f>
        <v>62 993113582</v>
      </c>
      <c r="D10" s="25" t="str">
        <f>IFERROR(__xludf.DUMMYFUNCTION("""COMPUTED_VALUE"""),"RUA: SB61, QD 94 LT 14, SÃO BERNARDO 2")</f>
        <v>RUA: SB61, QD 94 LT 14, SÃO BERNARDO 2</v>
      </c>
      <c r="E10" s="58" t="str">
        <f>IFERROR(__xludf.DUMMYFUNCTION("""COMPUTED_VALUE"""),"Fisioterapia")</f>
        <v>Fisioterapia</v>
      </c>
      <c r="F10" s="49"/>
      <c r="G10" s="4"/>
      <c r="H10" s="4"/>
      <c r="I10" s="4"/>
      <c r="J10" s="4"/>
      <c r="K10" s="4"/>
      <c r="L10" s="4"/>
      <c r="M10" s="49" t="s">
        <v>1078</v>
      </c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16" t="str">
        <f>IFERROR(__xludf.DUMMYFUNCTION("""COMPUTED_VALUE"""),"DEILA AIRES DA SILVA")</f>
        <v>DEILA AIRES DA SILVA</v>
      </c>
      <c r="B11" s="59">
        <f>IFERROR(__xludf.DUMMYFUNCTION("""COMPUTED_VALUE"""),27850.0)</f>
        <v>27850</v>
      </c>
      <c r="C11" s="18" t="str">
        <f>IFERROR(__xludf.DUMMYFUNCTION("""COMPUTED_VALUE"""),"62 994050589")</f>
        <v>62 994050589</v>
      </c>
      <c r="D11" s="19"/>
      <c r="E11" s="60" t="str">
        <f>IFERROR(__xludf.DUMMYFUNCTION("""COMPUTED_VALUE"""),"Fisioterapia")</f>
        <v>Fisioterapia</v>
      </c>
      <c r="F11" s="49"/>
      <c r="G11" s="4"/>
      <c r="H11" s="4"/>
      <c r="I11" s="4"/>
      <c r="J11" s="4"/>
      <c r="K11" s="4"/>
      <c r="L11" s="4"/>
      <c r="M11" s="49" t="s">
        <v>1079</v>
      </c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23" t="str">
        <f>IFERROR(__xludf.DUMMYFUNCTION("""COMPUTED_VALUE"""),"JOÃO LUCCAS RODRIGUES VAZ DE OLIVEIRA")</f>
        <v>JOÃO LUCCAS RODRIGUES VAZ DE OLIVEIRA</v>
      </c>
      <c r="B12" s="57">
        <f>IFERROR(__xludf.DUMMYFUNCTION("""COMPUTED_VALUE"""),45381.0)</f>
        <v>45381</v>
      </c>
      <c r="C12" s="25" t="str">
        <f>IFERROR(__xludf.DUMMYFUNCTION("""COMPUTED_VALUE"""),"62 993293730")</f>
        <v>62 993293730</v>
      </c>
      <c r="D12" s="25" t="str">
        <f>IFERROR(__xludf.DUMMYFUNCTION("""COMPUTED_VALUE"""),"RUA: GIRASSOL QD 40 LT 20, PALMARES")</f>
        <v>RUA: GIRASSOL QD 40 LT 20, PALMARES</v>
      </c>
      <c r="E12" s="58" t="str">
        <f>IFERROR(__xludf.DUMMYFUNCTION("""COMPUTED_VALUE"""),"Fisioterapia")</f>
        <v>Fisioterapia</v>
      </c>
      <c r="F12" s="49"/>
      <c r="G12" s="4"/>
      <c r="H12" s="4"/>
      <c r="I12" s="4"/>
      <c r="J12" s="4"/>
      <c r="K12" s="4"/>
      <c r="L12" s="4"/>
      <c r="M12" s="49" t="s">
        <v>1080</v>
      </c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16" t="str">
        <f>IFERROR(__xludf.DUMMYFUNCTION("""COMPUTED_VALUE"""),"TIPHANNY AURORA COSTA PEREIRA ")</f>
        <v>TIPHANNY AURORA COSTA PEREIRA </v>
      </c>
      <c r="B13" s="59">
        <f>IFERROR(__xludf.DUMMYFUNCTION("""COMPUTED_VALUE"""),7747.0)</f>
        <v>7747</v>
      </c>
      <c r="C13" s="19" t="str">
        <f>IFERROR(__xludf.DUMMYFUNCTION("""COMPUTED_VALUE"""),"62 992049532")</f>
        <v>62 992049532</v>
      </c>
      <c r="D13" s="19" t="str">
        <f>IFERROR(__xludf.DUMMYFUNCTION("""COMPUTED_VALUE"""),"RUA; SB18 QD 29 LT 24, SÃO BERNARDO")</f>
        <v>RUA; SB18 QD 29 LT 24, SÃO BERNARDO</v>
      </c>
      <c r="E13" s="60" t="str">
        <f>IFERROR(__xludf.DUMMYFUNCTION("""COMPUTED_VALUE"""),"Fisioterapia")</f>
        <v>Fisioterapia</v>
      </c>
      <c r="F13" s="4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23" t="str">
        <f>IFERROR(__xludf.DUMMYFUNCTION("""COMPUTED_VALUE"""),"MARIA JOSE FERREIRA DOS SANTOS ")</f>
        <v>MARIA JOSE FERREIRA DOS SANTOS </v>
      </c>
      <c r="B14" s="57">
        <f>IFERROR(__xludf.DUMMYFUNCTION("""COMPUTED_VALUE"""),23090.0)</f>
        <v>23090</v>
      </c>
      <c r="C14" s="30" t="str">
        <f>IFERROR(__xludf.DUMMYFUNCTION("""COMPUTED_VALUE"""),"62993113582")</f>
        <v>62993113582</v>
      </c>
      <c r="D14" s="25" t="str">
        <f>IFERROR(__xludf.DUMMYFUNCTION("""COMPUTED_VALUE"""),"RUA SB 61 QD 94 LT 14 SÃO BERNARDO 2")</f>
        <v>RUA SB 61 QD 94 LT 14 SÃO BERNARDO 2</v>
      </c>
      <c r="E14" s="58" t="str">
        <f>IFERROR(__xludf.DUMMYFUNCTION("""COMPUTED_VALUE"""),"Fisioterapia")</f>
        <v>Fisioterapia</v>
      </c>
      <c r="F14" s="4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16" t="str">
        <f>IFERROR(__xludf.DUMMYFUNCTION("""COMPUTED_VALUE"""),"HADASSAH DO OLIVEIRA SILVA")</f>
        <v>HADASSAH DO OLIVEIRA SILVA</v>
      </c>
      <c r="B15" s="59">
        <f>IFERROR(__xludf.DUMMYFUNCTION("""COMPUTED_VALUE"""),42815.0)</f>
        <v>42815</v>
      </c>
      <c r="C15" s="18" t="str">
        <f>IFERROR(__xludf.DUMMYFUNCTION("""COMPUTED_VALUE"""),"62995643615")</f>
        <v>62995643615</v>
      </c>
      <c r="D15" s="19" t="str">
        <f>IFERROR(__xludf.DUMMYFUNCTION("""COMPUTED_VALUE"""),"RUA SB 54 QD 90 LT 37 SÃO BERNARDO 2")</f>
        <v>RUA SB 54 QD 90 LT 37 SÃO BERNARDO 2</v>
      </c>
      <c r="E15" s="60" t="str">
        <f>IFERROR(__xludf.DUMMYFUNCTION("""COMPUTED_VALUE"""),"Natação")</f>
        <v>Natação</v>
      </c>
      <c r="F15" s="49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23" t="str">
        <f>IFERROR(__xludf.DUMMYFUNCTION("""COMPUTED_VALUE"""),"GUILHERME OLIVEIRA DOS SANTOS")</f>
        <v>GUILHERME OLIVEIRA DOS SANTOS</v>
      </c>
      <c r="B16" s="57">
        <f>IFERROR(__xludf.DUMMYFUNCTION("""COMPUTED_VALUE"""),43891.0)</f>
        <v>43891</v>
      </c>
      <c r="C16" s="30" t="str">
        <f>IFERROR(__xludf.DUMMYFUNCTION("""COMPUTED_VALUE"""),"62 993718885")</f>
        <v>62 993718885</v>
      </c>
      <c r="D16" s="25" t="str">
        <f>IFERROR(__xludf.DUMMYFUNCTION("""COMPUTED_VALUE"""),"RUA SB55 QD 104 LT 10, SÃO BERNARDO")</f>
        <v>RUA SB55 QD 104 LT 10, SÃO BERNARDO</v>
      </c>
      <c r="E16" s="58" t="str">
        <f>IFERROR(__xludf.DUMMYFUNCTION("""COMPUTED_VALUE"""),"Natação")</f>
        <v>Natação</v>
      </c>
      <c r="F16" s="4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16" t="str">
        <f>IFERROR(__xludf.DUMMYFUNCTION("""COMPUTED_VALUE"""),"PEDRO HENRIQUE CRISTINO DE OLIVEIRA")</f>
        <v>PEDRO HENRIQUE CRISTINO DE OLIVEIRA</v>
      </c>
      <c r="B17" s="59">
        <f>IFERROR(__xludf.DUMMYFUNCTION("""COMPUTED_VALUE"""),42810.0)</f>
        <v>42810</v>
      </c>
      <c r="C17" s="19" t="str">
        <f>IFERROR(__xludf.DUMMYFUNCTION("""COMPUTED_VALUE"""),"62 992001683")</f>
        <v>62 992001683</v>
      </c>
      <c r="D17" s="19" t="str">
        <f>IFERROR(__xludf.DUMMYFUNCTION("""COMPUTED_VALUE"""),"RUA PAPOULA QD 65 LT 10, PALMARES")</f>
        <v>RUA PAPOULA QD 65 LT 10, PALMARES</v>
      </c>
      <c r="E17" s="60" t="str">
        <f>IFERROR(__xludf.DUMMYFUNCTION("""COMPUTED_VALUE"""),"Natação")</f>
        <v>Natação</v>
      </c>
      <c r="F17" s="4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23" t="str">
        <f>IFERROR(__xludf.DUMMYFUNCTION("""COMPUTED_VALUE"""),"TIPHANNY AURORA COSTA PEREIRA")</f>
        <v>TIPHANNY AURORA COSTA PEREIRA</v>
      </c>
      <c r="B18" s="57">
        <f>IFERROR(__xludf.DUMMYFUNCTION("""COMPUTED_VALUE"""),44272.0)</f>
        <v>44272</v>
      </c>
      <c r="C18" s="25" t="str">
        <f>IFERROR(__xludf.DUMMYFUNCTION("""COMPUTED_VALUE"""),"62 992049532")</f>
        <v>62 992049532</v>
      </c>
      <c r="D18" s="25" t="str">
        <f>IFERROR(__xludf.DUMMYFUNCTION("""COMPUTED_VALUE"""),"RUA SB18 QD 29 LT 24, SÃO BERNARDO")</f>
        <v>RUA SB18 QD 29 LT 24, SÃO BERNARDO</v>
      </c>
      <c r="E18" s="58" t="str">
        <f>IFERROR(__xludf.DUMMYFUNCTION("""COMPUTED_VALUE"""),"Natação")</f>
        <v>Natação</v>
      </c>
      <c r="F18" s="4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16" t="str">
        <f>IFERROR(__xludf.DUMMYFUNCTION("""COMPUTED_VALUE"""),"EMILLY VITORIA RODRIGUES DE ARAUJO")</f>
        <v>EMILLY VITORIA RODRIGUES DE ARAUJO</v>
      </c>
      <c r="B19" s="59">
        <f>IFERROR(__xludf.DUMMYFUNCTION("""COMPUTED_VALUE"""),42068.0)</f>
        <v>42068</v>
      </c>
      <c r="C19" s="19" t="str">
        <f>IFERROR(__xludf.DUMMYFUNCTION("""COMPUTED_VALUE"""),"62 994805921")</f>
        <v>62 994805921</v>
      </c>
      <c r="D19" s="19" t="str">
        <f>IFERROR(__xludf.DUMMYFUNCTION("""COMPUTED_VALUE"""),"RUA SB53 QD 101 LT 28, SÃO BERNARDO")</f>
        <v>RUA SB53 QD 101 LT 28, SÃO BERNARDO</v>
      </c>
      <c r="E19" s="60" t="str">
        <f>IFERROR(__xludf.DUMMYFUNCTION("""COMPUTED_VALUE"""),"Natação")</f>
        <v>Natação</v>
      </c>
      <c r="F19" s="49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23" t="str">
        <f>IFERROR(__xludf.DUMMYFUNCTION("""COMPUTED_VALUE"""),"ISAAC NUNES CARVALHO MACHADO")</f>
        <v>ISAAC NUNES CARVALHO MACHADO</v>
      </c>
      <c r="B20" s="57">
        <f>IFERROR(__xludf.DUMMYFUNCTION("""COMPUTED_VALUE"""),43162.0)</f>
        <v>43162</v>
      </c>
      <c r="C20" s="30"/>
      <c r="D20" s="25" t="str">
        <f>IFERROR(__xludf.DUMMYFUNCTION("""COMPUTED_VALUE"""),"RUA SB56 QD 52 LT 13")</f>
        <v>RUA SB56 QD 52 LT 13</v>
      </c>
      <c r="E20" s="58" t="str">
        <f>IFERROR(__xludf.DUMMYFUNCTION("""COMPUTED_VALUE"""),"Natação")</f>
        <v>Natação</v>
      </c>
      <c r="F20" s="4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5.75" customHeight="1">
      <c r="A21" s="16" t="str">
        <f>IFERROR(__xludf.DUMMYFUNCTION("""COMPUTED_VALUE"""),"PEDRO MIGUEL DA SILVA NASCIMENTO")</f>
        <v>PEDRO MIGUEL DA SILVA NASCIMENTO</v>
      </c>
      <c r="B21" s="59">
        <f>IFERROR(__xludf.DUMMYFUNCTION("""COMPUTED_VALUE"""),44640.0)</f>
        <v>44640</v>
      </c>
      <c r="C21" s="19" t="str">
        <f>IFERROR(__xludf.DUMMYFUNCTION("""COMPUTED_VALUE"""),"62 994039344")</f>
        <v>62 994039344</v>
      </c>
      <c r="D21" s="19" t="str">
        <f>IFERROR(__xludf.DUMMYFUNCTION("""COMPUTED_VALUE"""),"RUA RSP 6 QD 30 LT 01 SOLAR DAS PAINEIRAS")</f>
        <v>RUA RSP 6 QD 30 LT 01 SOLAR DAS PAINEIRAS</v>
      </c>
      <c r="E21" s="60" t="str">
        <f>IFERROR(__xludf.DUMMYFUNCTION("""COMPUTED_VALUE"""),"Natação")</f>
        <v>Natação</v>
      </c>
      <c r="F21" s="4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5.75" customHeight="1">
      <c r="A22" s="23" t="str">
        <f>IFERROR(__xludf.DUMMYFUNCTION("""COMPUTED_VALUE"""),"MIKALLY OLIVEIRA ROCHA ")</f>
        <v>MIKALLY OLIVEIRA ROCHA </v>
      </c>
      <c r="B22" s="57">
        <f>IFERROR(__xludf.DUMMYFUNCTION("""COMPUTED_VALUE"""),37702.0)</f>
        <v>37702</v>
      </c>
      <c r="C22" s="30" t="str">
        <f>IFERROR(__xludf.DUMMYFUNCTION("""COMPUTED_VALUE"""),"62 9937760")</f>
        <v>62 9937760</v>
      </c>
      <c r="D22" s="25" t="str">
        <f>IFERROR(__xludf.DUMMYFUNCTION("""COMPUTED_VALUE"""),"RUA SB52QD 61 LT 04, SÃO BERNARDO")</f>
        <v>RUA SB52QD 61 LT 04, SÃO BERNARDO</v>
      </c>
      <c r="E22" s="58" t="str">
        <f>IFERROR(__xludf.DUMMYFUNCTION("""COMPUTED_VALUE"""),"Funcional")</f>
        <v>Funcional</v>
      </c>
      <c r="F22" s="4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5.75" customHeight="1">
      <c r="A23" s="16" t="str">
        <f>IFERROR(__xludf.DUMMYFUNCTION("""COMPUTED_VALUE"""),"LILIAN AVELINO SILVA SANTOS")</f>
        <v>LILIAN AVELINO SILVA SANTOS</v>
      </c>
      <c r="B23" s="59">
        <f>IFERROR(__xludf.DUMMYFUNCTION("""COMPUTED_VALUE"""),27119.0)</f>
        <v>27119</v>
      </c>
      <c r="C23" s="18" t="str">
        <f>IFERROR(__xludf.DUMMYFUNCTION("""COMPUTED_VALUE"""),"62 991089390")</f>
        <v>62 991089390</v>
      </c>
      <c r="D23" s="19" t="str">
        <f>IFERROR(__xludf.DUMMYFUNCTION("""COMPUTED_VALUE"""),"RUA CONTORNO QD 01 LT 04 PALMARES")</f>
        <v>RUA CONTORNO QD 01 LT 04 PALMARES</v>
      </c>
      <c r="E23" s="60" t="str">
        <f>IFERROR(__xludf.DUMMYFUNCTION("""COMPUTED_VALUE"""),"Funcional")</f>
        <v>Funcional</v>
      </c>
      <c r="F23" s="4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5.75" customHeight="1">
      <c r="A24" s="23" t="str">
        <f>IFERROR(__xludf.DUMMYFUNCTION("""COMPUTED_VALUE"""),"SANDRA ROBERTA DA COSTA")</f>
        <v>SANDRA ROBERTA DA COSTA</v>
      </c>
      <c r="B24" s="57">
        <f>IFERROR(__xludf.DUMMYFUNCTION("""COMPUTED_VALUE"""),29662.0)</f>
        <v>29662</v>
      </c>
      <c r="C24" s="30" t="str">
        <f>IFERROR(__xludf.DUMMYFUNCTION("""COMPUTED_VALUE"""),"62995725779")</f>
        <v>62995725779</v>
      </c>
      <c r="D24" s="25" t="str">
        <f>IFERROR(__xludf.DUMMYFUNCTION("""COMPUTED_VALUE"""),"RUA SB40 QD 63 LT 06, SÃO BERNARDO")</f>
        <v>RUA SB40 QD 63 LT 06, SÃO BERNARDO</v>
      </c>
      <c r="E24" s="58" t="str">
        <f>IFERROR(__xludf.DUMMYFUNCTION("""COMPUTED_VALUE"""),"Funcional")</f>
        <v>Funcional</v>
      </c>
      <c r="F24" s="4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5.75" customHeight="1">
      <c r="A25" s="16" t="str">
        <f>IFERROR(__xludf.DUMMYFUNCTION("""COMPUTED_VALUE"""),"MARIA DIVINA FERREIRA RAMOS")</f>
        <v>MARIA DIVINA FERREIRA RAMOS</v>
      </c>
      <c r="B25" s="59">
        <f>IFERROR(__xludf.DUMMYFUNCTION("""COMPUTED_VALUE"""),28943.0)</f>
        <v>28943</v>
      </c>
      <c r="C25" s="19" t="str">
        <f>IFERROR(__xludf.DUMMYFUNCTION("""COMPUTED_VALUE"""),"62 991700097")</f>
        <v>62 991700097</v>
      </c>
      <c r="D25" s="19" t="str">
        <f>IFERROR(__xludf.DUMMYFUNCTION("""COMPUTED_VALUE"""),"RUA SB49 QD 66 LT 03, SÃO BERNANRDO")</f>
        <v>RUA SB49 QD 66 LT 03, SÃO BERNANRDO</v>
      </c>
      <c r="E25" s="60" t="str">
        <f>IFERROR(__xludf.DUMMYFUNCTION("""COMPUTED_VALUE"""),"Funcional")</f>
        <v>Funcional</v>
      </c>
      <c r="F25" s="4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5.75" customHeight="1">
      <c r="A26" s="23" t="str">
        <f>IFERROR(__xludf.DUMMYFUNCTION("""COMPUTED_VALUE"""),"EMANUELI GONSALVES SABATH")</f>
        <v>EMANUELI GONSALVES SABATH</v>
      </c>
      <c r="B26" s="57">
        <f>IFERROR(__xludf.DUMMYFUNCTION("""COMPUTED_VALUE"""),40618.0)</f>
        <v>40618</v>
      </c>
      <c r="C26" s="30" t="str">
        <f>IFERROR(__xludf.DUMMYFUNCTION("""COMPUTED_VALUE"""),"62992329026")</f>
        <v>62992329026</v>
      </c>
      <c r="D26" s="25" t="str">
        <f>IFERROR(__xludf.DUMMYFUNCTION("""COMPUTED_VALUE"""),"Rua Papoula Qd. 09 Lt. 08 St. Palmares")</f>
        <v>Rua Papoula Qd. 09 Lt. 08 St. Palmares</v>
      </c>
      <c r="E26" s="58" t="str">
        <f>IFERROR(__xludf.DUMMYFUNCTION("""COMPUTED_VALUE"""),"Funcional")</f>
        <v>Funcional</v>
      </c>
      <c r="F26" s="4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5.75" customHeight="1">
      <c r="A27" s="16" t="str">
        <f>IFERROR(__xludf.DUMMYFUNCTION("""COMPUTED_VALUE"""),"JULIA PEREIRA SABATH")</f>
        <v>JULIA PEREIRA SABATH</v>
      </c>
      <c r="B27" s="59">
        <f>IFERROR(__xludf.DUMMYFUNCTION("""COMPUTED_VALUE"""),41337.0)</f>
        <v>41337</v>
      </c>
      <c r="C27" s="18" t="str">
        <f>IFERROR(__xludf.DUMMYFUNCTION("""COMPUTED_VALUE"""),"62992329026")</f>
        <v>62992329026</v>
      </c>
      <c r="D27" s="19" t="str">
        <f>IFERROR(__xludf.DUMMYFUNCTION("""COMPUTED_VALUE"""),"Rua Papoula Qd. 09 Lt. 08 St. Palmares")</f>
        <v>Rua Papoula Qd. 09 Lt. 08 St. Palmares</v>
      </c>
      <c r="E27" s="60" t="str">
        <f>IFERROR(__xludf.DUMMYFUNCTION("""COMPUTED_VALUE"""),"Funcional")</f>
        <v>Funcional</v>
      </c>
      <c r="F27" s="4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5.75" customHeight="1">
      <c r="A28" s="61" t="str">
        <f>IFERROR(__xludf.DUMMYFUNCTION("""COMPUTED_VALUE"""),"JACSON DA SILVA SANTOS")</f>
        <v>JACSON DA SILVA SANTOS</v>
      </c>
      <c r="B28" s="57">
        <f>IFERROR(__xludf.DUMMYFUNCTION("""COMPUTED_VALUE"""),32578.0)</f>
        <v>32578</v>
      </c>
      <c r="C28" s="62" t="str">
        <f>IFERROR(__xludf.DUMMYFUNCTION("""COMPUTED_VALUE"""),"62 992667256")</f>
        <v>62 992667256</v>
      </c>
      <c r="D28" s="61" t="str">
        <f>IFERROR(__xludf.DUMMYFUNCTION("""COMPUTED_VALUE"""),"AV ALAMEDA DAS DIVA")</f>
        <v>AV ALAMEDA DAS DIVA</v>
      </c>
      <c r="E28" s="61" t="str">
        <f>IFERROR(__xludf.DUMMYFUNCTION("""COMPUTED_VALUE"""),"Hidroginastica")</f>
        <v>Hidroginastica</v>
      </c>
      <c r="F28" s="4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5.75" customHeight="1">
      <c r="A29" s="61" t="str">
        <f>IFERROR(__xludf.DUMMYFUNCTION("""COMPUTED_VALUE"""),"LILIAN AVELINO SILVA")</f>
        <v>LILIAN AVELINO SILVA</v>
      </c>
      <c r="B29" s="59">
        <f>IFERROR(__xludf.DUMMYFUNCTION("""COMPUTED_VALUE"""),27119.0)</f>
        <v>27119</v>
      </c>
      <c r="C29" s="61" t="str">
        <f>IFERROR(__xludf.DUMMYFUNCTION("""COMPUTED_VALUE"""),"62 991089390")</f>
        <v>62 991089390</v>
      </c>
      <c r="D29" s="61" t="str">
        <f>IFERROR(__xludf.DUMMYFUNCTION("""COMPUTED_VALUE"""),"RUA CONTORNO QD.01 LT.04 ST. PALMARES")</f>
        <v>RUA CONTORNO QD.01 LT.04 ST. PALMARES</v>
      </c>
      <c r="E29" s="61" t="str">
        <f>IFERROR(__xludf.DUMMYFUNCTION("""COMPUTED_VALUE"""),"Hidroginastica")</f>
        <v>Hidroginastica</v>
      </c>
      <c r="F29" s="4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5.75" customHeight="1">
      <c r="A30" s="61" t="str">
        <f>IFERROR(__xludf.DUMMYFUNCTION("""COMPUTED_VALUE"""),"ARCANJA RODRIGUES DE SOUZA")</f>
        <v>ARCANJA RODRIGUES DE SOUZA</v>
      </c>
      <c r="B30" s="57">
        <f>IFERROR(__xludf.DUMMYFUNCTION("""COMPUTED_VALUE"""),21621.0)</f>
        <v>21621</v>
      </c>
      <c r="C30" s="61" t="str">
        <f>IFERROR(__xludf.DUMMYFUNCTION("""COMPUTED_VALUE"""),"62 991574280")</f>
        <v>62 991574280</v>
      </c>
      <c r="D30" s="61" t="str">
        <f>IFERROR(__xludf.DUMMYFUNCTION("""COMPUTED_VALUE"""),"AVENIDA LÍRIO QD.42 LT02 ST. PALMARES")</f>
        <v>AVENIDA LÍRIO QD.42 LT02 ST. PALMARES</v>
      </c>
      <c r="E30" s="61" t="str">
        <f>IFERROR(__xludf.DUMMYFUNCTION("""COMPUTED_VALUE"""),"Hidroginastica")</f>
        <v>Hidroginastica</v>
      </c>
      <c r="F30" s="4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5.75" customHeight="1">
      <c r="A31" s="61" t="str">
        <f>IFERROR(__xludf.DUMMYFUNCTION("""COMPUTED_VALUE"""),"JACSON DA SILVA SANTOS")</f>
        <v>JACSON DA SILVA SANTOS</v>
      </c>
      <c r="B31" s="59">
        <f>IFERROR(__xludf.DUMMYFUNCTION("""COMPUTED_VALUE"""),32578.0)</f>
        <v>32578</v>
      </c>
      <c r="C31" s="62" t="str">
        <f>IFERROR(__xludf.DUMMYFUNCTION("""COMPUTED_VALUE"""),"6299667256")</f>
        <v>6299667256</v>
      </c>
      <c r="D31" s="61" t="str">
        <f>IFERROR(__xludf.DUMMYFUNCTION("""COMPUTED_VALUE"""),"ALAMEDA DR DIVA SETOR PALMARES ")</f>
        <v>ALAMEDA DR DIVA SETOR PALMARES </v>
      </c>
      <c r="E31" s="61" t="str">
        <f>IFERROR(__xludf.DUMMYFUNCTION("""COMPUTED_VALUE"""),"Hidroginastica")</f>
        <v>Hidroginastica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5.75" customHeight="1">
      <c r="A32" s="61" t="str">
        <f>IFERROR(__xludf.DUMMYFUNCTION("""COMPUTED_VALUE"""),"MARIA DIVINA JESSICA RAMOS ")</f>
        <v>MARIA DIVINA JESSICA RAMOS </v>
      </c>
      <c r="B32" s="63">
        <f>IFERROR(__xludf.DUMMYFUNCTION("""COMPUTED_VALUE"""),28943.0)</f>
        <v>28943</v>
      </c>
      <c r="C32" s="62" t="str">
        <f>IFERROR(__xludf.DUMMYFUNCTION("""COMPUTED_VALUE"""),"62991700097")</f>
        <v>62991700097</v>
      </c>
      <c r="D32" s="61" t="str">
        <f>IFERROR(__xludf.DUMMYFUNCTION("""COMPUTED_VALUE"""),"RUA SB 49 QD 66 LT 03 SÃO BERNARDO ")</f>
        <v>RUA SB 49 QD 66 LT 03 SÃO BERNARDO </v>
      </c>
      <c r="E32" s="61" t="str">
        <f>IFERROR(__xludf.DUMMYFUNCTION("""COMPUTED_VALUE"""),"Hidroginastica")</f>
        <v>Hidroginastica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5.75" customHeight="1">
      <c r="A33" s="4" t="str">
        <f>IFERROR(__xludf.DUMMYFUNCTION("""COMPUTED_VALUE"""),"LAURA GABRIELLE RODRIGUES DOS SANTOS")</f>
        <v>LAURA GABRIELLE RODRIGUES DOS SANTOS</v>
      </c>
      <c r="B33" s="64">
        <f>IFERROR(__xludf.DUMMYFUNCTION("""COMPUTED_VALUE"""),44258.0)</f>
        <v>44258</v>
      </c>
      <c r="C33" s="65" t="str">
        <f>IFERROR(__xludf.DUMMYFUNCTION("""COMPUTED_VALUE"""),"62 993740089")</f>
        <v>62 993740089</v>
      </c>
      <c r="D33" s="4" t="str">
        <f>IFERROR(__xludf.DUMMYFUNCTION("""COMPUTED_VALUE"""),"RUA SB 19 QD 37 LT 32 S. BERNARDO I")</f>
        <v>RUA SB 19 QD 37 LT 32 S. BERNARDO I</v>
      </c>
      <c r="E33" s="4" t="str">
        <f>IFERROR(__xludf.DUMMYFUNCTION("""COMPUTED_VALUE"""),"Karatê")</f>
        <v>Karatê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5.75" customHeight="1">
      <c r="A34" s="4" t="str">
        <f>IFERROR(__xludf.DUMMYFUNCTION("""COMPUTED_VALUE"""),"MARIA CLARA FIDÊNCIO SILVA ANASTÁCIO")</f>
        <v>MARIA CLARA FIDÊNCIO SILVA ANASTÁCIO</v>
      </c>
      <c r="B34" s="64">
        <f>IFERROR(__xludf.DUMMYFUNCTION("""COMPUTED_VALUE"""),43160.0)</f>
        <v>43160</v>
      </c>
      <c r="C34" s="65" t="str">
        <f>IFERROR(__xludf.DUMMYFUNCTION("""COMPUTED_VALUE"""),"62 994658845")</f>
        <v>62 994658845</v>
      </c>
      <c r="D34" s="4" t="str">
        <f>IFERROR(__xludf.DUMMYFUNCTION("""COMPUTED_VALUE"""),"AVENIDA DAS PALMAS QD82 LT 07 S. BERN II")</f>
        <v>AVENIDA DAS PALMAS QD82 LT 07 S. BERN II</v>
      </c>
      <c r="E34" s="4" t="str">
        <f>IFERROR(__xludf.DUMMYFUNCTION("""COMPUTED_VALUE"""),"Karatê")</f>
        <v>Karatê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5.75" customHeight="1">
      <c r="A35" s="4" t="str">
        <f>IFERROR(__xludf.DUMMYFUNCTION("""COMPUTED_VALUE"""),"JOÃO LUCAS PEREIRA ")</f>
        <v>JOÃO LUCAS PEREIRA </v>
      </c>
      <c r="B35" s="64">
        <f>IFERROR(__xludf.DUMMYFUNCTION("""COMPUTED_VALUE"""),42446.0)</f>
        <v>42446</v>
      </c>
      <c r="C35" s="4" t="str">
        <f>IFERROR(__xludf.DUMMYFUNCTION("""COMPUTED_VALUE"""),"62 994612150")</f>
        <v>62 994612150</v>
      </c>
      <c r="D35" s="4" t="str">
        <f>IFERROR(__xludf.DUMMYFUNCTION("""COMPUTED_VALUE"""),"RUA FLORES DA PAINEIRA QD 18 AP402")</f>
        <v>RUA FLORES DA PAINEIRA QD 18 AP402</v>
      </c>
      <c r="E35" s="4" t="str">
        <f>IFERROR(__xludf.DUMMYFUNCTION("""COMPUTED_VALUE"""),"Karatê")</f>
        <v>Karatê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5.75" customHeight="1">
      <c r="A36" s="4" t="str">
        <f>IFERROR(__xludf.DUMMYFUNCTION("""COMPUTED_VALUE"""),"SANDY BALBINA DE SOUZA")</f>
        <v>SANDY BALBINA DE SOUZA</v>
      </c>
      <c r="B36" s="64">
        <f>IFERROR(__xludf.DUMMYFUNCTION("""COMPUTED_VALUE"""),36234.0)</f>
        <v>36234</v>
      </c>
      <c r="C36" s="4" t="str">
        <f>IFERROR(__xludf.DUMMYFUNCTION("""COMPUTED_VALUE"""),"62 993085913")</f>
        <v>62 993085913</v>
      </c>
      <c r="D36" s="4" t="str">
        <f>IFERROR(__xludf.DUMMYFUNCTION("""COMPUTED_VALUE"""),"RUA GIRASSOL QD.12 LT14 ST. PALMARES")</f>
        <v>RUA GIRASSOL QD.12 LT14 ST. PALMARES</v>
      </c>
      <c r="E36" s="4" t="str">
        <f>IFERROR(__xludf.DUMMYFUNCTION("""COMPUTED_VALUE"""),"Dança")</f>
        <v>Dança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custom" allowBlank="1" showDropDown="1" showErrorMessage="1" sqref="B4:B32">
      <formula1>OR(NOT(ISERROR(DATEVALUE(B4))), AND(ISNUMBER(B4), LEFT(CELL("format", B4))="D"))</formula1>
    </dataValidation>
  </dataValidations>
  <printOptions/>
  <pageMargins bottom="0.75" footer="0.0" header="0.0" left="0.3861879650364806" right="0.0" top="0.75"/>
  <pageSetup paperSize="8" orientation="portrait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2.0"/>
    <col customWidth="1" min="2" max="2" width="30.0"/>
    <col customWidth="1" min="3" max="3" width="14.43"/>
    <col customWidth="1" min="4" max="4" width="50.57"/>
    <col customWidth="1" min="5" max="6" width="14.43"/>
  </cols>
  <sheetData>
    <row r="1">
      <c r="B1" s="49" t="s">
        <v>10</v>
      </c>
    </row>
    <row r="3">
      <c r="A3" s="49" t="str">
        <f>IFERROR(__xludf.DUMMYFUNCTION("FILTER(
  Cadastro!A:E,
  Cadastro!E:E = B1
)
"),"JOÃO VITOR GOMES SANTOS")</f>
        <v>JOÃO VITOR GOMES SANTOS</v>
      </c>
      <c r="B3" s="66">
        <f>IFERROR(__xludf.DUMMYFUNCTION("""COMPUTED_VALUE"""),41280.0)</f>
        <v>41280</v>
      </c>
      <c r="C3" s="67" t="str">
        <f>IFERROR(__xludf.DUMMYFUNCTION("""COMPUTED_VALUE"""),"62 994855458")</f>
        <v>62 994855458</v>
      </c>
      <c r="D3" s="49" t="str">
        <f>IFERROR(__xludf.DUMMYFUNCTION("""COMPUTED_VALUE"""),"AVENIDA ")</f>
        <v>AVENIDA </v>
      </c>
      <c r="E3" s="49" t="str">
        <f>IFERROR(__xludf.DUMMYFUNCTION("""COMPUTED_VALUE"""),"Informática")</f>
        <v>Informática</v>
      </c>
    </row>
    <row r="4">
      <c r="A4" s="49" t="str">
        <f>IFERROR(__xludf.DUMMYFUNCTION("""COMPUTED_VALUE"""),"KELVIN ENRIQUE DA SILVA DA SILVA")</f>
        <v>KELVIN ENRIQUE DA SILVA DA SILVA</v>
      </c>
      <c r="B4" s="66">
        <f>IFERROR(__xludf.DUMMYFUNCTION("""COMPUTED_VALUE"""),40914.0)</f>
        <v>40914</v>
      </c>
      <c r="C4" s="67" t="str">
        <f>IFERROR(__xludf.DUMMYFUNCTION("""COMPUTED_VALUE"""),"62 984704675")</f>
        <v>62 984704675</v>
      </c>
      <c r="D4" s="49" t="str">
        <f>IFERROR(__xludf.DUMMYFUNCTION("""COMPUTED_VALUE"""),"RUA RDB 6 QD 10 LT 31 DOM BOSCO")</f>
        <v>RUA RDB 6 QD 10 LT 31 DOM BOSCO</v>
      </c>
      <c r="E4" s="49" t="str">
        <f>IFERROR(__xludf.DUMMYFUNCTION("""COMPUTED_VALUE"""),"Informática")</f>
        <v>Informática</v>
      </c>
    </row>
    <row r="5">
      <c r="A5" s="49" t="str">
        <f>IFERROR(__xludf.DUMMYFUNCTION("""COMPUTED_VALUE"""),"lUCAS GABRIEL ALVES DE AZEVEDO")</f>
        <v>lUCAS GABRIEL ALVES DE AZEVEDO</v>
      </c>
      <c r="B5" s="66">
        <f>IFERROR(__xludf.DUMMYFUNCTION("""COMPUTED_VALUE"""),41558.0)</f>
        <v>41558</v>
      </c>
      <c r="C5" s="67"/>
      <c r="D5" s="49" t="str">
        <f>IFERROR(__xludf.DUMMYFUNCTION("""COMPUTED_VALUE"""),"AVENIDA DAS PALMAS QUDRA 07 LOTE 11")</f>
        <v>AVENIDA DAS PALMAS QUDRA 07 LOTE 11</v>
      </c>
      <c r="E5" s="49" t="str">
        <f>IFERROR(__xludf.DUMMYFUNCTION("""COMPUTED_VALUE"""),"Informática")</f>
        <v>Informática</v>
      </c>
    </row>
    <row r="6">
      <c r="A6" s="49" t="str">
        <f>IFERROR(__xludf.DUMMYFUNCTION("""COMPUTED_VALUE"""),"HENRY DE SOUZA VERAS ")</f>
        <v>HENRY DE SOUZA VERAS </v>
      </c>
      <c r="B6" s="66">
        <f>IFERROR(__xludf.DUMMYFUNCTION("""COMPUTED_VALUE"""),40051.0)</f>
        <v>40051</v>
      </c>
      <c r="C6" s="67" t="str">
        <f>IFERROR(__xludf.DUMMYFUNCTION("""COMPUTED_VALUE"""),"62 993452696")</f>
        <v>62 993452696</v>
      </c>
      <c r="D6" s="49" t="str">
        <f>IFERROR(__xludf.DUMMYFUNCTION("""COMPUTED_VALUE"""),"RUA SB51 QD 59 LT 06 CASA 02 S. BERNARDO II")</f>
        <v>RUA SB51 QD 59 LT 06 CASA 02 S. BERNARDO II</v>
      </c>
      <c r="E6" s="49" t="str">
        <f>IFERROR(__xludf.DUMMYFUNCTION("""COMPUTED_VALUE"""),"Informática")</f>
        <v>Informática</v>
      </c>
    </row>
    <row r="7">
      <c r="A7" s="49" t="str">
        <f>IFERROR(__xludf.DUMMYFUNCTION("""COMPUTED_VALUE"""),"THAYNE OLIVEIRA CAMARGO")</f>
        <v>THAYNE OLIVEIRA CAMARGO</v>
      </c>
      <c r="B7" s="66">
        <f>IFERROR(__xludf.DUMMYFUNCTION("""COMPUTED_VALUE"""),41774.0)</f>
        <v>41774</v>
      </c>
      <c r="C7" s="67" t="str">
        <f>IFERROR(__xludf.DUMMYFUNCTION("""COMPUTED_VALUE"""),"62 992176502")</f>
        <v>62 992176502</v>
      </c>
      <c r="D7" s="49" t="str">
        <f>IFERROR(__xludf.DUMMYFUNCTION("""COMPUTED_VALUE"""),"RUA AÇUCENA QD 01 LT 09 ST.PALMARES")</f>
        <v>RUA AÇUCENA QD 01 LT 09 ST.PALMARES</v>
      </c>
      <c r="E7" s="49" t="str">
        <f>IFERROR(__xludf.DUMMYFUNCTION("""COMPUTED_VALUE"""),"Informática")</f>
        <v>Informática</v>
      </c>
    </row>
    <row r="8">
      <c r="A8" s="49" t="str">
        <f>IFERROR(__xludf.DUMMYFUNCTION("""COMPUTED_VALUE"""),"ELISA MOREIRA  FERNANDES")</f>
        <v>ELISA MOREIRA  FERNANDES</v>
      </c>
      <c r="B8" s="66">
        <f>IFERROR(__xludf.DUMMYFUNCTION("""COMPUTED_VALUE"""),41376.0)</f>
        <v>41376</v>
      </c>
      <c r="C8" s="67" t="str">
        <f>IFERROR(__xludf.DUMMYFUNCTION("""COMPUTED_VALUE"""),"62 992269345")</f>
        <v>62 992269345</v>
      </c>
      <c r="D8" s="49" t="str">
        <f>IFERROR(__xludf.DUMMYFUNCTION("""COMPUTED_VALUE"""),"RUA ATREMIZIA QD 07 LT 02 ST.PALMARES")</f>
        <v>RUA ATREMIZIA QD 07 LT 02 ST.PALMARES</v>
      </c>
      <c r="E8" s="49" t="str">
        <f>IFERROR(__xludf.DUMMYFUNCTION("""COMPUTED_VALUE"""),"Informática")</f>
        <v>Informática</v>
      </c>
    </row>
    <row r="9">
      <c r="A9" s="49" t="str">
        <f>IFERROR(__xludf.DUMMYFUNCTION("""COMPUTED_VALUE"""),"RANIELLY RAMOS DE SOUZA")</f>
        <v>RANIELLY RAMOS DE SOUZA</v>
      </c>
      <c r="B9" s="66">
        <f>IFERROR(__xludf.DUMMYFUNCTION("""COMPUTED_VALUE"""),40825.0)</f>
        <v>40825</v>
      </c>
      <c r="C9" s="67" t="str">
        <f>IFERROR(__xludf.DUMMYFUNCTION("""COMPUTED_VALUE"""),"62 992176502")</f>
        <v>62 992176502</v>
      </c>
      <c r="D9" s="49" t="str">
        <f>IFERROR(__xludf.DUMMYFUNCTION("""COMPUTED_VALUE"""),"RUA AÇUCENA QD 01 LT 09 ST.PALMARES")</f>
        <v>RUA AÇUCENA QD 01 LT 09 ST.PALMARES</v>
      </c>
      <c r="E9" s="49" t="str">
        <f>IFERROR(__xludf.DUMMYFUNCTION("""COMPUTED_VALUE"""),"Informática")</f>
        <v>Informática</v>
      </c>
    </row>
    <row r="10">
      <c r="A10" s="49" t="str">
        <f>IFERROR(__xludf.DUMMYFUNCTION("""COMPUTED_VALUE"""),"LUIZ FABIANO GOMES BERDOLDO")</f>
        <v>LUIZ FABIANO GOMES BERDOLDO</v>
      </c>
      <c r="B10" s="66">
        <f>IFERROR(__xludf.DUMMYFUNCTION("""COMPUTED_VALUE"""),40094.0)</f>
        <v>40094</v>
      </c>
      <c r="C10" s="67" t="str">
        <f>IFERROR(__xludf.DUMMYFUNCTION("""COMPUTED_VALUE"""),"62 993201736")</f>
        <v>62 993201736</v>
      </c>
      <c r="D10" s="49" t="str">
        <f>IFERROR(__xludf.DUMMYFUNCTION("""COMPUTED_VALUE"""),"RUA PAPOULA QD 65 LT 06 ST. PALMARSE")</f>
        <v>RUA PAPOULA QD 65 LT 06 ST. PALMARSE</v>
      </c>
      <c r="E10" s="49" t="str">
        <f>IFERROR(__xludf.DUMMYFUNCTION("""COMPUTED_VALUE"""),"Informática")</f>
        <v>Informática</v>
      </c>
    </row>
    <row r="11">
      <c r="A11" s="49" t="str">
        <f>IFERROR(__xludf.DUMMYFUNCTION("""COMPUTED_VALUE"""),"RUTE ROCHA DE LOUDES")</f>
        <v>RUTE ROCHA DE LOUDES</v>
      </c>
      <c r="B11" s="66">
        <f>IFERROR(__xludf.DUMMYFUNCTION("""COMPUTED_VALUE"""),41517.0)</f>
        <v>41517</v>
      </c>
      <c r="C11" s="67" t="str">
        <f>IFERROR(__xludf.DUMMYFUNCTION("""COMPUTED_VALUE"""),"62 995421317")</f>
        <v>62 995421317</v>
      </c>
      <c r="D11" s="49"/>
      <c r="E11" s="49" t="str">
        <f>IFERROR(__xludf.DUMMYFUNCTION("""COMPUTED_VALUE"""),"Informática")</f>
        <v>Informática</v>
      </c>
    </row>
    <row r="12">
      <c r="A12" s="49" t="str">
        <f>IFERROR(__xludf.DUMMYFUNCTION("""COMPUTED_VALUE"""),"ANDRÉ GOMES FERREIRA ")</f>
        <v>ANDRÉ GOMES FERREIRA </v>
      </c>
      <c r="B12" s="66">
        <f>IFERROR(__xludf.DUMMYFUNCTION("""COMPUTED_VALUE"""),41498.0)</f>
        <v>41498</v>
      </c>
      <c r="C12" s="67" t="str">
        <f>IFERROR(__xludf.DUMMYFUNCTION("""COMPUTED_VALUE"""),"62 992324894")</f>
        <v>62 992324894</v>
      </c>
      <c r="D12" s="49" t="str">
        <f>IFERROR(__xludf.DUMMYFUNCTION("""COMPUTED_VALUE"""),"AVENIDA DAS PALMAS QD 33 LT 04 ST PALMARES")</f>
        <v>AVENIDA DAS PALMAS QD 33 LT 04 ST PALMARES</v>
      </c>
      <c r="E12" s="49" t="str">
        <f>IFERROR(__xludf.DUMMYFUNCTION("""COMPUTED_VALUE"""),"Informática")</f>
        <v>Informática</v>
      </c>
    </row>
    <row r="13">
      <c r="A13" s="49" t="str">
        <f>IFERROR(__xludf.DUMMYFUNCTION("""COMPUTED_VALUE"""),"EMANUELA ANDRADE MENDES")</f>
        <v>EMANUELA ANDRADE MENDES</v>
      </c>
      <c r="B13" s="66">
        <f>IFERROR(__xludf.DUMMYFUNCTION("""COMPUTED_VALUE"""),40791.0)</f>
        <v>40791</v>
      </c>
      <c r="C13" s="67" t="str">
        <f>IFERROR(__xludf.DUMMYFUNCTION("""COMPUTED_VALUE"""),"62 998208809")</f>
        <v>62 998208809</v>
      </c>
      <c r="D13" s="49" t="str">
        <f>IFERROR(__xludf.DUMMYFUNCTION("""COMPUTED_VALUE"""),"ALAMEDA DAS ACACIAS QD 37 LT 19")</f>
        <v>ALAMEDA DAS ACACIAS QD 37 LT 19</v>
      </c>
      <c r="E13" s="49" t="str">
        <f>IFERROR(__xludf.DUMMYFUNCTION("""COMPUTED_VALUE"""),"Informática")</f>
        <v>Informática</v>
      </c>
    </row>
    <row r="14">
      <c r="A14" s="49" t="str">
        <f>IFERROR(__xludf.DUMMYFUNCTION("""COMPUTED_VALUE"""),"KALLEBE FERREIRA NASCIMENTO     ")</f>
        <v>KALLEBE FERREIRA NASCIMENTO     </v>
      </c>
      <c r="B14" s="66">
        <f>IFERROR(__xludf.DUMMYFUNCTION("""COMPUTED_VALUE"""),42808.0)</f>
        <v>42808</v>
      </c>
      <c r="C14" s="67" t="str">
        <f>IFERROR(__xludf.DUMMYFUNCTION("""COMPUTED_VALUE"""),"62 995115026")</f>
        <v>62 995115026</v>
      </c>
      <c r="D14" s="49" t="str">
        <f>IFERROR(__xludf.DUMMYFUNCTION("""COMPUTED_VALUE"""),"rua girassol qd 33 lt 25 st. palmares")</f>
        <v>rua girassol qd 33 lt 25 st. palmares</v>
      </c>
      <c r="E14" s="49" t="str">
        <f>IFERROR(__xludf.DUMMYFUNCTION("""COMPUTED_VALUE"""),"Informática")</f>
        <v>Informática</v>
      </c>
    </row>
    <row r="15">
      <c r="A15" s="49" t="str">
        <f>IFERROR(__xludf.DUMMYFUNCTION("""COMPUTED_VALUE"""),"ALEXANDRE DA SILVA SOUZA")</f>
        <v>ALEXANDRE DA SILVA SOUZA</v>
      </c>
      <c r="B15" s="66">
        <f>IFERROR(__xludf.DUMMYFUNCTION("""COMPUTED_VALUE"""),41232.0)</f>
        <v>41232</v>
      </c>
      <c r="C15" s="67" t="str">
        <f>IFERROR(__xludf.DUMMYFUNCTION("""COMPUTED_VALUE"""),"62991448207")</f>
        <v>62991448207</v>
      </c>
      <c r="D15" s="49" t="str">
        <f>IFERROR(__xludf.DUMMYFUNCTION("""COMPUTED_VALUE"""),"RUA SB 14 QD 32 LT 02 SÃO BERNARDO")</f>
        <v>RUA SB 14 QD 32 LT 02 SÃO BERNARDO</v>
      </c>
      <c r="E15" s="49" t="str">
        <f>IFERROR(__xludf.DUMMYFUNCTION("""COMPUTED_VALUE"""),"Informática")</f>
        <v>Informática</v>
      </c>
    </row>
    <row r="16">
      <c r="A16" s="49" t="str">
        <f>IFERROR(__xludf.DUMMYFUNCTION("""COMPUTED_VALUE"""),"JOÃO VITOR GOMES SANTOS")</f>
        <v>JOÃO VITOR GOMES SANTOS</v>
      </c>
      <c r="B16" s="66">
        <f>IFERROR(__xludf.DUMMYFUNCTION("""COMPUTED_VALUE"""),41426.0)</f>
        <v>41426</v>
      </c>
      <c r="C16" s="67" t="str">
        <f>IFERROR(__xludf.DUMMYFUNCTION("""COMPUTED_VALUE"""),"6299028518")</f>
        <v>6299028518</v>
      </c>
      <c r="D16" s="49"/>
      <c r="E16" s="49" t="str">
        <f>IFERROR(__xludf.DUMMYFUNCTION("""COMPUTED_VALUE"""),"Informática")</f>
        <v>Informática</v>
      </c>
    </row>
    <row r="17">
      <c r="A17" s="49" t="str">
        <f>IFERROR(__xludf.DUMMYFUNCTION("""COMPUTED_VALUE"""),"ANA JÚLIA MARTINS SOUZA")</f>
        <v>ANA JÚLIA MARTINS SOUZA</v>
      </c>
      <c r="B17" s="66"/>
      <c r="C17" s="67"/>
      <c r="D17" s="49"/>
      <c r="E17" s="49" t="str">
        <f>IFERROR(__xludf.DUMMYFUNCTION("""COMPUTED_VALUE"""),"Informática")</f>
        <v>Informática</v>
      </c>
    </row>
    <row r="18">
      <c r="A18" s="49" t="str">
        <f>IFERROR(__xludf.DUMMYFUNCTION("""COMPUTED_VALUE"""),"NYCOLAS RUAN VIEIRA REIS ")</f>
        <v>NYCOLAS RUAN VIEIRA REIS </v>
      </c>
      <c r="B18" s="66">
        <f>IFERROR(__xludf.DUMMYFUNCTION("""COMPUTED_VALUE"""),40650.0)</f>
        <v>40650</v>
      </c>
      <c r="C18" s="49" t="str">
        <f>IFERROR(__xludf.DUMMYFUNCTION("""COMPUTED_VALUE"""),"62 991928402")</f>
        <v>62 991928402</v>
      </c>
      <c r="D18" s="49" t="str">
        <f>IFERROR(__xludf.DUMMYFUNCTION("""COMPUTED_VALUE"""),"RUA VIELA DA PAZ QD.02 LT 23 ST. PALMARES")</f>
        <v>RUA VIELA DA PAZ QD.02 LT 23 ST. PALMARES</v>
      </c>
      <c r="E18" s="49" t="str">
        <f>IFERROR(__xludf.DUMMYFUNCTION("""COMPUTED_VALUE"""),"Informática")</f>
        <v>Informática</v>
      </c>
    </row>
    <row r="19">
      <c r="A19" s="49" t="str">
        <f>IFERROR(__xludf.DUMMYFUNCTION("""COMPUTED_VALUE"""),"YASMIM CRISTINE BESSA DE PAULA")</f>
        <v>YASMIM CRISTINE BESSA DE PAULA</v>
      </c>
      <c r="B19" s="66"/>
      <c r="C19" s="49" t="str">
        <f>IFERROR(__xludf.DUMMYFUNCTION("""COMPUTED_VALUE"""),"62 9172-2181")</f>
        <v>62 9172-2181</v>
      </c>
      <c r="D19" s="49"/>
      <c r="E19" s="49" t="str">
        <f>IFERROR(__xludf.DUMMYFUNCTION("""COMPUTED_VALUE"""),"Informática")</f>
        <v>Informática</v>
      </c>
    </row>
    <row r="20">
      <c r="A20" s="49" t="str">
        <f>IFERROR(__xludf.DUMMYFUNCTION("""COMPUTED_VALUE"""),"ISABELA LUIZA FIRMINO DOS SANTOS")</f>
        <v>ISABELA LUIZA FIRMINO DOS SANTOS</v>
      </c>
      <c r="B20" s="66"/>
      <c r="C20" s="67" t="str">
        <f>IFERROR(__xludf.DUMMYFUNCTION("""COMPUTED_VALUE"""),"62 92039616")</f>
        <v>62 92039616</v>
      </c>
      <c r="D20" s="49"/>
      <c r="E20" s="49" t="str">
        <f>IFERROR(__xludf.DUMMYFUNCTION("""COMPUTED_VALUE"""),"Informática")</f>
        <v>Informática</v>
      </c>
    </row>
    <row r="21" ht="15.75" customHeight="1">
      <c r="A21" s="49" t="str">
        <f>IFERROR(__xludf.DUMMYFUNCTION("""COMPUTED_VALUE"""),"HESTEFANY VITÓRIA DE OLIVEIRA VIEIRA ")</f>
        <v>HESTEFANY VITÓRIA DE OLIVEIRA VIEIRA </v>
      </c>
      <c r="B21" s="66">
        <f>IFERROR(__xludf.DUMMYFUNCTION("""COMPUTED_VALUE"""),40971.0)</f>
        <v>40971</v>
      </c>
      <c r="C21" s="67" t="str">
        <f>IFERROR(__xludf.DUMMYFUNCTION("""COMPUTED_VALUE"""),"62 995420681")</f>
        <v>62 995420681</v>
      </c>
      <c r="D21" s="49"/>
      <c r="E21" s="49" t="str">
        <f>IFERROR(__xludf.DUMMYFUNCTION("""COMPUTED_VALUE"""),"Informática")</f>
        <v>Informática</v>
      </c>
    </row>
    <row r="22" ht="15.75" customHeight="1">
      <c r="A22" s="49" t="str">
        <f>IFERROR(__xludf.DUMMYFUNCTION("""COMPUTED_VALUE"""),"KÉSIA BRASIL FERRAZ")</f>
        <v>KÉSIA BRASIL FERRAZ</v>
      </c>
      <c r="B22" s="66"/>
      <c r="C22" s="67"/>
      <c r="D22" s="49"/>
      <c r="E22" s="49" t="str">
        <f>IFERROR(__xludf.DUMMYFUNCTION("""COMPUTED_VALUE"""),"Informática")</f>
        <v>Informática</v>
      </c>
    </row>
    <row r="23" ht="15.75" customHeight="1">
      <c r="A23" s="49" t="str">
        <f>IFERROR(__xludf.DUMMYFUNCTION("""COMPUTED_VALUE"""),"DEUSDETE LOURENÇO DIAS")</f>
        <v>DEUSDETE LOURENÇO DIAS</v>
      </c>
      <c r="B23" s="66"/>
      <c r="C23" s="67"/>
      <c r="D23" s="49"/>
      <c r="E23" s="49" t="str">
        <f>IFERROR(__xludf.DUMMYFUNCTION("""COMPUTED_VALUE"""),"Informática")</f>
        <v>Informática</v>
      </c>
    </row>
    <row r="24" ht="15.75" customHeight="1">
      <c r="A24" s="49" t="str">
        <f>IFERROR(__xludf.DUMMYFUNCTION("""COMPUTED_VALUE"""),"JOSÉ PAULO FEITOSA GUABIRABA")</f>
        <v>JOSÉ PAULO FEITOSA GUABIRABA</v>
      </c>
      <c r="B24" s="66">
        <f>IFERROR(__xludf.DUMMYFUNCTION("""COMPUTED_VALUE"""),42069.0)</f>
        <v>42069</v>
      </c>
      <c r="C24" s="67" t="str">
        <f>IFERROR(__xludf.DUMMYFUNCTION("""COMPUTED_VALUE"""),"62995604467")</f>
        <v>62995604467</v>
      </c>
      <c r="D24" s="49"/>
      <c r="E24" s="49" t="str">
        <f>IFERROR(__xludf.DUMMYFUNCTION("""COMPUTED_VALUE"""),"Informática")</f>
        <v>Informática</v>
      </c>
    </row>
    <row r="25" ht="15.75" customHeight="1">
      <c r="A25" s="49" t="str">
        <f>IFERROR(__xludf.DUMMYFUNCTION("""COMPUTED_VALUE"""),"PEDRO GABRIEL MIRANDA BATISTA DE ALMEIDA")</f>
        <v>PEDRO GABRIEL MIRANDA BATISTA DE ALMEIDA</v>
      </c>
      <c r="B25" s="66"/>
      <c r="C25" s="67"/>
      <c r="D25" s="49"/>
      <c r="E25" s="49" t="str">
        <f>IFERROR(__xludf.DUMMYFUNCTION("""COMPUTED_VALUE"""),"Informática")</f>
        <v>Informática</v>
      </c>
    </row>
    <row r="26" ht="15.75" customHeight="1">
      <c r="A26" s="49" t="str">
        <f>IFERROR(__xludf.DUMMYFUNCTION("""COMPUTED_VALUE"""),"PEDRO HENRIQUE SILVA DOS SANTOS")</f>
        <v>PEDRO HENRIQUE SILVA DOS SANTOS</v>
      </c>
      <c r="B26" s="66"/>
      <c r="C26" s="67" t="str">
        <f>IFERROR(__xludf.DUMMYFUNCTION("""COMPUTED_VALUE"""),"62 9503-0683")</f>
        <v>62 9503-0683</v>
      </c>
      <c r="D26" s="49"/>
      <c r="E26" s="49" t="str">
        <f>IFERROR(__xludf.DUMMYFUNCTION("""COMPUTED_VALUE"""),"Informática")</f>
        <v>Informática</v>
      </c>
    </row>
    <row r="27" ht="15.75" customHeight="1">
      <c r="A27" s="49" t="str">
        <f>IFERROR(__xludf.DUMMYFUNCTION("""COMPUTED_VALUE"""),"JENIFER KEMILY GOMES RAMOS ")</f>
        <v>JENIFER KEMILY GOMES RAMOS </v>
      </c>
      <c r="B27" s="66"/>
      <c r="C27" s="67"/>
      <c r="D27" s="49"/>
      <c r="E27" s="49" t="str">
        <f>IFERROR(__xludf.DUMMYFUNCTION("""COMPUTED_VALUE"""),"Informática")</f>
        <v>Informática</v>
      </c>
    </row>
    <row r="28" ht="15.75" customHeight="1">
      <c r="A28" s="49" t="str">
        <f>IFERROR(__xludf.DUMMYFUNCTION("""COMPUTED_VALUE"""),"GABRIELLY BUENO RAMOS ")</f>
        <v>GABRIELLY BUENO RAMOS </v>
      </c>
      <c r="B28" s="66"/>
      <c r="C28" s="67"/>
      <c r="D28" s="49"/>
      <c r="E28" s="49" t="str">
        <f>IFERROR(__xludf.DUMMYFUNCTION("""COMPUTED_VALUE"""),"Informática")</f>
        <v>Informática</v>
      </c>
    </row>
    <row r="29" ht="15.75" customHeight="1">
      <c r="A29" s="49" t="str">
        <f>IFERROR(__xludf.DUMMYFUNCTION("""COMPUTED_VALUE"""),"NATHALIA DA COSTA VIANA")</f>
        <v>NATHALIA DA COSTA VIANA</v>
      </c>
      <c r="B29" s="66"/>
      <c r="C29" s="67"/>
      <c r="D29" s="49"/>
      <c r="E29" s="49" t="str">
        <f>IFERROR(__xludf.DUMMYFUNCTION("""COMPUTED_VALUE"""),"Informática")</f>
        <v>Informática</v>
      </c>
    </row>
    <row r="30" ht="15.75" customHeight="1">
      <c r="A30" s="49" t="str">
        <f>IFERROR(__xludf.DUMMYFUNCTION("""COMPUTED_VALUE"""),"RAISSA KETHY")</f>
        <v>RAISSA KETHY</v>
      </c>
      <c r="B30" s="66"/>
      <c r="C30" s="67"/>
      <c r="D30" s="49"/>
      <c r="E30" s="49" t="str">
        <f>IFERROR(__xludf.DUMMYFUNCTION("""COMPUTED_VALUE"""),"Informática")</f>
        <v>Informática</v>
      </c>
    </row>
    <row r="31" ht="15.75" customHeight="1">
      <c r="A31" s="49" t="str">
        <f>IFERROR(__xludf.DUMMYFUNCTION("""COMPUTED_VALUE"""),"LAÍS ASSIS DOS SANTOS ")</f>
        <v>LAÍS ASSIS DOS SANTOS </v>
      </c>
      <c r="B31" s="66">
        <f>IFERROR(__xludf.DUMMYFUNCTION("""COMPUTED_VALUE"""),41392.0)</f>
        <v>41392</v>
      </c>
      <c r="C31" s="67" t="str">
        <f>IFERROR(__xludf.DUMMYFUNCTION("""COMPUTED_VALUE"""),"62 98467-2822")</f>
        <v>62 98467-2822</v>
      </c>
      <c r="D31" s="49" t="str">
        <f>IFERROR(__xludf.DUMMYFUNCTION("""COMPUTED_VALUE"""),"RUA SB 48 QD.66 LT 08 SÃO BERNADO 2")</f>
        <v>RUA SB 48 QD.66 LT 08 SÃO BERNADO 2</v>
      </c>
      <c r="E31" s="49" t="str">
        <f>IFERROR(__xludf.DUMMYFUNCTION("""COMPUTED_VALUE"""),"Informática")</f>
        <v>Informática</v>
      </c>
    </row>
    <row r="32" ht="15.75" customHeight="1">
      <c r="A32" s="49" t="str">
        <f>IFERROR(__xludf.DUMMYFUNCTION("""COMPUTED_VALUE"""),"KELVIN ENRIQUE DA SILVA DA SILVA")</f>
        <v>KELVIN ENRIQUE DA SILVA DA SILVA</v>
      </c>
      <c r="B32" s="66"/>
      <c r="C32" s="67"/>
      <c r="D32" s="49"/>
      <c r="E32" s="49" t="str">
        <f>IFERROR(__xludf.DUMMYFUNCTION("""COMPUTED_VALUE"""),"Informática")</f>
        <v>Informática</v>
      </c>
    </row>
    <row r="33" ht="15.75" customHeight="1">
      <c r="A33" s="49" t="str">
        <f>IFERROR(__xludf.DUMMYFUNCTION("""COMPUTED_VALUE"""),"MATHEUS HENRIQUE PEDROSO FERREIRO")</f>
        <v>MATHEUS HENRIQUE PEDROSO FERREIRO</v>
      </c>
      <c r="B33" s="66"/>
      <c r="C33" s="67"/>
      <c r="D33" s="49"/>
      <c r="E33" s="49" t="str">
        <f>IFERROR(__xludf.DUMMYFUNCTION("""COMPUTED_VALUE"""),"Informática")</f>
        <v>Informática</v>
      </c>
    </row>
    <row r="34" ht="15.75" customHeight="1">
      <c r="A34" s="49" t="str">
        <f>IFERROR(__xludf.DUMMYFUNCTION("""COMPUTED_VALUE"""),"JULIANA FERREIRA  DA SILVA   ")</f>
        <v>JULIANA FERREIRA  DA SILVA   </v>
      </c>
      <c r="B34" s="66"/>
      <c r="C34" s="67"/>
      <c r="D34" s="49"/>
      <c r="E34" s="49" t="str">
        <f>IFERROR(__xludf.DUMMYFUNCTION("""COMPUTED_VALUE"""),"Informática")</f>
        <v>Informática</v>
      </c>
    </row>
    <row r="35" ht="15.75" customHeight="1">
      <c r="A35" s="49" t="str">
        <f>IFERROR(__xludf.DUMMYFUNCTION("""COMPUTED_VALUE"""),"KETHELLYN RAIANE DO CARMO")</f>
        <v>KETHELLYN RAIANE DO CARMO</v>
      </c>
      <c r="B35" s="66"/>
      <c r="C35" s="67"/>
      <c r="D35" s="49"/>
      <c r="E35" s="49" t="str">
        <f>IFERROR(__xludf.DUMMYFUNCTION("""COMPUTED_VALUE"""),"Informática")</f>
        <v>Informática</v>
      </c>
    </row>
    <row r="36" ht="15.75" customHeight="1">
      <c r="A36" s="49" t="str">
        <f>IFERROR(__xludf.DUMMYFUNCTION("""COMPUTED_VALUE"""),"MARIA VELOSO DE SOUZA")</f>
        <v>MARIA VELOSO DE SOUZA</v>
      </c>
      <c r="B36" s="66">
        <f>IFERROR(__xludf.DUMMYFUNCTION("""COMPUTED_VALUE"""),45170.0)</f>
        <v>45170</v>
      </c>
      <c r="C36" s="67" t="str">
        <f>IFERROR(__xludf.DUMMYFUNCTION("""COMPUTED_VALUE"""),"62 99327-3471")</f>
        <v>62 99327-3471</v>
      </c>
      <c r="D36" s="49" t="str">
        <f>IFERROR(__xludf.DUMMYFUNCTION("""COMPUTED_VALUE"""),"RUA 04 QD.81 LT09 ST. PALMARES")</f>
        <v>RUA 04 QD.81 LT09 ST. PALMARES</v>
      </c>
      <c r="E36" s="49" t="str">
        <f>IFERROR(__xludf.DUMMYFUNCTION("""COMPUTED_VALUE"""),"Informática")</f>
        <v>Informática</v>
      </c>
    </row>
    <row r="37" ht="15.75" customHeight="1">
      <c r="A37" s="49" t="str">
        <f>IFERROR(__xludf.DUMMYFUNCTION("""COMPUTED_VALUE"""),"JOSIMAR G. DE FREITAS")</f>
        <v>JOSIMAR G. DE FREITAS</v>
      </c>
      <c r="B37" s="66"/>
      <c r="C37" s="67"/>
      <c r="D37" s="49"/>
      <c r="E37" s="49" t="str">
        <f>IFERROR(__xludf.DUMMYFUNCTION("""COMPUTED_VALUE"""),"Informática")</f>
        <v>Informática</v>
      </c>
    </row>
    <row r="38" ht="15.75" customHeight="1">
      <c r="A38" s="49" t="str">
        <f>IFERROR(__xludf.DUMMYFUNCTION("""COMPUTED_VALUE"""),"HENRY DE SOUZA VERAS")</f>
        <v>HENRY DE SOUZA VERAS</v>
      </c>
      <c r="B38" s="66"/>
      <c r="C38" s="67"/>
      <c r="D38" s="49"/>
      <c r="E38" s="49" t="str">
        <f>IFERROR(__xludf.DUMMYFUNCTION("""COMPUTED_VALUE"""),"Informática")</f>
        <v>Informática</v>
      </c>
    </row>
    <row r="39" ht="15.75" customHeight="1">
      <c r="A39" s="49" t="str">
        <f>IFERROR(__xludf.DUMMYFUNCTION("""COMPUTED_VALUE"""),"MARIA FERNANDA CARDOSO PEREIRA")</f>
        <v>MARIA FERNANDA CARDOSO PEREIRA</v>
      </c>
      <c r="B39" s="66">
        <f>IFERROR(__xludf.DUMMYFUNCTION("""COMPUTED_VALUE"""),39517.0)</f>
        <v>39517</v>
      </c>
      <c r="C39" s="67" t="str">
        <f>IFERROR(__xludf.DUMMYFUNCTION("""COMPUTED_VALUE"""),"62992719438")</f>
        <v>62992719438</v>
      </c>
      <c r="D39" s="49" t="str">
        <f>IFERROR(__xludf.DUMMYFUNCTION("""COMPUTED_VALUE"""),"RUA SB 64 QD 93 LT 18 SÃO BERNARDO 2")</f>
        <v>RUA SB 64 QD 93 LT 18 SÃO BERNARDO 2</v>
      </c>
      <c r="E39" s="49" t="str">
        <f>IFERROR(__xludf.DUMMYFUNCTION("""COMPUTED_VALUE"""),"Informática")</f>
        <v>Informática</v>
      </c>
    </row>
    <row r="40" ht="15.75" customHeight="1">
      <c r="A40" s="49" t="str">
        <f>IFERROR(__xludf.DUMMYFUNCTION("""COMPUTED_VALUE"""),"CALYNE DIAS REIS")</f>
        <v>CALYNE DIAS REIS</v>
      </c>
      <c r="B40" s="66"/>
      <c r="C40" s="67"/>
      <c r="D40" s="49"/>
      <c r="E40" s="49" t="str">
        <f>IFERROR(__xludf.DUMMYFUNCTION("""COMPUTED_VALUE"""),"Informática")</f>
        <v>Informática</v>
      </c>
    </row>
    <row r="41" ht="15.75" customHeight="1">
      <c r="A41" s="49" t="str">
        <f>IFERROR(__xludf.DUMMYFUNCTION("""COMPUTED_VALUE"""),"LEANDRO FERREIRA CAMARGO")</f>
        <v>LEANDRO FERREIRA CAMARGO</v>
      </c>
      <c r="B41" s="66"/>
      <c r="C41" s="67"/>
      <c r="D41" s="49"/>
      <c r="E41" s="49" t="str">
        <f>IFERROR(__xludf.DUMMYFUNCTION("""COMPUTED_VALUE"""),"Informática")</f>
        <v>Informática</v>
      </c>
    </row>
    <row r="42" ht="15.75" customHeight="1">
      <c r="A42" s="49" t="str">
        <f>IFERROR(__xludf.DUMMYFUNCTION("""COMPUTED_VALUE"""),"TIELLY YASMIM VELOSO DE SOUZA ")</f>
        <v>TIELLY YASMIM VELOSO DE SOUZA </v>
      </c>
      <c r="B42" s="66"/>
      <c r="C42" s="67" t="str">
        <f>IFERROR(__xludf.DUMMYFUNCTION("""COMPUTED_VALUE"""),"6299327-3471")</f>
        <v>6299327-3471</v>
      </c>
      <c r="D42" s="49" t="str">
        <f>IFERROR(__xludf.DUMMYFUNCTION("""COMPUTED_VALUE"""),"RUA 04 QD.81 LT09 ST. PALMARES")</f>
        <v>RUA 04 QD.81 LT09 ST. PALMARES</v>
      </c>
      <c r="E42" s="49" t="str">
        <f>IFERROR(__xludf.DUMMYFUNCTION("""COMPUTED_VALUE"""),"Informática")</f>
        <v>Informática</v>
      </c>
    </row>
    <row r="43" ht="15.75" customHeight="1">
      <c r="A43" s="49" t="str">
        <f>IFERROR(__xludf.DUMMYFUNCTION("""COMPUTED_VALUE"""),"ANA CLARA DE SOUSA BARBOSA")</f>
        <v>ANA CLARA DE SOUSA BARBOSA</v>
      </c>
      <c r="B43" s="66">
        <f>IFERROR(__xludf.DUMMYFUNCTION("""COMPUTED_VALUE"""),39731.0)</f>
        <v>39731</v>
      </c>
      <c r="C43" s="67" t="str">
        <f>IFERROR(__xludf.DUMMYFUNCTION("""COMPUTED_VALUE"""),"62991754197")</f>
        <v>62991754197</v>
      </c>
      <c r="D43" s="49" t="str">
        <f>IFERROR(__xludf.DUMMYFUNCTION("""COMPUTED_VALUE""")," RUA: SB48 QD 56 LT 07, SÃO BERNARDO II")</f>
        <v> RUA: SB48 QD 56 LT 07, SÃO BERNARDO II</v>
      </c>
      <c r="E43" s="49" t="str">
        <f>IFERROR(__xludf.DUMMYFUNCTION("""COMPUTED_VALUE"""),"Informática")</f>
        <v>Informática</v>
      </c>
    </row>
    <row r="44" ht="15.75" customHeight="1">
      <c r="A44" s="49" t="str">
        <f>IFERROR(__xludf.DUMMYFUNCTION("""COMPUTED_VALUE"""),"STHEFANNY LAYANE DE PAULA PEREIRA")</f>
        <v>STHEFANNY LAYANE DE PAULA PEREIRA</v>
      </c>
      <c r="B44" s="66">
        <f>IFERROR(__xludf.DUMMYFUNCTION("""COMPUTED_VALUE"""),40359.0)</f>
        <v>40359</v>
      </c>
      <c r="C44" s="49" t="str">
        <f>IFERROR(__xludf.DUMMYFUNCTION("""COMPUTED_VALUE"""),"62 991550531")</f>
        <v>62 991550531</v>
      </c>
      <c r="D44" s="49" t="str">
        <f>IFERROR(__xludf.DUMMYFUNCTION("""COMPUTED_VALUE"""),"AV: JOÃO JOSE, QD 154 LT 098, MAYSA 2")</f>
        <v>AV: JOÃO JOSE, QD 154 LT 098, MAYSA 2</v>
      </c>
      <c r="E44" s="49" t="str">
        <f>IFERROR(__xludf.DUMMYFUNCTION("""COMPUTED_VALUE"""),"Informática")</f>
        <v>Informática</v>
      </c>
    </row>
    <row r="45" ht="15.75" customHeight="1">
      <c r="A45" s="49" t="str">
        <f>IFERROR(__xludf.DUMMYFUNCTION("""COMPUTED_VALUE"""),"FRANCISCO DAS CHAGAS DIAS DOS SANTOS")</f>
        <v>FRANCISCO DAS CHAGAS DIAS DOS SANTOS</v>
      </c>
      <c r="B45" s="66">
        <f>IFERROR(__xludf.DUMMYFUNCTION("""COMPUTED_VALUE"""),42102.0)</f>
        <v>42102</v>
      </c>
      <c r="C45" s="49" t="str">
        <f>IFERROR(__xludf.DUMMYFUNCTION("""COMPUTED_VALUE"""),"62 99525-6672")</f>
        <v>62 99525-6672</v>
      </c>
      <c r="D45" s="49" t="str">
        <f>IFERROR(__xludf.DUMMYFUNCTION("""COMPUTED_VALUE"""),"RUA SB62 QD 96 LT 04 SÃO BERNADO ")</f>
        <v>RUA SB62 QD 96 LT 04 SÃO BERNADO </v>
      </c>
      <c r="E45" s="49" t="str">
        <f>IFERROR(__xludf.DUMMYFUNCTION("""COMPUTED_VALUE"""),"Informática")</f>
        <v>Informática</v>
      </c>
    </row>
    <row r="46" ht="15.75" customHeight="1">
      <c r="A46" s="49" t="str">
        <f>IFERROR(__xludf.DUMMYFUNCTION("""COMPUTED_VALUE"""),"ELIZA ZAGO MENDES CARDOSO ANDRADE")</f>
        <v>ELIZA ZAGO MENDES CARDOSO ANDRADE</v>
      </c>
      <c r="B46" s="66">
        <f>IFERROR(__xludf.DUMMYFUNCTION("""COMPUTED_VALUE"""),42758.0)</f>
        <v>42758</v>
      </c>
      <c r="C46" s="49" t="str">
        <f>IFERROR(__xludf.DUMMYFUNCTION("""COMPUTED_VALUE"""),"62 995487573")</f>
        <v>62 995487573</v>
      </c>
      <c r="D46" s="49" t="str">
        <f>IFERROR(__xludf.DUMMYFUNCTION("""COMPUTED_VALUE"""),"RUA HORTENCIA QD.49 LT01 ST. PALMARES")</f>
        <v>RUA HORTENCIA QD.49 LT01 ST. PALMARES</v>
      </c>
      <c r="E46" s="49" t="str">
        <f>IFERROR(__xludf.DUMMYFUNCTION("""COMPUTED_VALUE"""),"Informática")</f>
        <v>Informática</v>
      </c>
    </row>
    <row r="47" ht="15.75" customHeight="1">
      <c r="A47" s="49" t="str">
        <f>IFERROR(__xludf.DUMMYFUNCTION("""COMPUTED_VALUE"""),"ISAAC LOPES BARBOSA")</f>
        <v>ISAAC LOPES BARBOSA</v>
      </c>
      <c r="B47" s="66">
        <f>IFERROR(__xludf.DUMMYFUNCTION("""COMPUTED_VALUE"""),42361.0)</f>
        <v>42361</v>
      </c>
      <c r="C47" s="49" t="str">
        <f>IFERROR(__xludf.DUMMYFUNCTION("""COMPUTED_VALUE"""),"62 99288-5525")</f>
        <v>62 99288-5525</v>
      </c>
      <c r="D47" s="49" t="str">
        <f>IFERROR(__xludf.DUMMYFUNCTION("""COMPUTED_VALUE"""),"RUA SB 15 QD.25 LT.37 SÃO BERNADO")</f>
        <v>RUA SB 15 QD.25 LT.37 SÃO BERNADO</v>
      </c>
      <c r="E47" s="49" t="str">
        <f>IFERROR(__xludf.DUMMYFUNCTION("""COMPUTED_VALUE"""),"Informática")</f>
        <v>Informática</v>
      </c>
    </row>
    <row r="48" ht="15.75" customHeight="1">
      <c r="A48" s="49" t="str">
        <f>IFERROR(__xludf.DUMMYFUNCTION("""COMPUTED_VALUE"""),"ISTEFANY THAMIRYS DE OLIVEIRA")</f>
        <v>ISTEFANY THAMIRYS DE OLIVEIRA</v>
      </c>
      <c r="B48" s="66">
        <f>IFERROR(__xludf.DUMMYFUNCTION("""COMPUTED_VALUE"""),39821.0)</f>
        <v>39821</v>
      </c>
      <c r="C48" s="49" t="str">
        <f>IFERROR(__xludf.DUMMYFUNCTION("""COMPUTED_VALUE"""),"62 99147-6029")</f>
        <v>62 99147-6029</v>
      </c>
      <c r="D48" s="49" t="str">
        <f>IFERROR(__xludf.DUMMYFUNCTION("""COMPUTED_VALUE"""),"RUA PRIMOLA QD. 49 LT.06 ST. PALMARES")</f>
        <v>RUA PRIMOLA QD. 49 LT.06 ST. PALMARES</v>
      </c>
      <c r="E48" s="49" t="str">
        <f>IFERROR(__xludf.DUMMYFUNCTION("""COMPUTED_VALUE"""),"Informática")</f>
        <v>Informática</v>
      </c>
    </row>
    <row r="49" ht="15.75" customHeight="1">
      <c r="A49" s="49" t="str">
        <f>IFERROR(__xludf.DUMMYFUNCTION("""COMPUTED_VALUE"""),"DELMIRO  CALIXTO DA SILVA")</f>
        <v>DELMIRO  CALIXTO DA SILVA</v>
      </c>
      <c r="B49" s="66">
        <f>IFERROR(__xludf.DUMMYFUNCTION("""COMPUTED_VALUE"""),42063.0)</f>
        <v>42063</v>
      </c>
      <c r="C49" s="49" t="str">
        <f>IFERROR(__xludf.DUMMYFUNCTION("""COMPUTED_VALUE"""),"62 99250-9273")</f>
        <v>62 99250-9273</v>
      </c>
      <c r="D49" s="49" t="str">
        <f>IFERROR(__xludf.DUMMYFUNCTION("""COMPUTED_VALUE"""),"RUA SF 77 QD.95 LT.38 SOLAR SÃO FRSNCISCO")</f>
        <v>RUA SF 77 QD.95 LT.38 SOLAR SÃO FRSNCISCO</v>
      </c>
      <c r="E49" s="49" t="str">
        <f>IFERROR(__xludf.DUMMYFUNCTION("""COMPUTED_VALUE"""),"Informática")</f>
        <v>Informática</v>
      </c>
    </row>
    <row r="50" ht="15.75" customHeight="1">
      <c r="A50" s="49" t="str">
        <f>IFERROR(__xludf.DUMMYFUNCTION("""COMPUTED_VALUE"""),"SAMUEL CALIXTO DA SILVA ")</f>
        <v>SAMUEL CALIXTO DA SILVA </v>
      </c>
      <c r="B50" s="66">
        <f>IFERROR(__xludf.DUMMYFUNCTION("""COMPUTED_VALUE"""),42623.0)</f>
        <v>42623</v>
      </c>
      <c r="C50" s="49" t="str">
        <f>IFERROR(__xludf.DUMMYFUNCTION("""COMPUTED_VALUE"""),"62 99250-9273")</f>
        <v>62 99250-9273</v>
      </c>
      <c r="D50" s="49" t="str">
        <f>IFERROR(__xludf.DUMMYFUNCTION("""COMPUTED_VALUE"""),"RUA SF77 QD.95 LT.38 SÃO FRANCISCO 2")</f>
        <v>RUA SF77 QD.95 LT.38 SÃO FRANCISCO 2</v>
      </c>
      <c r="E50" s="49" t="str">
        <f>IFERROR(__xludf.DUMMYFUNCTION("""COMPUTED_VALUE"""),"Informática")</f>
        <v>Informática</v>
      </c>
    </row>
    <row r="51" ht="15.75" customHeight="1">
      <c r="A51" s="49" t="str">
        <f>IFERROR(__xludf.DUMMYFUNCTION("""COMPUTED_VALUE"""),"HISTEFANY VITÓRIA DE OLIVEIRA VIEIRA ")</f>
        <v>HISTEFANY VITÓRIA DE OLIVEIRA VIEIRA </v>
      </c>
      <c r="B51" s="66"/>
      <c r="C51" s="49" t="str">
        <f>IFERROR(__xludf.DUMMYFUNCTION("""COMPUTED_VALUE"""),"62 99542-0681")</f>
        <v>62 99542-0681</v>
      </c>
      <c r="D51" s="49" t="str">
        <f>IFERROR(__xludf.DUMMYFUNCTION("""COMPUTED_VALUE"""),"RUA SB57 QD.100 L.10 SÃO BERNADO")</f>
        <v>RUA SB57 QD.100 L.10 SÃO BERNADO</v>
      </c>
      <c r="E51" s="49" t="str">
        <f>IFERROR(__xludf.DUMMYFUNCTION("""COMPUTED_VALUE"""),"Informática")</f>
        <v>Informática</v>
      </c>
    </row>
    <row r="52" ht="15.75" customHeight="1">
      <c r="A52" s="49" t="str">
        <f>IFERROR(__xludf.DUMMYFUNCTION("""COMPUTED_VALUE"""),"NATHALLY LOUHARA OLIVEIRA DOS SANTOS")</f>
        <v>NATHALLY LOUHARA OLIVEIRA DOS SANTOS</v>
      </c>
      <c r="B52" s="66">
        <f>IFERROR(__xludf.DUMMYFUNCTION("""COMPUTED_VALUE"""),41860.0)</f>
        <v>41860</v>
      </c>
      <c r="C52" s="49" t="str">
        <f>IFERROR(__xludf.DUMMYFUNCTION("""COMPUTED_VALUE"""),"62 98600-7584")</f>
        <v>62 98600-7584</v>
      </c>
      <c r="D52" s="49" t="str">
        <f>IFERROR(__xludf.DUMMYFUNCTION("""COMPUTED_VALUE"""),"RUA SB.47 QD.67 LT.12 SÃO BERNADO 2")</f>
        <v>RUA SB.47 QD.67 LT.12 SÃO BERNADO 2</v>
      </c>
      <c r="E52" s="49" t="str">
        <f>IFERROR(__xludf.DUMMYFUNCTION("""COMPUTED_VALUE"""),"Informática")</f>
        <v>Informática</v>
      </c>
    </row>
    <row r="53" ht="15.75" customHeight="1">
      <c r="A53" s="49" t="str">
        <f>IFERROR(__xludf.DUMMYFUNCTION("""COMPUTED_VALUE"""),"RHYANNE VICTORIA SANTANA DE BARROS")</f>
        <v>RHYANNE VICTORIA SANTANA DE BARROS</v>
      </c>
      <c r="B53" s="66">
        <f>IFERROR(__xludf.DUMMYFUNCTION("""COMPUTED_VALUE"""),40652.0)</f>
        <v>40652</v>
      </c>
      <c r="C53" s="49" t="str">
        <f>IFERROR(__xludf.DUMMYFUNCTION("""COMPUTED_VALUE"""),"62 98600-7584")</f>
        <v>62 98600-7584</v>
      </c>
      <c r="D53" s="49" t="str">
        <f>IFERROR(__xludf.DUMMYFUNCTION("""COMPUTED_VALUE"""),"RUA SB.47 QD. 67 LT. 12 SÃO BERNADO 2")</f>
        <v>RUA SB.47 QD. 67 LT. 12 SÃO BERNADO 2</v>
      </c>
      <c r="E53" s="49" t="str">
        <f>IFERROR(__xludf.DUMMYFUNCTION("""COMPUTED_VALUE"""),"Informática")</f>
        <v>Informática</v>
      </c>
    </row>
    <row r="54" ht="15.75" customHeight="1">
      <c r="A54" s="49" t="str">
        <f>IFERROR(__xludf.DUMMYFUNCTION("""COMPUTED_VALUE"""),"MARIA EDUARDO SANTANA DA SILVA ")</f>
        <v>MARIA EDUARDO SANTANA DA SILVA </v>
      </c>
      <c r="B54" s="66">
        <f>IFERROR(__xludf.DUMMYFUNCTION("""COMPUTED_VALUE"""),41194.0)</f>
        <v>41194</v>
      </c>
      <c r="C54" s="49" t="str">
        <f>IFERROR(__xludf.DUMMYFUNCTION("""COMPUTED_VALUE"""),"62 98600-0784")</f>
        <v>62 98600-0784</v>
      </c>
      <c r="D54" s="49" t="str">
        <f>IFERROR(__xludf.DUMMYFUNCTION("""COMPUTED_VALUE"""),"RUA SB47 QD. 67 LT.12 SÃO BERNARDO 2")</f>
        <v>RUA SB47 QD. 67 LT.12 SÃO BERNARDO 2</v>
      </c>
      <c r="E54" s="49" t="str">
        <f>IFERROR(__xludf.DUMMYFUNCTION("""COMPUTED_VALUE"""),"Informática")</f>
        <v>Informática</v>
      </c>
    </row>
    <row r="55" ht="15.75" customHeight="1">
      <c r="A55" s="49" t="str">
        <f>IFERROR(__xludf.DUMMYFUNCTION("""COMPUTED_VALUE"""),"ANA JÚLIA MARTINS SOUZA ")</f>
        <v>ANA JÚLIA MARTINS SOUZA </v>
      </c>
      <c r="B55" s="66">
        <f>IFERROR(__xludf.DUMMYFUNCTION("""COMPUTED_VALUE"""),41501.0)</f>
        <v>41501</v>
      </c>
      <c r="C55" s="49" t="str">
        <f>IFERROR(__xludf.DUMMYFUNCTION("""COMPUTED_VALUE"""),"62 99152-2049")</f>
        <v>62 99152-2049</v>
      </c>
      <c r="D55" s="49" t="str">
        <f>IFERROR(__xludf.DUMMYFUNCTION("""COMPUTED_VALUE"""),"RUA ALAMEDA DAS ACÁCIAS")</f>
        <v>RUA ALAMEDA DAS ACÁCIAS</v>
      </c>
      <c r="E55" s="49" t="str">
        <f>IFERROR(__xludf.DUMMYFUNCTION("""COMPUTED_VALUE"""),"Informática")</f>
        <v>Informática</v>
      </c>
    </row>
    <row r="56" ht="15.75" customHeight="1">
      <c r="A56" s="49" t="str">
        <f>IFERROR(__xludf.DUMMYFUNCTION("""COMPUTED_VALUE"""),"WENDY VICTORIA ALVES MARIANO")</f>
        <v>WENDY VICTORIA ALVES MARIANO</v>
      </c>
      <c r="B56" s="66">
        <f>IFERROR(__xludf.DUMMYFUNCTION("""COMPUTED_VALUE"""),40687.0)</f>
        <v>40687</v>
      </c>
      <c r="C56" s="49" t="str">
        <f>IFERROR(__xludf.DUMMYFUNCTION("""COMPUTED_VALUE"""),"62 99489-0949")</f>
        <v>62 99489-0949</v>
      </c>
      <c r="D56" s="49" t="str">
        <f>IFERROR(__xludf.DUMMYFUNCTION("""COMPUTED_VALUE"""),"RUA CONTORNO QD.75 LT.25 ST. PALMARES")</f>
        <v>RUA CONTORNO QD.75 LT.25 ST. PALMARES</v>
      </c>
      <c r="E56" s="49" t="str">
        <f>IFERROR(__xludf.DUMMYFUNCTION("""COMPUTED_VALUE"""),"Informática")</f>
        <v>Informática</v>
      </c>
    </row>
    <row r="57" ht="15.75" customHeight="1">
      <c r="A57" s="49" t="str">
        <f>IFERROR(__xludf.DUMMYFUNCTION("""COMPUTED_VALUE"""),"HENRY SOUZA VERAZ ")</f>
        <v>HENRY SOUZA VERAZ </v>
      </c>
      <c r="B57" s="66">
        <f>IFERROR(__xludf.DUMMYFUNCTION("""COMPUTED_VALUE"""),40031.0)</f>
        <v>40031</v>
      </c>
      <c r="C57" s="49" t="str">
        <f>IFERROR(__xludf.DUMMYFUNCTION("""COMPUTED_VALUE"""),"62 99345-2693")</f>
        <v>62 99345-2693</v>
      </c>
      <c r="D57" s="49" t="str">
        <f>IFERROR(__xludf.DUMMYFUNCTION("""COMPUTED_VALUE"""),"RUA 51 QD.59 LT.06 CASA 2 SÃO BERNADO 2")</f>
        <v>RUA 51 QD.59 LT.06 CASA 2 SÃO BERNADO 2</v>
      </c>
      <c r="E57" s="49" t="str">
        <f>IFERROR(__xludf.DUMMYFUNCTION("""COMPUTED_VALUE"""),"Informática")</f>
        <v>Informática</v>
      </c>
    </row>
    <row r="58" ht="15.75" customHeight="1">
      <c r="A58" s="49" t="str">
        <f>IFERROR(__xludf.DUMMYFUNCTION("""COMPUTED_VALUE"""),"TATYANNE PEREIRA PASSOS SILVA")</f>
        <v>TATYANNE PEREIRA PASSOS SILVA</v>
      </c>
      <c r="B58" s="66">
        <f>IFERROR(__xludf.DUMMYFUNCTION("""COMPUTED_VALUE"""),33498.0)</f>
        <v>33498</v>
      </c>
      <c r="C58" s="49" t="str">
        <f>IFERROR(__xludf.DUMMYFUNCTION("""COMPUTED_VALUE"""),"62 99414-5715")</f>
        <v>62 99414-5715</v>
      </c>
      <c r="D58" s="49" t="str">
        <f>IFERROR(__xludf.DUMMYFUNCTION("""COMPUTED_VALUE"""),"RUA SB 17 QD 18 LT.05 SOLAR DAS PAINEIRAS")</f>
        <v>RUA SB 17 QD 18 LT.05 SOLAR DAS PAINEIRAS</v>
      </c>
      <c r="E58" s="49" t="str">
        <f>IFERROR(__xludf.DUMMYFUNCTION("""COMPUTED_VALUE"""),"Informática")</f>
        <v>Informática</v>
      </c>
    </row>
    <row r="59" ht="15.75" customHeight="1">
      <c r="A59" s="49" t="str">
        <f>IFERROR(__xludf.DUMMYFUNCTION("""COMPUTED_VALUE"""),"KESIA BRASIL FERRAZ")</f>
        <v>KESIA BRASIL FERRAZ</v>
      </c>
      <c r="B59" s="66">
        <f>IFERROR(__xludf.DUMMYFUNCTION("""COMPUTED_VALUE"""),34277.0)</f>
        <v>34277</v>
      </c>
      <c r="C59" s="49" t="str">
        <f>IFERROR(__xludf.DUMMYFUNCTION("""COMPUTED_VALUE"""),"62 99277-2737")</f>
        <v>62 99277-2737</v>
      </c>
      <c r="D59" s="49" t="str">
        <f>IFERROR(__xludf.DUMMYFUNCTION("""COMPUTED_VALUE"""),"ALAMEDA DAS ACACIAS QD.36 T.21 PALMARES")</f>
        <v>ALAMEDA DAS ACACIAS QD.36 T.21 PALMARES</v>
      </c>
      <c r="E59" s="49" t="str">
        <f>IFERROR(__xludf.DUMMYFUNCTION("""COMPUTED_VALUE"""),"Informática")</f>
        <v>Informática</v>
      </c>
    </row>
    <row r="60" ht="15.75" customHeight="1">
      <c r="A60" s="49" t="str">
        <f>IFERROR(__xludf.DUMMYFUNCTION("""COMPUTED_VALUE"""),"MARIA JÚLIA REIS FEITOSA")</f>
        <v>MARIA JÚLIA REIS FEITOSA</v>
      </c>
      <c r="B60" s="66">
        <f>IFERROR(__xludf.DUMMYFUNCTION("""COMPUTED_VALUE"""),40723.0)</f>
        <v>40723</v>
      </c>
      <c r="C60" s="49" t="str">
        <f>IFERROR(__xludf.DUMMYFUNCTION("""COMPUTED_VALUE"""),"62 99203-7029")</f>
        <v>62 99203-7029</v>
      </c>
      <c r="D60" s="49" t="str">
        <f>IFERROR(__xludf.DUMMYFUNCTION("""COMPUTED_VALUE"""),"RUA SB.50 QD.58 LT.14 SÃO BERNADO")</f>
        <v>RUA SB.50 QD.58 LT.14 SÃO BERNADO</v>
      </c>
      <c r="E60" s="49" t="str">
        <f>IFERROR(__xludf.DUMMYFUNCTION("""COMPUTED_VALUE"""),"Informática")</f>
        <v>Informática</v>
      </c>
    </row>
    <row r="61" ht="15.75" customHeight="1">
      <c r="A61" s="49" t="str">
        <f>IFERROR(__xludf.DUMMYFUNCTION("""COMPUTED_VALUE"""),"KARINE MANUELY REIS DA COSTA")</f>
        <v>KARINE MANUELY REIS DA COSTA</v>
      </c>
      <c r="B61" s="66">
        <f>IFERROR(__xludf.DUMMYFUNCTION("""COMPUTED_VALUE"""),39555.0)</f>
        <v>39555</v>
      </c>
      <c r="C61" s="49" t="str">
        <f>IFERROR(__xludf.DUMMYFUNCTION("""COMPUTED_VALUE"""),"62 99203-7029")</f>
        <v>62 99203-7029</v>
      </c>
      <c r="D61" s="49" t="str">
        <f>IFERROR(__xludf.DUMMYFUNCTION("""COMPUTED_VALUE"""),"RUA SB50 QD. 58 LT14 SÃO BERNADO 2")</f>
        <v>RUA SB50 QD. 58 LT14 SÃO BERNADO 2</v>
      </c>
      <c r="E61" s="49" t="str">
        <f>IFERROR(__xludf.DUMMYFUNCTION("""COMPUTED_VALUE"""),"Informática")</f>
        <v>Informática</v>
      </c>
    </row>
    <row r="62" ht="15.75" customHeight="1">
      <c r="A62" s="49" t="str">
        <f>IFERROR(__xludf.DUMMYFUNCTION("""COMPUTED_VALUE"""),"ANA KLARA COSTA SOUZA")</f>
        <v>ANA KLARA COSTA SOUZA</v>
      </c>
      <c r="B62" s="66">
        <f>IFERROR(__xludf.DUMMYFUNCTION("""COMPUTED_VALUE"""),39456.0)</f>
        <v>39456</v>
      </c>
      <c r="C62" s="49" t="str">
        <f>IFERROR(__xludf.DUMMYFUNCTION("""COMPUTED_VALUE"""),"62 99162-6287")</f>
        <v>62 99162-6287</v>
      </c>
      <c r="D62" s="49" t="str">
        <f>IFERROR(__xludf.DUMMYFUNCTION("""COMPUTED_VALUE"""),"RUA ANGÉLICA QD.70 LT.13 PALMARES")</f>
        <v>RUA ANGÉLICA QD.70 LT.13 PALMARES</v>
      </c>
      <c r="E62" s="49" t="str">
        <f>IFERROR(__xludf.DUMMYFUNCTION("""COMPUTED_VALUE"""),"Informática")</f>
        <v>Informática</v>
      </c>
    </row>
    <row r="63" ht="15.75" customHeight="1">
      <c r="A63" s="49" t="str">
        <f>IFERROR(__xludf.DUMMYFUNCTION("""COMPUTED_VALUE"""),"JOSIANA APARECIDA MOREIRA DOS ANJOS")</f>
        <v>JOSIANA APARECIDA MOREIRA DOS ANJOS</v>
      </c>
      <c r="B63" s="66">
        <f>IFERROR(__xludf.DUMMYFUNCTION("""COMPUTED_VALUE"""),30093.0)</f>
        <v>30093</v>
      </c>
      <c r="C63" s="49" t="str">
        <f>IFERROR(__xludf.DUMMYFUNCTION("""COMPUTED_VALUE"""),"62 99303-7551")</f>
        <v>62 99303-7551</v>
      </c>
      <c r="D63" s="49" t="str">
        <f>IFERROR(__xludf.DUMMYFUNCTION("""COMPUTED_VALUE"""),"RUA SB 56 QD.108 LT 10 SÃO BERNADO 2")</f>
        <v>RUA SB 56 QD.108 LT 10 SÃO BERNADO 2</v>
      </c>
      <c r="E63" s="49" t="str">
        <f>IFERROR(__xludf.DUMMYFUNCTION("""COMPUTED_VALUE"""),"Informática")</f>
        <v>Informática</v>
      </c>
    </row>
    <row r="64" ht="15.75" customHeight="1">
      <c r="A64" s="49" t="str">
        <f>IFERROR(__xludf.DUMMYFUNCTION("""COMPUTED_VALUE"""),"YURE MOREIRA DE OLIVEIRA")</f>
        <v>YURE MOREIRA DE OLIVEIRA</v>
      </c>
      <c r="B64" s="66">
        <f>IFERROR(__xludf.DUMMYFUNCTION("""COMPUTED_VALUE"""),41470.0)</f>
        <v>41470</v>
      </c>
      <c r="C64" s="49" t="str">
        <f>IFERROR(__xludf.DUMMYFUNCTION("""COMPUTED_VALUE"""),"62 99303-7551")</f>
        <v>62 99303-7551</v>
      </c>
      <c r="D64" s="49" t="str">
        <f>IFERROR(__xludf.DUMMYFUNCTION("""COMPUTED_VALUE"""),"RUA SB 56 QD.108 LT 10 SÃO BERNADO 2")</f>
        <v>RUA SB 56 QD.108 LT 10 SÃO BERNADO 2</v>
      </c>
      <c r="E64" s="49" t="str">
        <f>IFERROR(__xludf.DUMMYFUNCTION("""COMPUTED_VALUE"""),"Informática")</f>
        <v>Informática</v>
      </c>
    </row>
    <row r="65" ht="15.75" customHeight="1">
      <c r="A65" s="49" t="str">
        <f>IFERROR(__xludf.DUMMYFUNCTION("""COMPUTED_VALUE"""),"JANAINA SANTANA DE OLIVEIRA")</f>
        <v>JANAINA SANTANA DE OLIVEIRA</v>
      </c>
      <c r="B65" s="66">
        <f>IFERROR(__xludf.DUMMYFUNCTION("""COMPUTED_VALUE"""),34612.0)</f>
        <v>34612</v>
      </c>
      <c r="C65" s="49" t="str">
        <f>IFERROR(__xludf.DUMMYFUNCTION("""COMPUTED_VALUE"""),"62 99542-0681")</f>
        <v>62 99542-0681</v>
      </c>
      <c r="D65" s="49" t="str">
        <f>IFERROR(__xludf.DUMMYFUNCTION("""COMPUTED_VALUE"""),"RUA SB. 57 QD. 100 LT 10 SÃO BERNADO ")</f>
        <v>RUA SB. 57 QD. 100 LT 10 SÃO BERNADO </v>
      </c>
      <c r="E65" s="49" t="str">
        <f>IFERROR(__xludf.DUMMYFUNCTION("""COMPUTED_VALUE"""),"Informática")</f>
        <v>Informática</v>
      </c>
    </row>
    <row r="66" ht="15.75" customHeight="1">
      <c r="A66" s="49" t="str">
        <f>IFERROR(__xludf.DUMMYFUNCTION("""COMPUTED_VALUE"""),"JOSUE NATANAEL CARVALHO DE OLIVEIRA")</f>
        <v>JOSUE NATANAEL CARVALHO DE OLIVEIRA</v>
      </c>
      <c r="B66" s="66">
        <f>IFERROR(__xludf.DUMMYFUNCTION("""COMPUTED_VALUE"""),41495.0)</f>
        <v>41495</v>
      </c>
      <c r="C66" s="49" t="str">
        <f>IFERROR(__xludf.DUMMYFUNCTION("""COMPUTED_VALUE""")," NÃO TEM")</f>
        <v> NÃO TEM</v>
      </c>
      <c r="D66" s="49" t="str">
        <f>IFERROR(__xludf.DUMMYFUNCTION("""COMPUTED_VALUE"""),"RUA DÁLIA QD.31 LT. 08 ST. PALMARES")</f>
        <v>RUA DÁLIA QD.31 LT. 08 ST. PALMARES</v>
      </c>
      <c r="E66" s="49" t="str">
        <f>IFERROR(__xludf.DUMMYFUNCTION("""COMPUTED_VALUE"""),"Informática")</f>
        <v>Informática</v>
      </c>
    </row>
    <row r="67" ht="15.75" customHeight="1">
      <c r="A67" s="49" t="str">
        <f>IFERROR(__xludf.DUMMYFUNCTION("""COMPUTED_VALUE"""),"JHENIFER SANTANA VALERIO")</f>
        <v>JHENIFER SANTANA VALERIO</v>
      </c>
      <c r="B67" s="66">
        <f>IFERROR(__xludf.DUMMYFUNCTION("""COMPUTED_VALUE"""),37987.0)</f>
        <v>37987</v>
      </c>
      <c r="C67" s="49" t="str">
        <f>IFERROR(__xludf.DUMMYFUNCTION("""COMPUTED_VALUE"""),"62 99328-1307")</f>
        <v>62 99328-1307</v>
      </c>
      <c r="D67" s="49" t="str">
        <f>IFERROR(__xludf.DUMMYFUNCTION("""COMPUTED_VALUE"""),"RUA DÁLIA QD.09 LT. 19 ST. PALMARES")</f>
        <v>RUA DÁLIA QD.09 LT. 19 ST. PALMARES</v>
      </c>
      <c r="E67" s="49" t="str">
        <f>IFERROR(__xludf.DUMMYFUNCTION("""COMPUTED_VALUE"""),"Informática")</f>
        <v>Informática</v>
      </c>
    </row>
    <row r="68" ht="15.75" customHeight="1">
      <c r="A68" s="49" t="str">
        <f>IFERROR(__xludf.DUMMYFUNCTION("""COMPUTED_VALUE"""),"LUIS SILVA SOUZA ")</f>
        <v>LUIS SILVA SOUZA </v>
      </c>
      <c r="B68" s="66">
        <f>IFERROR(__xludf.DUMMYFUNCTION("""COMPUTED_VALUE"""),29777.0)</f>
        <v>29777</v>
      </c>
      <c r="C68" s="67" t="str">
        <f>IFERROR(__xludf.DUMMYFUNCTION("""COMPUTED_VALUE"""),"62 99242-6068")</f>
        <v>62 99242-6068</v>
      </c>
      <c r="D68" s="49" t="str">
        <f>IFERROR(__xludf.DUMMYFUNCTION("""COMPUTED_VALUE"""),"RUA SB.50 QD. 57 LT.27 SÃO BERNADO 2")</f>
        <v>RUA SB.50 QD. 57 LT.27 SÃO BERNADO 2</v>
      </c>
      <c r="E68" s="49" t="str">
        <f>IFERROR(__xludf.DUMMYFUNCTION("""COMPUTED_VALUE"""),"Informática")</f>
        <v>Informática</v>
      </c>
    </row>
    <row r="69" ht="15.75" customHeight="1">
      <c r="A69" s="49" t="str">
        <f>IFERROR(__xludf.DUMMYFUNCTION("""COMPUTED_VALUE""")," MARIA VITORIA OLIVEIRA DA COSTA ")</f>
        <v> MARIA VITORIA OLIVEIRA DA COSTA </v>
      </c>
      <c r="B69" s="66">
        <f>IFERROR(__xludf.DUMMYFUNCTION("""COMPUTED_VALUE"""),38596.0)</f>
        <v>38596</v>
      </c>
      <c r="C69" s="67" t="str">
        <f>IFERROR(__xludf.DUMMYFUNCTION("""COMPUTED_VALUE"""),"62992495837")</f>
        <v>62992495837</v>
      </c>
      <c r="D69" s="49" t="str">
        <f>IFERROR(__xludf.DUMMYFUNCTION("""COMPUTED_VALUE"""),"RUA PAPULA QD 38 LT 15 PALMARES")</f>
        <v>RUA PAPULA QD 38 LT 15 PALMARES</v>
      </c>
      <c r="E69" s="49" t="str">
        <f>IFERROR(__xludf.DUMMYFUNCTION("""COMPUTED_VALUE"""),"Informática")</f>
        <v>Informática</v>
      </c>
    </row>
    <row r="70" ht="15.75" customHeight="1">
      <c r="A70" s="49" t="str">
        <f>IFERROR(__xludf.DUMMYFUNCTION("""COMPUTED_VALUE"""),"CHAUANE SANTOS ")</f>
        <v>CHAUANE SANTOS </v>
      </c>
      <c r="B70" s="66">
        <f>IFERROR(__xludf.DUMMYFUNCTION("""COMPUTED_VALUE"""),37477.0)</f>
        <v>37477</v>
      </c>
      <c r="C70" s="67" t="str">
        <f>IFERROR(__xludf.DUMMYFUNCTION("""COMPUTED_VALUE"""),"629937719")</f>
        <v>629937719</v>
      </c>
      <c r="D70" s="49" t="str">
        <f>IFERROR(__xludf.DUMMYFUNCTION("""COMPUTED_VALUE"""),"AV: SÃO BERNARDO QD 63 LT 26 SÃO BERNARDO")</f>
        <v>AV: SÃO BERNARDO QD 63 LT 26 SÃO BERNARDO</v>
      </c>
      <c r="E70" s="49" t="str">
        <f>IFERROR(__xludf.DUMMYFUNCTION("""COMPUTED_VALUE"""),"Informática")</f>
        <v>Informática</v>
      </c>
    </row>
    <row r="71" ht="15.75" customHeight="1">
      <c r="A71" s="49" t="str">
        <f>IFERROR(__xludf.DUMMYFUNCTION("""COMPUTED_VALUE"""),"ADAN MILENA NUNES BANDEIRA")</f>
        <v>ADAN MILENA NUNES BANDEIRA</v>
      </c>
      <c r="B71" s="66">
        <f>IFERROR(__xludf.DUMMYFUNCTION("""COMPUTED_VALUE"""),40087.0)</f>
        <v>40087</v>
      </c>
      <c r="C71" s="67" t="str">
        <f>IFERROR(__xludf.DUMMYFUNCTION("""COMPUTED_VALUE"""),"62992878539")</f>
        <v>62992878539</v>
      </c>
      <c r="D71" s="49" t="str">
        <f>IFERROR(__xludf.DUMMYFUNCTION("""COMPUTED_VALUE"""),"RUA JUCELANDIO QD 127 LT 20 MAYSA 2")</f>
        <v>RUA JUCELANDIO QD 127 LT 20 MAYSA 2</v>
      </c>
      <c r="E71" s="49" t="str">
        <f>IFERROR(__xludf.DUMMYFUNCTION("""COMPUTED_VALUE"""),"Informática")</f>
        <v>Informática</v>
      </c>
    </row>
    <row r="72" ht="15.75" customHeight="1">
      <c r="A72" s="49" t="str">
        <f>IFERROR(__xludf.DUMMYFUNCTION("""COMPUTED_VALUE"""),"ADALBERTO GUILHERME NUNES BANDEIRA ")</f>
        <v>ADALBERTO GUILHERME NUNES BANDEIRA </v>
      </c>
      <c r="B72" s="66">
        <f>IFERROR(__xludf.DUMMYFUNCTION("""COMPUTED_VALUE"""),41338.0)</f>
        <v>41338</v>
      </c>
      <c r="C72" s="67" t="str">
        <f>IFERROR(__xludf.DUMMYFUNCTION("""COMPUTED_VALUE"""),"62992878539")</f>
        <v>62992878539</v>
      </c>
      <c r="D72" s="49" t="str">
        <f>IFERROR(__xludf.DUMMYFUNCTION("""COMPUTED_VALUE"""),"RUA JUCELANDIO QD 127 LT 20 MAYSA 2")</f>
        <v>RUA JUCELANDIO QD 127 LT 20 MAYSA 2</v>
      </c>
      <c r="E72" s="49" t="str">
        <f>IFERROR(__xludf.DUMMYFUNCTION("""COMPUTED_VALUE"""),"Informática")</f>
        <v>Informática</v>
      </c>
    </row>
    <row r="73" ht="15.75" customHeight="1">
      <c r="A73" s="49" t="str">
        <f>IFERROR(__xludf.DUMMYFUNCTION("""COMPUTED_VALUE"""),"ARTHUR ROBERTO NUNES BANDEIRA ")</f>
        <v>ARTHUR ROBERTO NUNES BANDEIRA </v>
      </c>
      <c r="B73" s="66">
        <f>IFERROR(__xludf.DUMMYFUNCTION("""COMPUTED_VALUE"""),42166.0)</f>
        <v>42166</v>
      </c>
      <c r="C73" s="67" t="str">
        <f>IFERROR(__xludf.DUMMYFUNCTION("""COMPUTED_VALUE"""),"62992878539")</f>
        <v>62992878539</v>
      </c>
      <c r="D73" s="49" t="str">
        <f>IFERROR(__xludf.DUMMYFUNCTION("""COMPUTED_VALUE"""),"RUA JUCELANDIA QD 127 LT 20 MAYSA 2")</f>
        <v>RUA JUCELANDIA QD 127 LT 20 MAYSA 2</v>
      </c>
      <c r="E73" s="49" t="str">
        <f>IFERROR(__xludf.DUMMYFUNCTION("""COMPUTED_VALUE"""),"Informática")</f>
        <v>Informática</v>
      </c>
    </row>
    <row r="74" ht="15.75" customHeight="1">
      <c r="A74" s="49" t="str">
        <f>IFERROR(__xludf.DUMMYFUNCTION("""COMPUTED_VALUE"""),"MARIA SILVANDIRA ALVES DOS SANTOS ")</f>
        <v>MARIA SILVANDIRA ALVES DOS SANTOS </v>
      </c>
      <c r="B74" s="66">
        <f>IFERROR(__xludf.DUMMYFUNCTION("""COMPUTED_VALUE"""),27548.0)</f>
        <v>27548</v>
      </c>
      <c r="C74" s="67" t="str">
        <f>IFERROR(__xludf.DUMMYFUNCTION("""COMPUTED_VALUE"""),"62991329400")</f>
        <v>62991329400</v>
      </c>
      <c r="D74" s="49" t="str">
        <f>IFERROR(__xludf.DUMMYFUNCTION("""COMPUTED_VALUE"""),"ALAMEDA DAS ACACIAS PALMARES ")</f>
        <v>ALAMEDA DAS ACACIAS PALMARES </v>
      </c>
      <c r="E74" s="49" t="str">
        <f>IFERROR(__xludf.DUMMYFUNCTION("""COMPUTED_VALUE"""),"Informática")</f>
        <v>Informática</v>
      </c>
    </row>
    <row r="75" ht="15.75" customHeight="1">
      <c r="A75" s="49" t="str">
        <f>IFERROR(__xludf.DUMMYFUNCTION("""COMPUTED_VALUE"""),"MARIA EDUARDA DA COSTA ")</f>
        <v>MARIA EDUARDA DA COSTA </v>
      </c>
      <c r="B75" s="66">
        <f>IFERROR(__xludf.DUMMYFUNCTION("""COMPUTED_VALUE"""),37438.0)</f>
        <v>37438</v>
      </c>
      <c r="C75" s="67" t="str">
        <f>IFERROR(__xludf.DUMMYFUNCTION("""COMPUTED_VALUE"""),"62991329400")</f>
        <v>62991329400</v>
      </c>
      <c r="D75" s="49" t="str">
        <f>IFERROR(__xludf.DUMMYFUNCTION("""COMPUTED_VALUE"""),"ALAMEDA DAS ACACIAS PALMARES ")</f>
        <v>ALAMEDA DAS ACACIAS PALMARES </v>
      </c>
      <c r="E75" s="49" t="str">
        <f>IFERROR(__xludf.DUMMYFUNCTION("""COMPUTED_VALUE"""),"Informática")</f>
        <v>Informática</v>
      </c>
    </row>
    <row r="76" ht="15.75" customHeight="1">
      <c r="A76" s="49" t="str">
        <f>IFERROR(__xludf.DUMMYFUNCTION("""COMPUTED_VALUE"""),"SANDY APARECIDA MARTINS ")</f>
        <v>SANDY APARECIDA MARTINS </v>
      </c>
      <c r="B76" s="66">
        <f>IFERROR(__xludf.DUMMYFUNCTION("""COMPUTED_VALUE"""),36966.0)</f>
        <v>36966</v>
      </c>
      <c r="C76" s="67" t="str">
        <f>IFERROR(__xludf.DUMMYFUNCTION("""COMPUTED_VALUE"""),"62994559185")</f>
        <v>62994559185</v>
      </c>
      <c r="D76" s="49" t="str">
        <f>IFERROR(__xludf.DUMMYFUNCTION("""COMPUTED_VALUE"""),"RUA ALAMEDA DAS ACÁCIAS PALMARES ")</f>
        <v>RUA ALAMEDA DAS ACÁCIAS PALMARES </v>
      </c>
      <c r="E76" s="49" t="str">
        <f>IFERROR(__xludf.DUMMYFUNCTION("""COMPUTED_VALUE"""),"Informática")</f>
        <v>Informática</v>
      </c>
    </row>
    <row r="77" ht="15.75" customHeight="1">
      <c r="A77" s="49" t="str">
        <f>IFERROR(__xludf.DUMMYFUNCTION("""COMPUTED_VALUE"""),"BRUNA GABRIELLY DA SILVA MELO MEIRELES ")</f>
        <v>BRUNA GABRIELLY DA SILVA MELO MEIRELES </v>
      </c>
      <c r="B77" s="66">
        <f>IFERROR(__xludf.DUMMYFUNCTION("""COMPUTED_VALUE"""),40018.0)</f>
        <v>40018</v>
      </c>
      <c r="C77" s="67" t="str">
        <f>IFERROR(__xludf.DUMMYFUNCTION("""COMPUTED_VALUE"""),"62994044550")</f>
        <v>62994044550</v>
      </c>
      <c r="D77" s="49" t="str">
        <f>IFERROR(__xludf.DUMMYFUNCTION("""COMPUTED_VALUE"""),"RUA LUIZ TAVARES LINS QD 74 LT 29 PALMARES")</f>
        <v>RUA LUIZ TAVARES LINS QD 74 LT 29 PALMARES</v>
      </c>
      <c r="E77" s="49" t="str">
        <f>IFERROR(__xludf.DUMMYFUNCTION("""COMPUTED_VALUE"""),"Informática")</f>
        <v>Informática</v>
      </c>
    </row>
    <row r="78" ht="15.75" customHeight="1">
      <c r="A78" s="49" t="str">
        <f>IFERROR(__xludf.DUMMYFUNCTION("""COMPUTED_VALUE"""),"JULINHA TEIXEIRA ")</f>
        <v>JULINHA TEIXEIRA </v>
      </c>
      <c r="B78" s="66">
        <f>IFERROR(__xludf.DUMMYFUNCTION("""COMPUTED_VALUE"""),27421.0)</f>
        <v>27421</v>
      </c>
      <c r="C78" s="67" t="str">
        <f>IFERROR(__xludf.DUMMYFUNCTION("""COMPUTED_VALUE"""),"62992320189")</f>
        <v>62992320189</v>
      </c>
      <c r="D78" s="49" t="str">
        <f>IFERROR(__xludf.DUMMYFUNCTION("""COMPUTED_VALUE"""),"RUA SF 73 QD 91 LT 25 SÃO FRANCISCO")</f>
        <v>RUA SF 73 QD 91 LT 25 SÃO FRANCISCO</v>
      </c>
      <c r="E78" s="49" t="str">
        <f>IFERROR(__xludf.DUMMYFUNCTION("""COMPUTED_VALUE"""),"Informática")</f>
        <v>Informática</v>
      </c>
    </row>
    <row r="79" ht="15.75" customHeight="1">
      <c r="A79" s="49" t="str">
        <f>IFERROR(__xludf.DUMMYFUNCTION("""COMPUTED_VALUE"""),"KETHELLLIN RAUANE DO CARMO SANTANA")</f>
        <v>KETHELLLIN RAUANE DO CARMO SANTANA</v>
      </c>
      <c r="B79" s="66">
        <f>IFERROR(__xludf.DUMMYFUNCTION("""COMPUTED_VALUE"""),41423.0)</f>
        <v>41423</v>
      </c>
      <c r="C79" s="67"/>
      <c r="D79" s="49" t="str">
        <f>IFERROR(__xludf.DUMMYFUNCTION("""COMPUTED_VALUE"""),"RUA SB 47 QD 69 LT 38 SÃO BERNARDO")</f>
        <v>RUA SB 47 QD 69 LT 38 SÃO BERNARDO</v>
      </c>
      <c r="E79" s="49" t="str">
        <f>IFERROR(__xludf.DUMMYFUNCTION("""COMPUTED_VALUE"""),"Informática")</f>
        <v>Informática</v>
      </c>
    </row>
    <row r="80" ht="15.75" customHeight="1">
      <c r="A80" s="49" t="str">
        <f>IFERROR(__xludf.DUMMYFUNCTION("""COMPUTED_VALUE"""),"MARIA EDUARDA FERREIRA DE ALMEIDA")</f>
        <v>MARIA EDUARDA FERREIRA DE ALMEIDA</v>
      </c>
      <c r="B80" s="66"/>
      <c r="C80" s="67" t="str">
        <f>IFERROR(__xludf.DUMMYFUNCTION("""COMPUTED_VALUE"""),"6295735136")</f>
        <v>6295735136</v>
      </c>
      <c r="D80" s="49" t="str">
        <f>IFERROR(__xludf.DUMMYFUNCTION("""COMPUTED_VALUE"""),"RUA 1 QD 79 LT 03 PALMARES")</f>
        <v>RUA 1 QD 79 LT 03 PALMARES</v>
      </c>
      <c r="E80" s="49" t="str">
        <f>IFERROR(__xludf.DUMMYFUNCTION("""COMPUTED_VALUE"""),"Informática")</f>
        <v>Informática</v>
      </c>
    </row>
    <row r="81" ht="15.75" customHeight="1">
      <c r="A81" s="49" t="str">
        <f>IFERROR(__xludf.DUMMYFUNCTION("""COMPUTED_VALUE"""),"MARIA EDUARDA SILVA SANTOS")</f>
        <v>MARIA EDUARDA SILVA SANTOS</v>
      </c>
      <c r="B81" s="66">
        <f>IFERROR(__xludf.DUMMYFUNCTION("""COMPUTED_VALUE"""),39642.0)</f>
        <v>39642</v>
      </c>
      <c r="C81" s="67" t="str">
        <f>IFERROR(__xludf.DUMMYFUNCTION("""COMPUTED_VALUE"""),"62995315031")</f>
        <v>62995315031</v>
      </c>
      <c r="D81" s="49" t="str">
        <f>IFERROR(__xludf.DUMMYFUNCTION("""COMPUTED_VALUE"""),"ALAMEDA DAS ACACIAS QD 64 LT 01 PALMARES")</f>
        <v>ALAMEDA DAS ACACIAS QD 64 LT 01 PALMARES</v>
      </c>
      <c r="E81" s="49" t="str">
        <f>IFERROR(__xludf.DUMMYFUNCTION("""COMPUTED_VALUE"""),"Informática")</f>
        <v>Informática</v>
      </c>
    </row>
    <row r="82" ht="15.75" customHeight="1">
      <c r="A82" s="49" t="str">
        <f>IFERROR(__xludf.DUMMYFUNCTION("""COMPUTED_VALUE"""),"CARLOS DAVI PEREIRA DE PAIVA")</f>
        <v>CARLOS DAVI PEREIRA DE PAIVA</v>
      </c>
      <c r="B82" s="66">
        <f>IFERROR(__xludf.DUMMYFUNCTION("""COMPUTED_VALUE"""),40434.0)</f>
        <v>40434</v>
      </c>
      <c r="C82" s="67" t="str">
        <f>IFERROR(__xludf.DUMMYFUNCTION("""COMPUTED_VALUE"""),"62995712356")</f>
        <v>62995712356</v>
      </c>
      <c r="D82" s="49" t="str">
        <f>IFERROR(__xludf.DUMMYFUNCTION("""COMPUTED_VALUE"""),"RUA SB 63 QD 86 L9  SÃO BERNARDO 2")</f>
        <v>RUA SB 63 QD 86 L9  SÃO BERNARDO 2</v>
      </c>
      <c r="E82" s="49" t="str">
        <f>IFERROR(__xludf.DUMMYFUNCTION("""COMPUTED_VALUE"""),"Informática")</f>
        <v>Informática</v>
      </c>
    </row>
    <row r="83" ht="15.75" customHeight="1">
      <c r="A83" s="49" t="str">
        <f>IFERROR(__xludf.DUMMYFUNCTION("""COMPUTED_VALUE"""),"RAYSSA KETLEY MONTEIRO DA TRINDADE")</f>
        <v>RAYSSA KETLEY MONTEIRO DA TRINDADE</v>
      </c>
      <c r="B83" s="66">
        <f>IFERROR(__xludf.DUMMYFUNCTION("""COMPUTED_VALUE"""),43741.0)</f>
        <v>43741</v>
      </c>
      <c r="C83" s="67" t="str">
        <f>IFERROR(__xludf.DUMMYFUNCTION("""COMPUTED_VALUE"""),"62991193810")</f>
        <v>62991193810</v>
      </c>
      <c r="D83" s="49" t="str">
        <f>IFERROR(__xludf.DUMMYFUNCTION("""COMPUTED_VALUE"""),"RUA SB 55 QD 104 LT 03 SÃO BERNARDO 2")</f>
        <v>RUA SB 55 QD 104 LT 03 SÃO BERNARDO 2</v>
      </c>
      <c r="E83" s="49" t="str">
        <f>IFERROR(__xludf.DUMMYFUNCTION("""COMPUTED_VALUE"""),"Informática")</f>
        <v>Informática</v>
      </c>
    </row>
    <row r="84" ht="15.75" customHeight="1">
      <c r="A84" s="49" t="str">
        <f>IFERROR(__xludf.DUMMYFUNCTION("""COMPUTED_VALUE"""),"ANA VITÓRIA MARTINS SOUZA")</f>
        <v>ANA VITÓRIA MARTINS SOUZA</v>
      </c>
      <c r="B84" s="66">
        <f>IFERROR(__xludf.DUMMYFUNCTION("""COMPUTED_VALUE"""),41570.0)</f>
        <v>41570</v>
      </c>
      <c r="C84" s="67" t="str">
        <f>IFERROR(__xludf.DUMMYFUNCTION("""COMPUTED_VALUE"""),"62991520849")</f>
        <v>62991520849</v>
      </c>
      <c r="D84" s="49" t="str">
        <f>IFERROR(__xludf.DUMMYFUNCTION("""COMPUTED_VALUE"""),"RUA ALAMEDA DAS ACACIAS PALMARES")</f>
        <v>RUA ALAMEDA DAS ACACIAS PALMARES</v>
      </c>
      <c r="E84" s="49" t="str">
        <f>IFERROR(__xludf.DUMMYFUNCTION("""COMPUTED_VALUE"""),"Informática")</f>
        <v>Informática</v>
      </c>
    </row>
    <row r="85" ht="15.75" customHeight="1">
      <c r="A85" s="49" t="str">
        <f>IFERROR(__xludf.DUMMYFUNCTION("""COMPUTED_VALUE"""),"LUZ FELIPE MARTINS SOUZA")</f>
        <v>LUZ FELIPE MARTINS SOUZA</v>
      </c>
      <c r="B85" s="66">
        <f>IFERROR(__xludf.DUMMYFUNCTION("""COMPUTED_VALUE"""),40375.0)</f>
        <v>40375</v>
      </c>
      <c r="C85" s="67" t="str">
        <f>IFERROR(__xludf.DUMMYFUNCTION("""COMPUTED_VALUE"""),"62991520849")</f>
        <v>62991520849</v>
      </c>
      <c r="D85" s="49" t="str">
        <f>IFERROR(__xludf.DUMMYFUNCTION("""COMPUTED_VALUE"""),"RUA ALAMEDA DAS ACACIAS PALMARES")</f>
        <v>RUA ALAMEDA DAS ACACIAS PALMARES</v>
      </c>
      <c r="E85" s="49" t="str">
        <f>IFERROR(__xludf.DUMMYFUNCTION("""COMPUTED_VALUE"""),"Informática")</f>
        <v>Informática</v>
      </c>
    </row>
    <row r="86" ht="15.75" customHeight="1">
      <c r="A86" s="49" t="str">
        <f>IFERROR(__xludf.DUMMYFUNCTION("""COMPUTED_VALUE"""),"ROBERT GOMES VALE JUNIOR ")</f>
        <v>ROBERT GOMES VALE JUNIOR </v>
      </c>
      <c r="B86" s="66">
        <f>IFERROR(__xludf.DUMMYFUNCTION("""COMPUTED_VALUE"""),42341.0)</f>
        <v>42341</v>
      </c>
      <c r="C86" s="67" t="str">
        <f>IFERROR(__xludf.DUMMYFUNCTION("""COMPUTED_VALUE"""),"6292037029")</f>
        <v>6292037029</v>
      </c>
      <c r="D86" s="49" t="str">
        <f>IFERROR(__xludf.DUMMYFUNCTION("""COMPUTED_VALUE"""),"RUA SB 50 QD 58 LT14 SÃO BERNARDO")</f>
        <v>RUA SB 50 QD 58 LT14 SÃO BERNARDO</v>
      </c>
      <c r="E86" s="49" t="str">
        <f>IFERROR(__xludf.DUMMYFUNCTION("""COMPUTED_VALUE"""),"Informática")</f>
        <v>Informática</v>
      </c>
    </row>
    <row r="87" ht="15.75" customHeight="1">
      <c r="A87" s="49" t="str">
        <f>IFERROR(__xludf.DUMMYFUNCTION("""COMPUTED_VALUE"""),"JAKELINE ALVES DOS SANTOS")</f>
        <v>JAKELINE ALVES DOS SANTOS</v>
      </c>
      <c r="B87" s="66"/>
      <c r="C87" s="67" t="str">
        <f>IFERROR(__xludf.DUMMYFUNCTION("""COMPUTED_VALUE"""),"62994814818")</f>
        <v>62994814818</v>
      </c>
      <c r="D87" s="49" t="str">
        <f>IFERROR(__xludf.DUMMYFUNCTION("""COMPUTED_VALUE"""),"RUA DAS VIOLETAS QD 32 LT 23 PALMARES")</f>
        <v>RUA DAS VIOLETAS QD 32 LT 23 PALMARES</v>
      </c>
      <c r="E87" s="49" t="str">
        <f>IFERROR(__xludf.DUMMYFUNCTION("""COMPUTED_VALUE"""),"Informática")</f>
        <v>Informática</v>
      </c>
    </row>
    <row r="88" ht="15.75" customHeight="1">
      <c r="A88" s="49" t="str">
        <f>IFERROR(__xludf.DUMMYFUNCTION("""COMPUTED_VALUE"""),"NATHALIA DA COSTA VIANA")</f>
        <v>NATHALIA DA COSTA VIANA</v>
      </c>
      <c r="B88" s="66">
        <f>IFERROR(__xludf.DUMMYFUNCTION("""COMPUTED_VALUE"""),41564.0)</f>
        <v>41564</v>
      </c>
      <c r="C88" s="67" t="str">
        <f>IFERROR(__xludf.DUMMYFUNCTION("""COMPUTED_VALUE"""),"62 991981294")</f>
        <v>62 991981294</v>
      </c>
      <c r="D88" s="49" t="str">
        <f>IFERROR(__xludf.DUMMYFUNCTION("""COMPUTED_VALUE"""),"RUA SB40 QD 68 LT 20, SÃO BERNARDO II")</f>
        <v>RUA SB40 QD 68 LT 20, SÃO BERNARDO II</v>
      </c>
      <c r="E88" s="49" t="str">
        <f>IFERROR(__xludf.DUMMYFUNCTION("""COMPUTED_VALUE"""),"Informática")</f>
        <v>Informática</v>
      </c>
    </row>
    <row r="89" ht="15.75" customHeight="1">
      <c r="A89" s="49" t="str">
        <f>IFERROR(__xludf.DUMMYFUNCTION("""COMPUTED_VALUE"""),"MIRELA LIMA SOUSA")</f>
        <v>MIRELA LIMA SOUSA</v>
      </c>
      <c r="B89" s="66">
        <f>IFERROR(__xludf.DUMMYFUNCTION("""COMPUTED_VALUE"""),40988.0)</f>
        <v>40988</v>
      </c>
      <c r="C89" s="67" t="str">
        <f>IFERROR(__xludf.DUMMYFUNCTION("""COMPUTED_VALUE"""),"62995440053")</f>
        <v>62995440053</v>
      </c>
      <c r="D89" s="49" t="str">
        <f>IFERROR(__xludf.DUMMYFUNCTION("""COMPUTED_VALUE"""),"RUA SB 48QD 67 LT 28")</f>
        <v>RUA SB 48QD 67 LT 28</v>
      </c>
      <c r="E89" s="49" t="str">
        <f>IFERROR(__xludf.DUMMYFUNCTION("""COMPUTED_VALUE"""),"Informática")</f>
        <v>Informática</v>
      </c>
    </row>
    <row r="90" ht="15.75" customHeight="1">
      <c r="A90" s="49" t="str">
        <f>IFERROR(__xludf.DUMMYFUNCTION("""COMPUTED_VALUE"""),"LARIANE SUELLEN PANTOJA DE SOUSA")</f>
        <v>LARIANE SUELLEN PANTOJA DE SOUSA</v>
      </c>
      <c r="B90" s="66">
        <f>IFERROR(__xludf.DUMMYFUNCTION("""COMPUTED_VALUE"""),34643.0)</f>
        <v>34643</v>
      </c>
      <c r="C90" s="67" t="str">
        <f>IFERROR(__xludf.DUMMYFUNCTION("""COMPUTED_VALUE"""),"62995247550")</f>
        <v>62995247550</v>
      </c>
      <c r="D90" s="49" t="str">
        <f>IFERROR(__xludf.DUMMYFUNCTION("""COMPUTED_VALUE"""),"RUA SB 48 QD 67 LT 28 SÃO BERNARDO")</f>
        <v>RUA SB 48 QD 67 LT 28 SÃO BERNARDO</v>
      </c>
      <c r="E90" s="49" t="str">
        <f>IFERROR(__xludf.DUMMYFUNCTION("""COMPUTED_VALUE"""),"Informática")</f>
        <v>Informática</v>
      </c>
    </row>
    <row r="91" ht="15.75" customHeight="1">
      <c r="A91" s="49" t="str">
        <f>IFERROR(__xludf.DUMMYFUNCTION("""COMPUTED_VALUE"""),"KETHELLYN RAYANE DO CARMO SANTANA")</f>
        <v>KETHELLYN RAYANE DO CARMO SANTANA</v>
      </c>
      <c r="B91" s="66">
        <f>IFERROR(__xludf.DUMMYFUNCTION("""COMPUTED_VALUE"""),41423.0)</f>
        <v>41423</v>
      </c>
      <c r="C91" s="67" t="str">
        <f>IFERROR(__xludf.DUMMYFUNCTION("""COMPUTED_VALUE"""),"62993203890")</f>
        <v>62993203890</v>
      </c>
      <c r="D91" s="49" t="str">
        <f>IFERROR(__xludf.DUMMYFUNCTION("""COMPUTED_VALUE"""),"RUA SB 47 QD 69 LT 38 SÃO BERNARDO")</f>
        <v>RUA SB 47 QD 69 LT 38 SÃO BERNARDO</v>
      </c>
      <c r="E91" s="49" t="str">
        <f>IFERROR(__xludf.DUMMYFUNCTION("""COMPUTED_VALUE"""),"Informática")</f>
        <v>Informática</v>
      </c>
    </row>
    <row r="92" ht="15.75" customHeight="1">
      <c r="A92" s="49" t="str">
        <f>IFERROR(__xludf.DUMMYFUNCTION("""COMPUTED_VALUE"""),"ANA GOMES SILVA DAS NEVES")</f>
        <v>ANA GOMES SILVA DAS NEVES</v>
      </c>
      <c r="B92" s="66">
        <f>IFERROR(__xludf.DUMMYFUNCTION("""COMPUTED_VALUE"""),20960.0)</f>
        <v>20960</v>
      </c>
      <c r="C92" s="67" t="str">
        <f>IFERROR(__xludf.DUMMYFUNCTION("""COMPUTED_VALUE"""),"62984592391")</f>
        <v>62984592391</v>
      </c>
      <c r="D92" s="49" t="str">
        <f>IFERROR(__xludf.DUMMYFUNCTION("""COMPUTED_VALUE"""),"RUA SF 80 QD 111 LT 12 SÃO FRANCISCO")</f>
        <v>RUA SF 80 QD 111 LT 12 SÃO FRANCISCO</v>
      </c>
      <c r="E92" s="49" t="str">
        <f>IFERROR(__xludf.DUMMYFUNCTION("""COMPUTED_VALUE"""),"Informática")</f>
        <v>Informática</v>
      </c>
    </row>
    <row r="93" ht="15.75" customHeight="1">
      <c r="A93" s="68" t="str">
        <f>IFERROR(__xludf.DUMMYFUNCTION("""COMPUTED_VALUE"""),"ANDREI DAS NEVES SOUZA")</f>
        <v>ANDREI DAS NEVES SOUZA</v>
      </c>
      <c r="B93" s="69">
        <f>IFERROR(__xludf.DUMMYFUNCTION("""COMPUTED_VALUE"""),41685.0)</f>
        <v>41685</v>
      </c>
      <c r="C93" s="70" t="str">
        <f>IFERROR(__xludf.DUMMYFUNCTION("""COMPUTED_VALUE"""),"62984592391")</f>
        <v>62984592391</v>
      </c>
      <c r="D93" s="68" t="str">
        <f>IFERROR(__xludf.DUMMYFUNCTION("""COMPUTED_VALUE"""),"RUA SF 80 QD 111 LT 12 SÃO FRANCISCO")</f>
        <v>RUA SF 80 QD 111 LT 12 SÃO FRANCISCO</v>
      </c>
      <c r="E93" s="68" t="str">
        <f>IFERROR(__xludf.DUMMYFUNCTION("""COMPUTED_VALUE"""),"Informática")</f>
        <v>Informática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B1">
      <formula1>"Informática,Natação,Hidroginastica,Karatê,Funcional,Dança,Fisioterapia,Bombeiro Mirim,Capoeira"</formula1>
    </dataValidation>
  </dataValidations>
  <drawing r:id="rId1"/>
</worksheet>
</file>