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enja\Documents\TUD\DSE\sinkorporated\"/>
    </mc:Choice>
  </mc:AlternateContent>
  <xr:revisionPtr revIDLastSave="0" documentId="13_ncr:1_{4E845EA4-1A24-495D-A9D7-1DCCEDCD561D}" xr6:coauthVersionLast="43" xr6:coauthVersionMax="43" xr10:uidLastSave="{00000000-0000-0000-0000-000000000000}"/>
  <bookViews>
    <workbookView xWindow="-108" yWindow="-108" windowWidth="23256" windowHeight="12576" tabRatio="678" firstSheet="3" activeTab="7" xr2:uid="{00000000-000D-0000-FFFF-FFFF00000000}"/>
  </bookViews>
  <sheets>
    <sheet name="6 bladed propeller Aquila" sheetId="1" r:id="rId1"/>
    <sheet name="Propeller" sheetId="10" r:id="rId2"/>
    <sheet name="6 bladed propeller ATR-72" sheetId="7" r:id="rId3"/>
    <sheet name="8 bladed propeller" sheetId="3" r:id="rId4"/>
    <sheet name="Approach Aquila" sheetId="2" r:id="rId5"/>
    <sheet name="Approach" sheetId="8" r:id="rId6"/>
    <sheet name="Fly-over Aquila" sheetId="5" r:id="rId7"/>
    <sheet name="Fly-over" sheetId="9" r:id="rId8"/>
    <sheet name="Approach ATR 72" sheetId="4" r:id="rId9"/>
    <sheet name="Fly-over ATR 72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5" i="7" l="1"/>
  <c r="D74" i="7"/>
  <c r="D73" i="7"/>
  <c r="D72" i="7"/>
  <c r="D71" i="7"/>
  <c r="D70" i="7"/>
  <c r="B70" i="7"/>
  <c r="D69" i="7"/>
  <c r="B69" i="7"/>
  <c r="B52" i="7"/>
  <c r="B50" i="7"/>
  <c r="B47" i="7"/>
  <c r="B22" i="7"/>
  <c r="B24" i="7" s="1"/>
  <c r="B17" i="7"/>
  <c r="B49" i="7" s="1"/>
  <c r="B16" i="7"/>
  <c r="B21" i="7" s="1"/>
  <c r="B10" i="7"/>
  <c r="B11" i="7" s="1"/>
  <c r="B7" i="7"/>
  <c r="B52" i="1"/>
  <c r="B10" i="1"/>
  <c r="B17" i="1"/>
  <c r="B54" i="7" l="1"/>
  <c r="B56" i="7" s="1"/>
  <c r="E56" i="7" s="1"/>
  <c r="D33" i="7"/>
  <c r="D32" i="7"/>
  <c r="D30" i="7"/>
  <c r="D28" i="7"/>
  <c r="D26" i="7"/>
  <c r="D24" i="7"/>
  <c r="D27" i="7"/>
  <c r="D25" i="7"/>
  <c r="D31" i="7"/>
  <c r="D29" i="7"/>
  <c r="B65" i="7"/>
  <c r="E65" i="7" s="1"/>
  <c r="B63" i="7"/>
  <c r="E63" i="7" s="1"/>
  <c r="B61" i="7"/>
  <c r="E61" i="7" s="1"/>
  <c r="B59" i="7"/>
  <c r="E59" i="7" s="1"/>
  <c r="B57" i="7"/>
  <c r="E57" i="7" s="1"/>
  <c r="E24" i="7"/>
  <c r="B27" i="7"/>
  <c r="E27" i="7" s="1"/>
  <c r="B32" i="7"/>
  <c r="E32" i="7" s="1"/>
  <c r="B30" i="7"/>
  <c r="E30" i="7" s="1"/>
  <c r="B28" i="7"/>
  <c r="E28" i="7" s="1"/>
  <c r="B26" i="7"/>
  <c r="E26" i="7" s="1"/>
  <c r="B29" i="7"/>
  <c r="E29" i="7" s="1"/>
  <c r="B33" i="7"/>
  <c r="E33" i="7" s="1"/>
  <c r="B64" i="7"/>
  <c r="E64" i="7" s="1"/>
  <c r="B62" i="7"/>
  <c r="E62" i="7" s="1"/>
  <c r="B60" i="7"/>
  <c r="E60" i="7" s="1"/>
  <c r="B58" i="7"/>
  <c r="E58" i="7" s="1"/>
  <c r="B31" i="7"/>
  <c r="E31" i="7" s="1"/>
  <c r="B25" i="7"/>
  <c r="E25" i="7" s="1"/>
  <c r="B48" i="7"/>
  <c r="B53" i="7" s="1"/>
  <c r="F42" i="6"/>
  <c r="Z34" i="6" s="1"/>
  <c r="F41" i="6"/>
  <c r="AC37" i="6"/>
  <c r="F37" i="6"/>
  <c r="F46" i="6" s="1"/>
  <c r="AC36" i="6"/>
  <c r="AC35" i="6"/>
  <c r="AC34" i="6"/>
  <c r="AC33" i="6"/>
  <c r="AC32" i="6"/>
  <c r="AC31" i="6"/>
  <c r="AC30" i="6"/>
  <c r="X30" i="6"/>
  <c r="AC29" i="6"/>
  <c r="AC28" i="6"/>
  <c r="AC27" i="6"/>
  <c r="X35" i="6"/>
  <c r="H28" i="6"/>
  <c r="H29" i="6" s="1"/>
  <c r="AC26" i="6"/>
  <c r="V26" i="6"/>
  <c r="J26" i="6"/>
  <c r="H26" i="6"/>
  <c r="F26" i="6"/>
  <c r="AC25" i="6"/>
  <c r="F25" i="6"/>
  <c r="F29" i="6" s="1"/>
  <c r="F30" i="6" s="1"/>
  <c r="AC24" i="6"/>
  <c r="T24" i="6"/>
  <c r="F24" i="6"/>
  <c r="AC23" i="6"/>
  <c r="AC22" i="6"/>
  <c r="J22" i="6"/>
  <c r="H22" i="6"/>
  <c r="F22" i="6"/>
  <c r="AC21" i="6"/>
  <c r="X21" i="6"/>
  <c r="AC20" i="6"/>
  <c r="AC19" i="6"/>
  <c r="AC18" i="6"/>
  <c r="B18" i="6"/>
  <c r="AC17" i="6"/>
  <c r="B17" i="6"/>
  <c r="AC16" i="6"/>
  <c r="AC15" i="6"/>
  <c r="J15" i="6"/>
  <c r="AC14" i="6"/>
  <c r="B14" i="6"/>
  <c r="AC13" i="6"/>
  <c r="V13" i="6"/>
  <c r="AC12" i="6"/>
  <c r="X12" i="6"/>
  <c r="T12" i="6"/>
  <c r="AC11" i="6"/>
  <c r="X11" i="6"/>
  <c r="B11" i="6"/>
  <c r="J9" i="6" s="1"/>
  <c r="J10" i="6" s="1"/>
  <c r="AC10" i="6"/>
  <c r="V10" i="6"/>
  <c r="AC9" i="6"/>
  <c r="X9" i="6"/>
  <c r="T9" i="6"/>
  <c r="H9" i="6"/>
  <c r="H10" i="6" s="1"/>
  <c r="P9" i="6" s="1"/>
  <c r="AC8" i="6"/>
  <c r="X8" i="6"/>
  <c r="T8" i="6"/>
  <c r="AC7" i="6"/>
  <c r="X7" i="6"/>
  <c r="J7" i="6"/>
  <c r="H7" i="6"/>
  <c r="F7" i="6"/>
  <c r="B1" i="6"/>
  <c r="B3" i="6" s="1"/>
  <c r="B18" i="5"/>
  <c r="N39" i="5" s="1"/>
  <c r="F42" i="5"/>
  <c r="F41" i="5"/>
  <c r="AC37" i="5"/>
  <c r="F37" i="5"/>
  <c r="F46" i="5" s="1"/>
  <c r="AC36" i="5"/>
  <c r="AC35" i="5"/>
  <c r="AC34" i="5"/>
  <c r="AC33" i="5"/>
  <c r="AC32" i="5"/>
  <c r="AC31" i="5"/>
  <c r="AC30" i="5"/>
  <c r="AC29" i="5"/>
  <c r="AC28" i="5"/>
  <c r="AC27" i="5"/>
  <c r="J27" i="5"/>
  <c r="H27" i="5"/>
  <c r="AC26" i="5"/>
  <c r="J26" i="5"/>
  <c r="J31" i="5" s="1"/>
  <c r="H26" i="5"/>
  <c r="F26" i="5"/>
  <c r="AC25" i="5"/>
  <c r="F25" i="5"/>
  <c r="T34" i="5" s="1"/>
  <c r="AC24" i="5"/>
  <c r="F24" i="5"/>
  <c r="AC23" i="5"/>
  <c r="AC22" i="5"/>
  <c r="Z22" i="5"/>
  <c r="J22" i="5"/>
  <c r="H22" i="5"/>
  <c r="H31" i="5" s="1"/>
  <c r="F22" i="5"/>
  <c r="F32" i="5" s="1"/>
  <c r="AC21" i="5"/>
  <c r="AC20" i="5"/>
  <c r="AC19" i="5"/>
  <c r="X19" i="5"/>
  <c r="AC18" i="5"/>
  <c r="AC17" i="5"/>
  <c r="T17" i="5"/>
  <c r="B17" i="5"/>
  <c r="AC16" i="5"/>
  <c r="X16" i="5"/>
  <c r="AC15" i="5"/>
  <c r="T15" i="5"/>
  <c r="AC14" i="5"/>
  <c r="X14" i="5"/>
  <c r="B14" i="5"/>
  <c r="Z32" i="5" s="1"/>
  <c r="AC13" i="5"/>
  <c r="AC12" i="5"/>
  <c r="AC11" i="5"/>
  <c r="B11" i="5"/>
  <c r="AC10" i="5"/>
  <c r="X10" i="5"/>
  <c r="V10" i="5"/>
  <c r="AC9" i="5"/>
  <c r="Z9" i="5"/>
  <c r="X9" i="5"/>
  <c r="J9" i="5"/>
  <c r="J10" i="5" s="1"/>
  <c r="H9" i="5"/>
  <c r="H10" i="5" s="1"/>
  <c r="F9" i="5"/>
  <c r="F10" i="5" s="1"/>
  <c r="AC8" i="5"/>
  <c r="X8" i="5"/>
  <c r="AC7" i="5"/>
  <c r="J7" i="5"/>
  <c r="H7" i="5"/>
  <c r="H16" i="5" s="1"/>
  <c r="F7" i="5"/>
  <c r="B1" i="5"/>
  <c r="B3" i="5" s="1"/>
  <c r="F42" i="4"/>
  <c r="F41" i="4"/>
  <c r="AC37" i="4"/>
  <c r="F37" i="4"/>
  <c r="F46" i="4" s="1"/>
  <c r="AC36" i="4"/>
  <c r="AC35" i="4"/>
  <c r="AC34" i="4"/>
  <c r="AC33" i="4"/>
  <c r="AC32" i="4"/>
  <c r="AC31" i="4"/>
  <c r="AC30" i="4"/>
  <c r="AC29" i="4"/>
  <c r="AC28" i="4"/>
  <c r="AC27" i="4"/>
  <c r="AC26" i="4"/>
  <c r="J26" i="4"/>
  <c r="H26" i="4"/>
  <c r="F26" i="4"/>
  <c r="AC25" i="4"/>
  <c r="F25" i="4"/>
  <c r="AC24" i="4"/>
  <c r="AC23" i="4"/>
  <c r="AC22" i="4"/>
  <c r="J22" i="4"/>
  <c r="J31" i="4" s="1"/>
  <c r="H22" i="4"/>
  <c r="H31" i="4" s="1"/>
  <c r="F22" i="4"/>
  <c r="AC21" i="4"/>
  <c r="AC20" i="4"/>
  <c r="AC19" i="4"/>
  <c r="AC18" i="4"/>
  <c r="AC17" i="4"/>
  <c r="B17" i="4"/>
  <c r="AC16" i="4"/>
  <c r="AC15" i="4"/>
  <c r="AC14" i="4"/>
  <c r="B14" i="4"/>
  <c r="V27" i="4" s="1"/>
  <c r="AC13" i="4"/>
  <c r="AC12" i="4"/>
  <c r="AC11" i="4"/>
  <c r="B11" i="4"/>
  <c r="J9" i="4" s="1"/>
  <c r="J10" i="4" s="1"/>
  <c r="J13" i="4" s="1"/>
  <c r="J14" i="4" s="1"/>
  <c r="AC10" i="4"/>
  <c r="AC9" i="4"/>
  <c r="AC8" i="4"/>
  <c r="AC7" i="4"/>
  <c r="J7" i="4"/>
  <c r="H7" i="4"/>
  <c r="F7" i="4"/>
  <c r="B1" i="4"/>
  <c r="B3" i="4" s="1"/>
  <c r="F9" i="2"/>
  <c r="F7" i="2"/>
  <c r="B17" i="2"/>
  <c r="D74" i="1"/>
  <c r="B11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7" i="2"/>
  <c r="F22" i="2"/>
  <c r="F42" i="2"/>
  <c r="F41" i="2"/>
  <c r="J27" i="2"/>
  <c r="J26" i="2"/>
  <c r="J31" i="2" s="1"/>
  <c r="H27" i="2"/>
  <c r="H26" i="2"/>
  <c r="H31" i="2" s="1"/>
  <c r="J22" i="2"/>
  <c r="F37" i="2"/>
  <c r="H22" i="2"/>
  <c r="F25" i="2"/>
  <c r="F26" i="2"/>
  <c r="F24" i="2" s="1"/>
  <c r="F32" i="2" s="1"/>
  <c r="J7" i="2"/>
  <c r="H7" i="2"/>
  <c r="F27" i="7" l="1"/>
  <c r="Z10" i="6"/>
  <c r="Z13" i="6"/>
  <c r="F11" i="2"/>
  <c r="F9" i="4"/>
  <c r="F10" i="4" s="1"/>
  <c r="N10" i="4" s="1"/>
  <c r="V8" i="6"/>
  <c r="V9" i="6"/>
  <c r="V12" i="6"/>
  <c r="V16" i="6"/>
  <c r="V19" i="6"/>
  <c r="Z25" i="6"/>
  <c r="Z35" i="6"/>
  <c r="Z27" i="6"/>
  <c r="Z19" i="6"/>
  <c r="X22" i="6"/>
  <c r="F11" i="5"/>
  <c r="H9" i="4"/>
  <c r="V8" i="5"/>
  <c r="V21" i="5"/>
  <c r="H28" i="5"/>
  <c r="H29" i="5" s="1"/>
  <c r="T7" i="6"/>
  <c r="Z8" i="6"/>
  <c r="Z9" i="6"/>
  <c r="T11" i="6"/>
  <c r="U11" i="6" s="1"/>
  <c r="Z12" i="6"/>
  <c r="F14" i="6"/>
  <c r="F31" i="6"/>
  <c r="X28" i="6"/>
  <c r="X32" i="6"/>
  <c r="X36" i="6"/>
  <c r="X37" i="5"/>
  <c r="Z36" i="5"/>
  <c r="V7" i="6"/>
  <c r="V11" i="6"/>
  <c r="V14" i="6"/>
  <c r="Z17" i="6"/>
  <c r="H31" i="6"/>
  <c r="F9" i="6"/>
  <c r="F10" i="6" s="1"/>
  <c r="N14" i="6" s="1"/>
  <c r="T10" i="6"/>
  <c r="T13" i="6"/>
  <c r="U13" i="6" s="1"/>
  <c r="J31" i="6"/>
  <c r="T33" i="6"/>
  <c r="Z7" i="6"/>
  <c r="Z11" i="6"/>
  <c r="T29" i="6"/>
  <c r="F46" i="2"/>
  <c r="H15" i="5"/>
  <c r="F31" i="5"/>
  <c r="X10" i="6"/>
  <c r="X13" i="6"/>
  <c r="Y13" i="6" s="1"/>
  <c r="Z15" i="6"/>
  <c r="V18" i="6"/>
  <c r="F32" i="6"/>
  <c r="F25" i="7"/>
  <c r="C38" i="7" s="1"/>
  <c r="D38" i="7" s="1"/>
  <c r="J16" i="5"/>
  <c r="D64" i="7"/>
  <c r="F64" i="7" s="1"/>
  <c r="D62" i="7"/>
  <c r="F62" i="7" s="1"/>
  <c r="D60" i="7"/>
  <c r="F60" i="7" s="1"/>
  <c r="D58" i="7"/>
  <c r="F58" i="7" s="1"/>
  <c r="D56" i="7"/>
  <c r="F56" i="7" s="1"/>
  <c r="C69" i="7" s="1"/>
  <c r="E69" i="7" s="1"/>
  <c r="D65" i="7"/>
  <c r="F65" i="7" s="1"/>
  <c r="D63" i="7"/>
  <c r="F63" i="7" s="1"/>
  <c r="D61" i="7"/>
  <c r="F61" i="7" s="1"/>
  <c r="D59" i="7"/>
  <c r="F59" i="7" s="1"/>
  <c r="D57" i="7"/>
  <c r="F57" i="7" s="1"/>
  <c r="C70" i="7" s="1"/>
  <c r="E70" i="7" s="1"/>
  <c r="F70" i="7" s="1"/>
  <c r="F24" i="7"/>
  <c r="C37" i="7" s="1"/>
  <c r="D37" i="7" s="1"/>
  <c r="F28" i="7"/>
  <c r="F26" i="7"/>
  <c r="D39" i="7" s="1"/>
  <c r="F30" i="7"/>
  <c r="F29" i="7"/>
  <c r="F32" i="7"/>
  <c r="F31" i="7"/>
  <c r="F33" i="7"/>
  <c r="V37" i="6"/>
  <c r="W37" i="6" s="1"/>
  <c r="T20" i="6"/>
  <c r="T27" i="6"/>
  <c r="U27" i="6" s="1"/>
  <c r="T21" i="6"/>
  <c r="U21" i="6" s="1"/>
  <c r="V23" i="6"/>
  <c r="T31" i="6"/>
  <c r="Y11" i="6"/>
  <c r="J16" i="6"/>
  <c r="R27" i="6"/>
  <c r="S27" i="6" s="1"/>
  <c r="R17" i="6"/>
  <c r="R34" i="6"/>
  <c r="S34" i="6" s="1"/>
  <c r="R15" i="6"/>
  <c r="S15" i="6" s="1"/>
  <c r="R25" i="6"/>
  <c r="S25" i="6" s="1"/>
  <c r="N23" i="6"/>
  <c r="H16" i="6"/>
  <c r="N16" i="6"/>
  <c r="F11" i="6"/>
  <c r="O36" i="6" s="1"/>
  <c r="N22" i="6"/>
  <c r="N12" i="6"/>
  <c r="O12" i="6" s="1"/>
  <c r="N36" i="6"/>
  <c r="N32" i="6"/>
  <c r="N30" i="6"/>
  <c r="N28" i="6"/>
  <c r="F12" i="6"/>
  <c r="F13" i="6" s="1"/>
  <c r="N9" i="6"/>
  <c r="N19" i="6"/>
  <c r="N7" i="6"/>
  <c r="O7" i="6" s="1"/>
  <c r="N35" i="6"/>
  <c r="N11" i="6"/>
  <c r="N37" i="6"/>
  <c r="N34" i="6"/>
  <c r="N25" i="6"/>
  <c r="N17" i="6"/>
  <c r="O17" i="6" s="1"/>
  <c r="N15" i="6"/>
  <c r="N27" i="6"/>
  <c r="N21" i="6"/>
  <c r="N13" i="6"/>
  <c r="N33" i="6"/>
  <c r="N31" i="6"/>
  <c r="N29" i="6"/>
  <c r="N24" i="6"/>
  <c r="N20" i="6"/>
  <c r="N10" i="6"/>
  <c r="N8" i="6"/>
  <c r="P35" i="6"/>
  <c r="P11" i="6"/>
  <c r="P34" i="6"/>
  <c r="P25" i="6"/>
  <c r="P17" i="6"/>
  <c r="P15" i="6"/>
  <c r="P27" i="6"/>
  <c r="P21" i="6"/>
  <c r="P13" i="6"/>
  <c r="P33" i="6"/>
  <c r="P31" i="6"/>
  <c r="P29" i="6"/>
  <c r="P24" i="6"/>
  <c r="P20" i="6"/>
  <c r="P10" i="6"/>
  <c r="P8" i="6"/>
  <c r="P30" i="6"/>
  <c r="P19" i="6"/>
  <c r="P7" i="6"/>
  <c r="H13" i="6"/>
  <c r="H14" i="6" s="1"/>
  <c r="P37" i="6"/>
  <c r="P26" i="6"/>
  <c r="P23" i="6"/>
  <c r="P18" i="6"/>
  <c r="P16" i="6"/>
  <c r="P14" i="6"/>
  <c r="P22" i="6"/>
  <c r="P12" i="6"/>
  <c r="P36" i="6"/>
  <c r="P32" i="6"/>
  <c r="N26" i="6"/>
  <c r="AA7" i="6"/>
  <c r="AA25" i="6"/>
  <c r="S17" i="6"/>
  <c r="N18" i="6"/>
  <c r="F33" i="6"/>
  <c r="F34" i="6" s="1"/>
  <c r="Y28" i="6"/>
  <c r="U10" i="6"/>
  <c r="Y21" i="6"/>
  <c r="U12" i="6"/>
  <c r="Y8" i="6"/>
  <c r="Y9" i="6"/>
  <c r="U8" i="6"/>
  <c r="Y10" i="6"/>
  <c r="U9" i="6"/>
  <c r="Y7" i="6"/>
  <c r="Y30" i="6"/>
  <c r="U29" i="6"/>
  <c r="U20" i="6"/>
  <c r="Y36" i="6"/>
  <c r="U33" i="6"/>
  <c r="U24" i="6"/>
  <c r="Y22" i="6"/>
  <c r="Y12" i="6"/>
  <c r="Y32" i="6"/>
  <c r="U31" i="6"/>
  <c r="Y35" i="6"/>
  <c r="P28" i="6"/>
  <c r="U7" i="6"/>
  <c r="R9" i="6"/>
  <c r="S9" i="6" s="1"/>
  <c r="J13" i="6"/>
  <c r="J14" i="6" s="1"/>
  <c r="J17" i="6" s="1"/>
  <c r="J18" i="6" s="1"/>
  <c r="X14" i="6"/>
  <c r="Y14" i="6" s="1"/>
  <c r="H15" i="6"/>
  <c r="Q23" i="6" s="1"/>
  <c r="T15" i="6"/>
  <c r="U15" i="6" s="1"/>
  <c r="X16" i="6"/>
  <c r="Y16" i="6" s="1"/>
  <c r="T17" i="6"/>
  <c r="U17" i="6" s="1"/>
  <c r="X18" i="6"/>
  <c r="Y18" i="6" s="1"/>
  <c r="V20" i="6"/>
  <c r="X23" i="6"/>
  <c r="Y23" i="6" s="1"/>
  <c r="V24" i="6"/>
  <c r="T25" i="6"/>
  <c r="U25" i="6" s="1"/>
  <c r="X26" i="6"/>
  <c r="Y26" i="6" s="1"/>
  <c r="R28" i="6"/>
  <c r="S28" i="6" s="1"/>
  <c r="Z28" i="6"/>
  <c r="V29" i="6"/>
  <c r="R30" i="6"/>
  <c r="S30" i="6" s="1"/>
  <c r="Z30" i="6"/>
  <c r="V31" i="6"/>
  <c r="R32" i="6"/>
  <c r="S32" i="6" s="1"/>
  <c r="Z32" i="6"/>
  <c r="V33" i="6"/>
  <c r="T34" i="6"/>
  <c r="U34" i="6" s="1"/>
  <c r="R36" i="6"/>
  <c r="S36" i="6" s="1"/>
  <c r="Z36" i="6"/>
  <c r="X37" i="6"/>
  <c r="Y37" i="6" s="1"/>
  <c r="N39" i="6"/>
  <c r="F43" i="6"/>
  <c r="F44" i="6" s="1"/>
  <c r="R11" i="6"/>
  <c r="S11" i="6" s="1"/>
  <c r="R35" i="6"/>
  <c r="S35" i="6" s="1"/>
  <c r="R12" i="6"/>
  <c r="S12" i="6" s="1"/>
  <c r="X19" i="6"/>
  <c r="Y19" i="6" s="1"/>
  <c r="V21" i="6"/>
  <c r="R22" i="6"/>
  <c r="S22" i="6" s="1"/>
  <c r="Z22" i="6"/>
  <c r="V27" i="6"/>
  <c r="W29" i="6"/>
  <c r="T35" i="6"/>
  <c r="U35" i="6" s="1"/>
  <c r="R14" i="6"/>
  <c r="S14" i="6" s="1"/>
  <c r="Z14" i="6"/>
  <c r="V15" i="6"/>
  <c r="R16" i="6"/>
  <c r="S16" i="6" s="1"/>
  <c r="Z16" i="6"/>
  <c r="V17" i="6"/>
  <c r="W17" i="6" s="1"/>
  <c r="R18" i="6"/>
  <c r="S18" i="6" s="1"/>
  <c r="Z18" i="6"/>
  <c r="X20" i="6"/>
  <c r="Y20" i="6" s="1"/>
  <c r="R23" i="6"/>
  <c r="S23" i="6" s="1"/>
  <c r="Z23" i="6"/>
  <c r="X24" i="6"/>
  <c r="Y24" i="6" s="1"/>
  <c r="V25" i="6"/>
  <c r="R26" i="6"/>
  <c r="S26" i="6" s="1"/>
  <c r="Z26" i="6"/>
  <c r="T28" i="6"/>
  <c r="U28" i="6" s="1"/>
  <c r="X29" i="6"/>
  <c r="Y29" i="6" s="1"/>
  <c r="H30" i="6"/>
  <c r="W8" i="6" s="1"/>
  <c r="T30" i="6"/>
  <c r="U30" i="6" s="1"/>
  <c r="X31" i="6"/>
  <c r="Y31" i="6" s="1"/>
  <c r="T32" i="6"/>
  <c r="U32" i="6" s="1"/>
  <c r="X33" i="6"/>
  <c r="Y33" i="6" s="1"/>
  <c r="V34" i="6"/>
  <c r="T36" i="6"/>
  <c r="U36" i="6" s="1"/>
  <c r="R37" i="6"/>
  <c r="S37" i="6" s="1"/>
  <c r="Z37" i="6"/>
  <c r="F45" i="6"/>
  <c r="R19" i="6"/>
  <c r="S19" i="6" s="1"/>
  <c r="T22" i="6"/>
  <c r="U22" i="6" s="1"/>
  <c r="X27" i="6"/>
  <c r="Y27" i="6" s="1"/>
  <c r="J28" i="6"/>
  <c r="J29" i="6" s="1"/>
  <c r="J32" i="6" s="1"/>
  <c r="J33" i="6" s="1"/>
  <c r="J30" i="6"/>
  <c r="V35" i="6"/>
  <c r="W14" i="6"/>
  <c r="R7" i="6"/>
  <c r="S7" i="6" s="1"/>
  <c r="R8" i="6"/>
  <c r="S8" i="6" s="1"/>
  <c r="R10" i="6"/>
  <c r="S10" i="6" s="1"/>
  <c r="T14" i="6"/>
  <c r="U14" i="6" s="1"/>
  <c r="X15" i="6"/>
  <c r="Y15" i="6" s="1"/>
  <c r="T16" i="6"/>
  <c r="U16" i="6" s="1"/>
  <c r="X17" i="6"/>
  <c r="Y17" i="6" s="1"/>
  <c r="T18" i="6"/>
  <c r="U18" i="6" s="1"/>
  <c r="R20" i="6"/>
  <c r="S20" i="6" s="1"/>
  <c r="Z20" i="6"/>
  <c r="T23" i="6"/>
  <c r="U23" i="6" s="1"/>
  <c r="R24" i="6"/>
  <c r="S24" i="6" s="1"/>
  <c r="Z24" i="6"/>
  <c r="X25" i="6"/>
  <c r="Y25" i="6" s="1"/>
  <c r="T26" i="6"/>
  <c r="U26" i="6" s="1"/>
  <c r="V28" i="6"/>
  <c r="R29" i="6"/>
  <c r="S29" i="6" s="1"/>
  <c r="Z29" i="6"/>
  <c r="V30" i="6"/>
  <c r="R31" i="6"/>
  <c r="S31" i="6" s="1"/>
  <c r="Z31" i="6"/>
  <c r="AA31" i="6" s="1"/>
  <c r="V32" i="6"/>
  <c r="W32" i="6" s="1"/>
  <c r="R33" i="6"/>
  <c r="S33" i="6" s="1"/>
  <c r="Z33" i="6"/>
  <c r="X34" i="6"/>
  <c r="Y34" i="6" s="1"/>
  <c r="V36" i="6"/>
  <c r="T37" i="6"/>
  <c r="U37" i="6" s="1"/>
  <c r="W9" i="6"/>
  <c r="R13" i="6"/>
  <c r="S13" i="6" s="1"/>
  <c r="T19" i="6"/>
  <c r="U19" i="6" s="1"/>
  <c r="R21" i="6"/>
  <c r="S21" i="6" s="1"/>
  <c r="Z21" i="6"/>
  <c r="V22" i="6"/>
  <c r="N33" i="5"/>
  <c r="N31" i="5"/>
  <c r="N29" i="5"/>
  <c r="N24" i="5"/>
  <c r="N20" i="5"/>
  <c r="N7" i="5"/>
  <c r="N19" i="5"/>
  <c r="N16" i="5"/>
  <c r="N14" i="5"/>
  <c r="O14" i="5" s="1"/>
  <c r="N37" i="5"/>
  <c r="O37" i="5" s="1"/>
  <c r="N26" i="5"/>
  <c r="N23" i="5"/>
  <c r="N18" i="5"/>
  <c r="O18" i="5" s="1"/>
  <c r="N12" i="5"/>
  <c r="N27" i="5"/>
  <c r="N21" i="5"/>
  <c r="N8" i="5"/>
  <c r="N22" i="5"/>
  <c r="O22" i="5" s="1"/>
  <c r="F12" i="5"/>
  <c r="F13" i="5" s="1"/>
  <c r="N9" i="5"/>
  <c r="N36" i="5"/>
  <c r="O36" i="5" s="1"/>
  <c r="N32" i="5"/>
  <c r="N30" i="5"/>
  <c r="O30" i="5" s="1"/>
  <c r="N28" i="5"/>
  <c r="N11" i="5"/>
  <c r="O11" i="5" s="1"/>
  <c r="N35" i="5"/>
  <c r="O35" i="5" s="1"/>
  <c r="N17" i="5"/>
  <c r="N15" i="5"/>
  <c r="N10" i="5"/>
  <c r="N34" i="5"/>
  <c r="N25" i="5"/>
  <c r="N13" i="5"/>
  <c r="P37" i="5"/>
  <c r="Q37" i="5" s="1"/>
  <c r="P26" i="5"/>
  <c r="Q26" i="5" s="1"/>
  <c r="P23" i="5"/>
  <c r="Q23" i="5" s="1"/>
  <c r="P18" i="5"/>
  <c r="H13" i="5"/>
  <c r="H14" i="5" s="1"/>
  <c r="P12" i="5"/>
  <c r="P22" i="5"/>
  <c r="P9" i="5"/>
  <c r="Q9" i="5" s="1"/>
  <c r="P36" i="5"/>
  <c r="Q36" i="5" s="1"/>
  <c r="P32" i="5"/>
  <c r="Q32" i="5" s="1"/>
  <c r="P30" i="5"/>
  <c r="Q30" i="5" s="1"/>
  <c r="P28" i="5"/>
  <c r="P11" i="5"/>
  <c r="Q11" i="5" s="1"/>
  <c r="P35" i="5"/>
  <c r="P17" i="5"/>
  <c r="Q17" i="5" s="1"/>
  <c r="P15" i="5"/>
  <c r="Q15" i="5" s="1"/>
  <c r="P19" i="5"/>
  <c r="Q19" i="5" s="1"/>
  <c r="P34" i="5"/>
  <c r="Q34" i="5" s="1"/>
  <c r="P25" i="5"/>
  <c r="Q25" i="5" s="1"/>
  <c r="P13" i="5"/>
  <c r="P27" i="5"/>
  <c r="Q27" i="5" s="1"/>
  <c r="P21" i="5"/>
  <c r="P10" i="5"/>
  <c r="Q10" i="5" s="1"/>
  <c r="P8" i="5"/>
  <c r="Q8" i="5" s="1"/>
  <c r="P16" i="5"/>
  <c r="Q16" i="5" s="1"/>
  <c r="P33" i="5"/>
  <c r="Q33" i="5" s="1"/>
  <c r="P31" i="5"/>
  <c r="Q31" i="5" s="1"/>
  <c r="P29" i="5"/>
  <c r="P24" i="5"/>
  <c r="Q24" i="5" s="1"/>
  <c r="P20" i="5"/>
  <c r="P7" i="5"/>
  <c r="Q7" i="5" s="1"/>
  <c r="P14" i="5"/>
  <c r="Q14" i="5" s="1"/>
  <c r="Q22" i="5"/>
  <c r="Q28" i="5"/>
  <c r="Q12" i="5"/>
  <c r="Q35" i="5"/>
  <c r="Q13" i="5"/>
  <c r="Q21" i="5"/>
  <c r="Q29" i="5"/>
  <c r="Q20" i="5"/>
  <c r="Q18" i="5"/>
  <c r="H17" i="5"/>
  <c r="H18" i="5" s="1"/>
  <c r="R36" i="5"/>
  <c r="R32" i="5"/>
  <c r="R30" i="5"/>
  <c r="R28" i="5"/>
  <c r="R11" i="5"/>
  <c r="R9" i="5"/>
  <c r="R35" i="5"/>
  <c r="R17" i="5"/>
  <c r="R15" i="5"/>
  <c r="R34" i="5"/>
  <c r="R25" i="5"/>
  <c r="R13" i="5"/>
  <c r="R27" i="5"/>
  <c r="R21" i="5"/>
  <c r="R10" i="5"/>
  <c r="R8" i="5"/>
  <c r="R33" i="5"/>
  <c r="R31" i="5"/>
  <c r="R29" i="5"/>
  <c r="R24" i="5"/>
  <c r="R20" i="5"/>
  <c r="R7" i="5"/>
  <c r="R19" i="5"/>
  <c r="R16" i="5"/>
  <c r="R14" i="5"/>
  <c r="R22" i="5"/>
  <c r="R37" i="5"/>
  <c r="R26" i="5"/>
  <c r="R23" i="5"/>
  <c r="R18" i="5"/>
  <c r="R12" i="5"/>
  <c r="J13" i="5"/>
  <c r="J14" i="5" s="1"/>
  <c r="X7" i="5"/>
  <c r="Y7" i="5" s="1"/>
  <c r="T11" i="5"/>
  <c r="U11" i="5" s="1"/>
  <c r="Z12" i="5"/>
  <c r="V13" i="5"/>
  <c r="Y14" i="5"/>
  <c r="J15" i="5"/>
  <c r="U15" i="5"/>
  <c r="Y16" i="5"/>
  <c r="U17" i="5"/>
  <c r="Z18" i="5"/>
  <c r="Y19" i="5"/>
  <c r="X20" i="5"/>
  <c r="Y20" i="5" s="1"/>
  <c r="Z23" i="5"/>
  <c r="X24" i="5"/>
  <c r="V25" i="5"/>
  <c r="Z26" i="5"/>
  <c r="T28" i="5"/>
  <c r="X29" i="5"/>
  <c r="Y29" i="5" s="1"/>
  <c r="H30" i="5"/>
  <c r="T30" i="5"/>
  <c r="U30" i="5" s="1"/>
  <c r="X31" i="5"/>
  <c r="Y31" i="5" s="1"/>
  <c r="T32" i="5"/>
  <c r="U32" i="5" s="1"/>
  <c r="X33" i="5"/>
  <c r="Y33" i="5" s="1"/>
  <c r="V34" i="5"/>
  <c r="T36" i="5"/>
  <c r="U36" i="5" s="1"/>
  <c r="Z37" i="5"/>
  <c r="U34" i="5"/>
  <c r="T35" i="5"/>
  <c r="U35" i="5" s="1"/>
  <c r="T9" i="5"/>
  <c r="U9" i="5" s="1"/>
  <c r="Z14" i="5"/>
  <c r="V15" i="5"/>
  <c r="Z16" i="5"/>
  <c r="V17" i="5"/>
  <c r="Z19" i="5"/>
  <c r="X21" i="5"/>
  <c r="Y21" i="5" s="1"/>
  <c r="T22" i="5"/>
  <c r="U22" i="5" s="1"/>
  <c r="Y24" i="5"/>
  <c r="X27" i="5"/>
  <c r="Y27" i="5" s="1"/>
  <c r="J28" i="5"/>
  <c r="J29" i="5" s="1"/>
  <c r="U28" i="5"/>
  <c r="J30" i="5"/>
  <c r="O34" i="5"/>
  <c r="V35" i="5"/>
  <c r="F43" i="5"/>
  <c r="F44" i="5" s="1"/>
  <c r="V27" i="5"/>
  <c r="Z7" i="5"/>
  <c r="Y8" i="5"/>
  <c r="Y10" i="5"/>
  <c r="V11" i="5"/>
  <c r="T12" i="5"/>
  <c r="U12" i="5" s="1"/>
  <c r="X13" i="5"/>
  <c r="Y13" i="5" s="1"/>
  <c r="F14" i="5"/>
  <c r="O27" i="5" s="1"/>
  <c r="O15" i="5"/>
  <c r="T18" i="5"/>
  <c r="U18" i="5" s="1"/>
  <c r="Z20" i="5"/>
  <c r="T23" i="5"/>
  <c r="U23" i="5" s="1"/>
  <c r="Z24" i="5"/>
  <c r="X25" i="5"/>
  <c r="Y25" i="5" s="1"/>
  <c r="T26" i="5"/>
  <c r="U26" i="5" s="1"/>
  <c r="V28" i="5"/>
  <c r="Z29" i="5"/>
  <c r="V30" i="5"/>
  <c r="Z31" i="5"/>
  <c r="V32" i="5"/>
  <c r="Z33" i="5"/>
  <c r="X34" i="5"/>
  <c r="Y34" i="5" s="1"/>
  <c r="V36" i="5"/>
  <c r="T37" i="5"/>
  <c r="U37" i="5" s="1"/>
  <c r="Z8" i="5"/>
  <c r="V9" i="5"/>
  <c r="Z10" i="5"/>
  <c r="T14" i="5"/>
  <c r="U14" i="5" s="1"/>
  <c r="X15" i="5"/>
  <c r="Y15" i="5" s="1"/>
  <c r="T16" i="5"/>
  <c r="U16" i="5" s="1"/>
  <c r="X17" i="5"/>
  <c r="Y17" i="5" s="1"/>
  <c r="T19" i="5"/>
  <c r="U19" i="5" s="1"/>
  <c r="Z21" i="5"/>
  <c r="V22" i="5"/>
  <c r="Z27" i="5"/>
  <c r="AA27" i="5" s="1"/>
  <c r="F29" i="5"/>
  <c r="F30" i="5" s="1"/>
  <c r="F33" i="5" s="1"/>
  <c r="F34" i="5" s="1"/>
  <c r="O32" i="5"/>
  <c r="X35" i="5"/>
  <c r="F45" i="5"/>
  <c r="AA9" i="5" s="1"/>
  <c r="Y37" i="5"/>
  <c r="T7" i="5"/>
  <c r="U7" i="5" s="1"/>
  <c r="O9" i="5"/>
  <c r="X11" i="5"/>
  <c r="Y11" i="5" s="1"/>
  <c r="V12" i="5"/>
  <c r="Z13" i="5"/>
  <c r="V18" i="5"/>
  <c r="T20" i="5"/>
  <c r="U20" i="5" s="1"/>
  <c r="V23" i="5"/>
  <c r="T24" i="5"/>
  <c r="U24" i="5" s="1"/>
  <c r="Z25" i="5"/>
  <c r="V26" i="5"/>
  <c r="X28" i="5"/>
  <c r="Y28" i="5" s="1"/>
  <c r="T29" i="5"/>
  <c r="X30" i="5"/>
  <c r="Y30" i="5" s="1"/>
  <c r="T31" i="5"/>
  <c r="U31" i="5" s="1"/>
  <c r="X32" i="5"/>
  <c r="Y32" i="5" s="1"/>
  <c r="T33" i="5"/>
  <c r="U33" i="5" s="1"/>
  <c r="Z34" i="5"/>
  <c r="Y35" i="5"/>
  <c r="X36" i="5"/>
  <c r="Y36" i="5" s="1"/>
  <c r="V37" i="5"/>
  <c r="T8" i="5"/>
  <c r="T10" i="5"/>
  <c r="O12" i="5"/>
  <c r="V14" i="5"/>
  <c r="Z15" i="5"/>
  <c r="V16" i="5"/>
  <c r="Z17" i="5"/>
  <c r="V19" i="5"/>
  <c r="T21" i="5"/>
  <c r="U21" i="5" s="1"/>
  <c r="X22" i="5"/>
  <c r="Y22" i="5" s="1"/>
  <c r="O23" i="5"/>
  <c r="T27" i="5"/>
  <c r="U27" i="5" s="1"/>
  <c r="U29" i="5"/>
  <c r="Z35" i="5"/>
  <c r="V7" i="5"/>
  <c r="U8" i="5"/>
  <c r="Y9" i="5"/>
  <c r="U10" i="5"/>
  <c r="Z11" i="5"/>
  <c r="X12" i="5"/>
  <c r="Y12" i="5" s="1"/>
  <c r="T13" i="5"/>
  <c r="U13" i="5" s="1"/>
  <c r="X18" i="5"/>
  <c r="Y18" i="5" s="1"/>
  <c r="V20" i="5"/>
  <c r="X23" i="5"/>
  <c r="Y23" i="5" s="1"/>
  <c r="V24" i="5"/>
  <c r="T25" i="5"/>
  <c r="U25" i="5" s="1"/>
  <c r="X26" i="5"/>
  <c r="Y26" i="5" s="1"/>
  <c r="Z28" i="5"/>
  <c r="V29" i="5"/>
  <c r="Z30" i="5"/>
  <c r="V31" i="5"/>
  <c r="V33" i="5"/>
  <c r="V31" i="2"/>
  <c r="V8" i="2"/>
  <c r="T33" i="2"/>
  <c r="V24" i="2"/>
  <c r="T9" i="2"/>
  <c r="V23" i="2"/>
  <c r="V17" i="2"/>
  <c r="F29" i="2"/>
  <c r="F30" i="2" s="1"/>
  <c r="T24" i="2"/>
  <c r="V33" i="2"/>
  <c r="T30" i="2"/>
  <c r="T14" i="2"/>
  <c r="V30" i="2"/>
  <c r="V22" i="2"/>
  <c r="V37" i="2"/>
  <c r="T36" i="2"/>
  <c r="T20" i="2"/>
  <c r="T12" i="2"/>
  <c r="V20" i="2"/>
  <c r="T37" i="2"/>
  <c r="V13" i="2"/>
  <c r="T35" i="2"/>
  <c r="T11" i="2"/>
  <c r="V27" i="2"/>
  <c r="V11" i="2"/>
  <c r="T21" i="2"/>
  <c r="T26" i="2"/>
  <c r="T10" i="2"/>
  <c r="V26" i="2"/>
  <c r="V18" i="2"/>
  <c r="J16" i="4"/>
  <c r="F11" i="4"/>
  <c r="F10" i="2"/>
  <c r="F12" i="2" s="1"/>
  <c r="F13" i="2" s="1"/>
  <c r="N21" i="4"/>
  <c r="T34" i="4"/>
  <c r="V33" i="4"/>
  <c r="V31" i="4"/>
  <c r="V29" i="4"/>
  <c r="T25" i="4"/>
  <c r="V24" i="4"/>
  <c r="V20" i="4"/>
  <c r="T13" i="4"/>
  <c r="V7" i="4"/>
  <c r="T27" i="4"/>
  <c r="T21" i="4"/>
  <c r="V19" i="4"/>
  <c r="V16" i="4"/>
  <c r="V14" i="4"/>
  <c r="T10" i="4"/>
  <c r="T8" i="4"/>
  <c r="V37" i="4"/>
  <c r="T33" i="4"/>
  <c r="T31" i="4"/>
  <c r="T29" i="4"/>
  <c r="V26" i="4"/>
  <c r="T24" i="4"/>
  <c r="V23" i="4"/>
  <c r="T20" i="4"/>
  <c r="V18" i="4"/>
  <c r="V12" i="4"/>
  <c r="T7" i="4"/>
  <c r="F29" i="4"/>
  <c r="F30" i="4" s="1"/>
  <c r="V22" i="4"/>
  <c r="T19" i="4"/>
  <c r="T16" i="4"/>
  <c r="T14" i="4"/>
  <c r="V9" i="4"/>
  <c r="T37" i="4"/>
  <c r="V36" i="4"/>
  <c r="V32" i="4"/>
  <c r="V30" i="4"/>
  <c r="V28" i="4"/>
  <c r="T26" i="4"/>
  <c r="T23" i="4"/>
  <c r="T18" i="4"/>
  <c r="T12" i="4"/>
  <c r="V11" i="4"/>
  <c r="V35" i="4"/>
  <c r="T36" i="4"/>
  <c r="V34" i="4"/>
  <c r="T32" i="4"/>
  <c r="T30" i="4"/>
  <c r="T28" i="4"/>
  <c r="V25" i="4"/>
  <c r="V13" i="4"/>
  <c r="T11" i="4"/>
  <c r="T35" i="4"/>
  <c r="J30" i="4"/>
  <c r="R19" i="4"/>
  <c r="V15" i="4"/>
  <c r="H16" i="4"/>
  <c r="H10" i="4"/>
  <c r="X14" i="4"/>
  <c r="V21" i="4"/>
  <c r="T22" i="4"/>
  <c r="X27" i="4"/>
  <c r="T15" i="4"/>
  <c r="N8" i="4"/>
  <c r="R36" i="4"/>
  <c r="R32" i="4"/>
  <c r="R30" i="4"/>
  <c r="R28" i="4"/>
  <c r="R11" i="4"/>
  <c r="R21" i="4"/>
  <c r="R35" i="4"/>
  <c r="R17" i="4"/>
  <c r="R15" i="4"/>
  <c r="R8" i="4"/>
  <c r="R34" i="4"/>
  <c r="R25" i="4"/>
  <c r="R13" i="4"/>
  <c r="R10" i="4"/>
  <c r="R27" i="4"/>
  <c r="R33" i="4"/>
  <c r="R31" i="4"/>
  <c r="R29" i="4"/>
  <c r="R24" i="4"/>
  <c r="R20" i="4"/>
  <c r="R7" i="4"/>
  <c r="R37" i="4"/>
  <c r="R26" i="4"/>
  <c r="R23" i="4"/>
  <c r="R18" i="4"/>
  <c r="R12" i="4"/>
  <c r="V10" i="4"/>
  <c r="Z14" i="4"/>
  <c r="N17" i="4"/>
  <c r="X21" i="4"/>
  <c r="Z22" i="4"/>
  <c r="Z16" i="4"/>
  <c r="R22" i="4"/>
  <c r="R9" i="4"/>
  <c r="T17" i="4"/>
  <c r="Z32" i="4"/>
  <c r="Z30" i="4"/>
  <c r="Z28" i="4"/>
  <c r="X26" i="4"/>
  <c r="X23" i="4"/>
  <c r="X18" i="4"/>
  <c r="X12" i="4"/>
  <c r="Z11" i="4"/>
  <c r="X17" i="4"/>
  <c r="X22" i="4"/>
  <c r="Z17" i="4"/>
  <c r="Z15" i="4"/>
  <c r="X9" i="4"/>
  <c r="Z21" i="4"/>
  <c r="X15" i="4"/>
  <c r="Z10" i="4"/>
  <c r="Z25" i="4"/>
  <c r="Z13" i="4"/>
  <c r="X11" i="4"/>
  <c r="Z8" i="4"/>
  <c r="F45" i="4"/>
  <c r="X35" i="4"/>
  <c r="Z27" i="4"/>
  <c r="Z31" i="4"/>
  <c r="Z29" i="4"/>
  <c r="Z24" i="4"/>
  <c r="Z20" i="4"/>
  <c r="F14" i="4"/>
  <c r="X13" i="4"/>
  <c r="Z7" i="4"/>
  <c r="F43" i="4"/>
  <c r="F44" i="4" s="1"/>
  <c r="Z37" i="4"/>
  <c r="H30" i="4"/>
  <c r="W29" i="4" s="1"/>
  <c r="X29" i="4"/>
  <c r="Z26" i="4"/>
  <c r="X24" i="4"/>
  <c r="Z23" i="4"/>
  <c r="X20" i="4"/>
  <c r="Z18" i="4"/>
  <c r="J15" i="4"/>
  <c r="S19" i="4" s="1"/>
  <c r="Z12" i="4"/>
  <c r="X7" i="4"/>
  <c r="N27" i="4"/>
  <c r="N33" i="4"/>
  <c r="N31" i="4"/>
  <c r="N29" i="4"/>
  <c r="N24" i="4"/>
  <c r="N20" i="4"/>
  <c r="N7" i="4"/>
  <c r="N19" i="4"/>
  <c r="N16" i="4"/>
  <c r="N14" i="4"/>
  <c r="N37" i="4"/>
  <c r="N26" i="4"/>
  <c r="N23" i="4"/>
  <c r="N18" i="4"/>
  <c r="N12" i="4"/>
  <c r="N22" i="4"/>
  <c r="N9" i="4"/>
  <c r="F12" i="4"/>
  <c r="F13" i="4" s="1"/>
  <c r="N36" i="4"/>
  <c r="N32" i="4"/>
  <c r="N30" i="4"/>
  <c r="N28" i="4"/>
  <c r="N11" i="4"/>
  <c r="N35" i="4"/>
  <c r="N34" i="4"/>
  <c r="N25" i="4"/>
  <c r="N13" i="4"/>
  <c r="Z19" i="4"/>
  <c r="V8" i="4"/>
  <c r="T9" i="4"/>
  <c r="H15" i="4"/>
  <c r="R16" i="4"/>
  <c r="V17" i="4"/>
  <c r="F24" i="4"/>
  <c r="F32" i="4" s="1"/>
  <c r="F31" i="4"/>
  <c r="H28" i="4"/>
  <c r="H29" i="4" s="1"/>
  <c r="J28" i="4"/>
  <c r="J29" i="4" s="1"/>
  <c r="X19" i="4"/>
  <c r="R14" i="4"/>
  <c r="X10" i="4"/>
  <c r="X8" i="4"/>
  <c r="Z9" i="4"/>
  <c r="N15" i="4"/>
  <c r="X16" i="4"/>
  <c r="X37" i="4"/>
  <c r="Z36" i="4"/>
  <c r="X31" i="4"/>
  <c r="X33" i="4"/>
  <c r="X25" i="4"/>
  <c r="Z33" i="4"/>
  <c r="X34" i="4"/>
  <c r="X28" i="4"/>
  <c r="X30" i="4"/>
  <c r="X32" i="4"/>
  <c r="Z34" i="4"/>
  <c r="X36" i="4"/>
  <c r="Z35" i="4"/>
  <c r="J9" i="2"/>
  <c r="J16" i="2" s="1"/>
  <c r="H9" i="2"/>
  <c r="H10" i="2" s="1"/>
  <c r="P23" i="2"/>
  <c r="B14" i="2"/>
  <c r="B3" i="2"/>
  <c r="B1" i="2"/>
  <c r="B5" i="3"/>
  <c r="B22" i="3" s="1"/>
  <c r="D75" i="3"/>
  <c r="D74" i="3"/>
  <c r="D73" i="3"/>
  <c r="D72" i="3"/>
  <c r="D71" i="3"/>
  <c r="D70" i="3"/>
  <c r="B70" i="3"/>
  <c r="D69" i="3"/>
  <c r="B69" i="3"/>
  <c r="B52" i="3"/>
  <c r="B50" i="3"/>
  <c r="B47" i="3"/>
  <c r="B17" i="3"/>
  <c r="B49" i="3" s="1"/>
  <c r="B16" i="3"/>
  <c r="B48" i="3" s="1"/>
  <c r="B53" i="3" s="1"/>
  <c r="B7" i="3"/>
  <c r="B7" i="1"/>
  <c r="B70" i="1"/>
  <c r="B69" i="1"/>
  <c r="B47" i="1"/>
  <c r="B16" i="1"/>
  <c r="B48" i="1" s="1"/>
  <c r="B11" i="1"/>
  <c r="D69" i="1"/>
  <c r="D75" i="1"/>
  <c r="D73" i="1"/>
  <c r="D72" i="1"/>
  <c r="D71" i="1"/>
  <c r="D70" i="1"/>
  <c r="B50" i="1"/>
  <c r="B22" i="1"/>
  <c r="B24" i="1" s="1"/>
  <c r="B63" i="1" s="1"/>
  <c r="E63" i="1" s="1"/>
  <c r="B49" i="1"/>
  <c r="W35" i="4" l="1"/>
  <c r="W37" i="4"/>
  <c r="H15" i="2"/>
  <c r="Z23" i="2"/>
  <c r="F43" i="2"/>
  <c r="F44" i="2" s="1"/>
  <c r="J30" i="2"/>
  <c r="X9" i="2"/>
  <c r="X17" i="2"/>
  <c r="X25" i="2"/>
  <c r="X33" i="2"/>
  <c r="X11" i="2"/>
  <c r="X19" i="2"/>
  <c r="X27" i="2"/>
  <c r="X35" i="2"/>
  <c r="H28" i="2"/>
  <c r="H29" i="2" s="1"/>
  <c r="X21" i="2"/>
  <c r="J15" i="2"/>
  <c r="X23" i="2"/>
  <c r="X15" i="2"/>
  <c r="H30" i="2"/>
  <c r="W30" i="2" s="1"/>
  <c r="F14" i="2"/>
  <c r="X13" i="2"/>
  <c r="X37" i="2"/>
  <c r="Z15" i="2"/>
  <c r="Z31" i="2"/>
  <c r="X31" i="2"/>
  <c r="J28" i="2"/>
  <c r="J29" i="2" s="1"/>
  <c r="X12" i="2"/>
  <c r="X20" i="2"/>
  <c r="X28" i="2"/>
  <c r="X36" i="2"/>
  <c r="F45" i="2"/>
  <c r="X29" i="2"/>
  <c r="P37" i="2"/>
  <c r="W27" i="4"/>
  <c r="W20" i="4"/>
  <c r="W15" i="4"/>
  <c r="T18" i="2"/>
  <c r="V35" i="2"/>
  <c r="V12" i="2"/>
  <c r="V29" i="2"/>
  <c r="T22" i="2"/>
  <c r="T25" i="2"/>
  <c r="T15" i="2"/>
  <c r="J32" i="5"/>
  <c r="J33" i="5" s="1"/>
  <c r="S36" i="5"/>
  <c r="W27" i="6"/>
  <c r="O26" i="6"/>
  <c r="O14" i="6"/>
  <c r="O20" i="6"/>
  <c r="O15" i="6"/>
  <c r="O22" i="6"/>
  <c r="E71" i="7"/>
  <c r="F71" i="7" s="1"/>
  <c r="X22" i="2"/>
  <c r="X8" i="2"/>
  <c r="Z33" i="2"/>
  <c r="Z10" i="2"/>
  <c r="F31" i="2"/>
  <c r="X30" i="2"/>
  <c r="X16" i="2"/>
  <c r="V32" i="2"/>
  <c r="Z18" i="2"/>
  <c r="Z11" i="2"/>
  <c r="W18" i="4"/>
  <c r="U10" i="2"/>
  <c r="U36" i="2"/>
  <c r="W17" i="4"/>
  <c r="F15" i="2"/>
  <c r="F16" i="2" s="1"/>
  <c r="B53" i="1"/>
  <c r="W23" i="4"/>
  <c r="T34" i="2"/>
  <c r="T19" i="2"/>
  <c r="V28" i="2"/>
  <c r="T29" i="2"/>
  <c r="T7" i="2"/>
  <c r="T8" i="2"/>
  <c r="V25" i="2"/>
  <c r="O19" i="5"/>
  <c r="O25" i="5"/>
  <c r="AA14" i="5"/>
  <c r="S35" i="5"/>
  <c r="W35" i="6"/>
  <c r="AA13" i="6"/>
  <c r="W24" i="6"/>
  <c r="O18" i="6"/>
  <c r="O10" i="6"/>
  <c r="O29" i="6"/>
  <c r="X7" i="2"/>
  <c r="X24" i="2"/>
  <c r="Z19" i="2"/>
  <c r="V10" i="2"/>
  <c r="Z26" i="2"/>
  <c r="Z27" i="2"/>
  <c r="U35" i="2"/>
  <c r="W10" i="4"/>
  <c r="W9" i="4"/>
  <c r="W7" i="4"/>
  <c r="W27" i="2"/>
  <c r="U14" i="2"/>
  <c r="W28" i="4"/>
  <c r="W14" i="4"/>
  <c r="W30" i="4"/>
  <c r="W22" i="4"/>
  <c r="W26" i="4"/>
  <c r="W16" i="4"/>
  <c r="J17" i="4"/>
  <c r="J18" i="4" s="1"/>
  <c r="V21" i="2"/>
  <c r="T27" i="2"/>
  <c r="U27" i="2" s="1"/>
  <c r="V36" i="2"/>
  <c r="V14" i="2"/>
  <c r="V15" i="2"/>
  <c r="T31" i="2"/>
  <c r="T16" i="2"/>
  <c r="O17" i="5"/>
  <c r="F15" i="5"/>
  <c r="F16" i="5" s="1"/>
  <c r="O26" i="5"/>
  <c r="O24" i="6"/>
  <c r="X32" i="2"/>
  <c r="Z34" i="2"/>
  <c r="Z35" i="2"/>
  <c r="Z37" i="2"/>
  <c r="U12" i="2"/>
  <c r="W20" i="6"/>
  <c r="O27" i="6"/>
  <c r="Z8" i="2"/>
  <c r="V9" i="2"/>
  <c r="X10" i="2"/>
  <c r="Z12" i="2"/>
  <c r="O11" i="6"/>
  <c r="O32" i="6"/>
  <c r="Z22" i="2"/>
  <c r="Z16" i="2"/>
  <c r="Z9" i="2"/>
  <c r="X18" i="2"/>
  <c r="Z13" i="2"/>
  <c r="Z20" i="2"/>
  <c r="Z14" i="2"/>
  <c r="W21" i="4"/>
  <c r="W19" i="4"/>
  <c r="H32" i="4"/>
  <c r="H33" i="4" s="1"/>
  <c r="W8" i="4"/>
  <c r="W13" i="4"/>
  <c r="W11" i="4"/>
  <c r="W36" i="4"/>
  <c r="U20" i="2"/>
  <c r="U24" i="2"/>
  <c r="U9" i="2"/>
  <c r="W31" i="2"/>
  <c r="AA24" i="5"/>
  <c r="W31" i="4"/>
  <c r="V34" i="2"/>
  <c r="V19" i="2"/>
  <c r="T13" i="2"/>
  <c r="T28" i="2"/>
  <c r="V7" i="2"/>
  <c r="V16" i="2"/>
  <c r="T32" i="2"/>
  <c r="T17" i="2"/>
  <c r="S37" i="5"/>
  <c r="S29" i="5"/>
  <c r="O28" i="5"/>
  <c r="O21" i="5"/>
  <c r="O16" i="5"/>
  <c r="W30" i="6"/>
  <c r="W25" i="6"/>
  <c r="W33" i="6"/>
  <c r="AA22" i="6"/>
  <c r="O21" i="6"/>
  <c r="O35" i="6"/>
  <c r="Z30" i="2"/>
  <c r="Z24" i="2"/>
  <c r="Z17" i="2"/>
  <c r="X26" i="2"/>
  <c r="Z21" i="2"/>
  <c r="Z28" i="2"/>
  <c r="T23" i="2"/>
  <c r="W32" i="4"/>
  <c r="Z7" i="2"/>
  <c r="Z32" i="2"/>
  <c r="Z25" i="2"/>
  <c r="X34" i="2"/>
  <c r="Z29" i="2"/>
  <c r="Z36" i="2"/>
  <c r="X14" i="2"/>
  <c r="O13" i="6"/>
  <c r="O25" i="6"/>
  <c r="F15" i="6"/>
  <c r="F16" i="6" s="1"/>
  <c r="O16" i="6"/>
  <c r="O19" i="6"/>
  <c r="O9" i="6"/>
  <c r="O31" i="6"/>
  <c r="O34" i="6"/>
  <c r="O28" i="6"/>
  <c r="Q32" i="6"/>
  <c r="O8" i="6"/>
  <c r="O33" i="6"/>
  <c r="O37" i="6"/>
  <c r="O30" i="6"/>
  <c r="O23" i="6"/>
  <c r="S8" i="4"/>
  <c r="S28" i="4"/>
  <c r="S16" i="4"/>
  <c r="S13" i="4"/>
  <c r="S22" i="4"/>
  <c r="S31" i="4"/>
  <c r="S15" i="4"/>
  <c r="S36" i="4"/>
  <c r="S33" i="4"/>
  <c r="S17" i="4"/>
  <c r="S14" i="4"/>
  <c r="S12" i="4"/>
  <c r="S27" i="4"/>
  <c r="AA34" i="4"/>
  <c r="P17" i="2"/>
  <c r="P20" i="2"/>
  <c r="P22" i="2"/>
  <c r="P32" i="2"/>
  <c r="P29" i="2"/>
  <c r="H16" i="2"/>
  <c r="Q36" i="2" s="1"/>
  <c r="D40" i="7"/>
  <c r="E72" i="7"/>
  <c r="F72" i="7" s="1"/>
  <c r="F69" i="7"/>
  <c r="D44" i="7"/>
  <c r="E24" i="1"/>
  <c r="Q34" i="6"/>
  <c r="Q10" i="6"/>
  <c r="Q27" i="6"/>
  <c r="Q36" i="6"/>
  <c r="Q15" i="6"/>
  <c r="Q11" i="6"/>
  <c r="Q31" i="6"/>
  <c r="S38" i="6"/>
  <c r="S39" i="6" s="1"/>
  <c r="W12" i="6"/>
  <c r="W22" i="6"/>
  <c r="W31" i="6"/>
  <c r="Q12" i="6"/>
  <c r="Q26" i="6"/>
  <c r="Q20" i="6"/>
  <c r="Q35" i="6"/>
  <c r="W36" i="6"/>
  <c r="AA9" i="6"/>
  <c r="AA14" i="6"/>
  <c r="AA19" i="6"/>
  <c r="AA33" i="6"/>
  <c r="H17" i="6"/>
  <c r="H18" i="6" s="1"/>
  <c r="Q37" i="6"/>
  <c r="Q24" i="6"/>
  <c r="Q30" i="6"/>
  <c r="AA28" i="6"/>
  <c r="AA16" i="6"/>
  <c r="F47" i="6"/>
  <c r="F48" i="6" s="1"/>
  <c r="W23" i="6"/>
  <c r="W21" i="6"/>
  <c r="W10" i="6"/>
  <c r="Q22" i="6"/>
  <c r="Q28" i="6"/>
  <c r="Q29" i="6"/>
  <c r="Q8" i="6"/>
  <c r="Y38" i="6"/>
  <c r="Y39" i="6" s="1"/>
  <c r="AA30" i="6"/>
  <c r="AA18" i="6"/>
  <c r="AA8" i="6"/>
  <c r="AA21" i="6"/>
  <c r="AA32" i="6"/>
  <c r="AB32" i="6" s="1"/>
  <c r="AD32" i="6" s="1"/>
  <c r="AA23" i="6"/>
  <c r="AA10" i="6"/>
  <c r="W13" i="6"/>
  <c r="W19" i="6"/>
  <c r="Q14" i="6"/>
  <c r="Q7" i="6"/>
  <c r="Q33" i="6"/>
  <c r="Q17" i="6"/>
  <c r="AA11" i="6"/>
  <c r="AA36" i="6"/>
  <c r="AA26" i="6"/>
  <c r="AA20" i="6"/>
  <c r="W28" i="6"/>
  <c r="W11" i="6"/>
  <c r="W34" i="6"/>
  <c r="W15" i="6"/>
  <c r="H32" i="6"/>
  <c r="H33" i="6" s="1"/>
  <c r="W26" i="6"/>
  <c r="W18" i="6"/>
  <c r="W7" i="6"/>
  <c r="Q16" i="6"/>
  <c r="Q19" i="6"/>
  <c r="Q13" i="6"/>
  <c r="Q25" i="6"/>
  <c r="AB25" i="6" s="1"/>
  <c r="AD25" i="6" s="1"/>
  <c r="AA35" i="6"/>
  <c r="AA34" i="6"/>
  <c r="AA37" i="6"/>
  <c r="AA24" i="6"/>
  <c r="W16" i="6"/>
  <c r="U38" i="6"/>
  <c r="U39" i="6" s="1"/>
  <c r="Q18" i="6"/>
  <c r="Q9" i="6"/>
  <c r="Q21" i="6"/>
  <c r="AA17" i="6"/>
  <c r="AA12" i="6"/>
  <c r="AA15" i="6"/>
  <c r="AA29" i="6"/>
  <c r="AA27" i="6"/>
  <c r="S17" i="5"/>
  <c r="W19" i="5"/>
  <c r="AA35" i="5"/>
  <c r="Q38" i="5"/>
  <c r="Q39" i="5" s="1"/>
  <c r="U38" i="5"/>
  <c r="U39" i="5" s="1"/>
  <c r="W29" i="5"/>
  <c r="W30" i="5"/>
  <c r="AA22" i="5"/>
  <c r="AA16" i="5"/>
  <c r="AA29" i="5"/>
  <c r="AA13" i="5"/>
  <c r="S9" i="5"/>
  <c r="S32" i="5"/>
  <c r="S31" i="5"/>
  <c r="S13" i="5"/>
  <c r="W8" i="5"/>
  <c r="W34" i="5"/>
  <c r="W32" i="5"/>
  <c r="W23" i="5"/>
  <c r="W18" i="5"/>
  <c r="O33" i="5"/>
  <c r="O31" i="5"/>
  <c r="O29" i="5"/>
  <c r="O24" i="5"/>
  <c r="O7" i="5"/>
  <c r="O20" i="5"/>
  <c r="O13" i="5"/>
  <c r="AA36" i="5"/>
  <c r="AA19" i="5"/>
  <c r="AA31" i="5"/>
  <c r="AA25" i="5"/>
  <c r="J17" i="5"/>
  <c r="J18" i="5" s="1"/>
  <c r="S14" i="5"/>
  <c r="S33" i="5"/>
  <c r="S25" i="5"/>
  <c r="W10" i="5"/>
  <c r="W15" i="5"/>
  <c r="W36" i="5"/>
  <c r="W26" i="5"/>
  <c r="AA12" i="5"/>
  <c r="AA28" i="5"/>
  <c r="AA33" i="5"/>
  <c r="AA34" i="5"/>
  <c r="S22" i="5"/>
  <c r="S16" i="5"/>
  <c r="S8" i="5"/>
  <c r="S34" i="5"/>
  <c r="W21" i="5"/>
  <c r="W17" i="5"/>
  <c r="W31" i="5"/>
  <c r="W37" i="5"/>
  <c r="O10" i="5"/>
  <c r="AA18" i="5"/>
  <c r="AA30" i="5"/>
  <c r="AA11" i="5"/>
  <c r="F47" i="5"/>
  <c r="F48" i="5" s="1"/>
  <c r="S12" i="5"/>
  <c r="S19" i="5"/>
  <c r="S10" i="5"/>
  <c r="S11" i="5"/>
  <c r="W27" i="5"/>
  <c r="W35" i="5"/>
  <c r="W9" i="5"/>
  <c r="AB9" i="5" s="1"/>
  <c r="AD9" i="5" s="1"/>
  <c r="W7" i="5"/>
  <c r="W25" i="5"/>
  <c r="Y38" i="5"/>
  <c r="Y39" i="5" s="1"/>
  <c r="O8" i="5"/>
  <c r="AA23" i="5"/>
  <c r="AA32" i="5"/>
  <c r="AA8" i="5"/>
  <c r="AA15" i="5"/>
  <c r="S18" i="5"/>
  <c r="S7" i="5"/>
  <c r="S21" i="5"/>
  <c r="S28" i="5"/>
  <c r="H32" i="5"/>
  <c r="H33" i="5" s="1"/>
  <c r="W20" i="5"/>
  <c r="W22" i="5"/>
  <c r="W14" i="5"/>
  <c r="AA26" i="5"/>
  <c r="AA7" i="5"/>
  <c r="AA10" i="5"/>
  <c r="AA17" i="5"/>
  <c r="S23" i="5"/>
  <c r="S20" i="5"/>
  <c r="S27" i="5"/>
  <c r="S15" i="5"/>
  <c r="W33" i="5"/>
  <c r="W11" i="5"/>
  <c r="W24" i="5"/>
  <c r="W16" i="5"/>
  <c r="AA37" i="5"/>
  <c r="AA20" i="5"/>
  <c r="AA21" i="5"/>
  <c r="S26" i="5"/>
  <c r="S24" i="5"/>
  <c r="S30" i="5"/>
  <c r="W13" i="5"/>
  <c r="W28" i="5"/>
  <c r="W12" i="5"/>
  <c r="S37" i="4"/>
  <c r="S10" i="4"/>
  <c r="S7" i="4"/>
  <c r="S20" i="4"/>
  <c r="S25" i="4"/>
  <c r="O20" i="4"/>
  <c r="S24" i="4"/>
  <c r="S34" i="4"/>
  <c r="S9" i="4"/>
  <c r="S29" i="4"/>
  <c r="W12" i="4"/>
  <c r="W33" i="4"/>
  <c r="J32" i="4"/>
  <c r="J33" i="4" s="1"/>
  <c r="S32" i="4"/>
  <c r="S21" i="4"/>
  <c r="O26" i="4"/>
  <c r="O25" i="4"/>
  <c r="S35" i="4"/>
  <c r="O15" i="4"/>
  <c r="O9" i="4"/>
  <c r="F15" i="4"/>
  <c r="F16" i="4" s="1"/>
  <c r="J10" i="2"/>
  <c r="U27" i="4"/>
  <c r="Y22" i="4"/>
  <c r="U21" i="4"/>
  <c r="U10" i="4"/>
  <c r="Y9" i="4"/>
  <c r="U8" i="4"/>
  <c r="U18" i="4"/>
  <c r="Y13" i="4"/>
  <c r="Y36" i="4"/>
  <c r="U33" i="4"/>
  <c r="Y32" i="4"/>
  <c r="U31" i="4"/>
  <c r="Y30" i="4"/>
  <c r="U29" i="4"/>
  <c r="Y28" i="4"/>
  <c r="U24" i="4"/>
  <c r="U20" i="4"/>
  <c r="Y11" i="4"/>
  <c r="U7" i="4"/>
  <c r="U12" i="4"/>
  <c r="Y35" i="4"/>
  <c r="U19" i="4"/>
  <c r="Y17" i="4"/>
  <c r="U16" i="4"/>
  <c r="Y15" i="4"/>
  <c r="U14" i="4"/>
  <c r="U37" i="4"/>
  <c r="Y34" i="4"/>
  <c r="F33" i="4"/>
  <c r="F34" i="4" s="1"/>
  <c r="U26" i="4"/>
  <c r="Y25" i="4"/>
  <c r="U23" i="4"/>
  <c r="Y27" i="4"/>
  <c r="U22" i="4"/>
  <c r="Y21" i="4"/>
  <c r="Y10" i="4"/>
  <c r="U9" i="4"/>
  <c r="Y8" i="4"/>
  <c r="U36" i="4"/>
  <c r="Y33" i="4"/>
  <c r="U35" i="4"/>
  <c r="Y19" i="4"/>
  <c r="U17" i="4"/>
  <c r="Y16" i="4"/>
  <c r="U15" i="4"/>
  <c r="Y14" i="4"/>
  <c r="Y37" i="4"/>
  <c r="U34" i="4"/>
  <c r="Y24" i="4"/>
  <c r="Y20" i="4"/>
  <c r="Y7" i="4"/>
  <c r="Y31" i="4"/>
  <c r="Y29" i="4"/>
  <c r="U13" i="4"/>
  <c r="U28" i="4"/>
  <c r="Y18" i="4"/>
  <c r="U32" i="4"/>
  <c r="U30" i="4"/>
  <c r="Y26" i="4"/>
  <c r="U25" i="4"/>
  <c r="U11" i="4"/>
  <c r="Y12" i="4"/>
  <c r="Y23" i="4"/>
  <c r="AA22" i="4"/>
  <c r="AA31" i="4"/>
  <c r="AA25" i="4"/>
  <c r="P37" i="4"/>
  <c r="Q37" i="4" s="1"/>
  <c r="P26" i="4"/>
  <c r="Q26" i="4" s="1"/>
  <c r="P23" i="4"/>
  <c r="Q23" i="4" s="1"/>
  <c r="P18" i="4"/>
  <c r="H13" i="4"/>
  <c r="H14" i="4" s="1"/>
  <c r="H17" i="4" s="1"/>
  <c r="H18" i="4" s="1"/>
  <c r="P12" i="4"/>
  <c r="Q12" i="4" s="1"/>
  <c r="P17" i="4"/>
  <c r="Q17" i="4" s="1"/>
  <c r="P15" i="4"/>
  <c r="P22" i="4"/>
  <c r="Q22" i="4" s="1"/>
  <c r="P9" i="4"/>
  <c r="Q9" i="4" s="1"/>
  <c r="P36" i="4"/>
  <c r="Q36" i="4" s="1"/>
  <c r="P32" i="4"/>
  <c r="P30" i="4"/>
  <c r="Q30" i="4" s="1"/>
  <c r="P28" i="4"/>
  <c r="Q28" i="4" s="1"/>
  <c r="P11" i="4"/>
  <c r="Q11" i="4" s="1"/>
  <c r="P35" i="4"/>
  <c r="P34" i="4"/>
  <c r="Q34" i="4" s="1"/>
  <c r="P25" i="4"/>
  <c r="P13" i="4"/>
  <c r="Q13" i="4" s="1"/>
  <c r="P33" i="4"/>
  <c r="Q33" i="4" s="1"/>
  <c r="P31" i="4"/>
  <c r="Q31" i="4" s="1"/>
  <c r="P29" i="4"/>
  <c r="Q29" i="4" s="1"/>
  <c r="P24" i="4"/>
  <c r="Q24" i="4" s="1"/>
  <c r="P20" i="4"/>
  <c r="P7" i="4"/>
  <c r="Q7" i="4" s="1"/>
  <c r="P19" i="4"/>
  <c r="Q19" i="4" s="1"/>
  <c r="P21" i="4"/>
  <c r="Q21" i="4" s="1"/>
  <c r="P8" i="4"/>
  <c r="Q8" i="4" s="1"/>
  <c r="P14" i="4"/>
  <c r="Q14" i="4" s="1"/>
  <c r="P16" i="4"/>
  <c r="Q16" i="4" s="1"/>
  <c r="P10" i="4"/>
  <c r="Q10" i="4" s="1"/>
  <c r="P27" i="4"/>
  <c r="Q27" i="4" s="1"/>
  <c r="O21" i="4"/>
  <c r="O36" i="4"/>
  <c r="O37" i="4"/>
  <c r="AA37" i="4"/>
  <c r="AA33" i="4"/>
  <c r="Q32" i="4"/>
  <c r="Q35" i="4"/>
  <c r="Q15" i="4"/>
  <c r="Q25" i="4"/>
  <c r="Q20" i="4"/>
  <c r="Q18" i="4"/>
  <c r="O27" i="4"/>
  <c r="O11" i="4"/>
  <c r="O14" i="4"/>
  <c r="AA18" i="4"/>
  <c r="AA12" i="4"/>
  <c r="AA30" i="4"/>
  <c r="AA26" i="4"/>
  <c r="AA11" i="4"/>
  <c r="AA23" i="4"/>
  <c r="AA28" i="4"/>
  <c r="AA7" i="4"/>
  <c r="AA16" i="4"/>
  <c r="AA8" i="4"/>
  <c r="AA15" i="4"/>
  <c r="O17" i="4"/>
  <c r="O22" i="4"/>
  <c r="O31" i="4"/>
  <c r="AA19" i="4"/>
  <c r="AA10" i="4"/>
  <c r="AA17" i="4"/>
  <c r="W34" i="4"/>
  <c r="O35" i="4"/>
  <c r="O12" i="4"/>
  <c r="O19" i="4"/>
  <c r="AA14" i="4"/>
  <c r="F47" i="4"/>
  <c r="F48" i="4" s="1"/>
  <c r="O29" i="4"/>
  <c r="O16" i="4"/>
  <c r="AA32" i="4"/>
  <c r="AA20" i="4"/>
  <c r="AA21" i="4"/>
  <c r="AA35" i="4"/>
  <c r="O13" i="4"/>
  <c r="O33" i="4"/>
  <c r="O28" i="4"/>
  <c r="O18" i="4"/>
  <c r="AA36" i="4"/>
  <c r="AA24" i="4"/>
  <c r="AA27" i="4"/>
  <c r="W25" i="4"/>
  <c r="O8" i="4"/>
  <c r="O30" i="4"/>
  <c r="O23" i="4"/>
  <c r="W24" i="4"/>
  <c r="O34" i="4"/>
  <c r="O7" i="4"/>
  <c r="S26" i="4"/>
  <c r="S30" i="4"/>
  <c r="S11" i="4"/>
  <c r="S23" i="4"/>
  <c r="AA9" i="4"/>
  <c r="AA29" i="4"/>
  <c r="AA13" i="4"/>
  <c r="O24" i="4"/>
  <c r="O10" i="4"/>
  <c r="O32" i="4"/>
  <c r="S18" i="4"/>
  <c r="P10" i="2"/>
  <c r="P11" i="2"/>
  <c r="P28" i="2"/>
  <c r="P18" i="2"/>
  <c r="P27" i="2"/>
  <c r="H13" i="2"/>
  <c r="H14" i="2" s="1"/>
  <c r="P34" i="2"/>
  <c r="P7" i="2"/>
  <c r="P25" i="2"/>
  <c r="P14" i="2"/>
  <c r="P31" i="2"/>
  <c r="P30" i="2"/>
  <c r="P16" i="2"/>
  <c r="P9" i="2"/>
  <c r="P33" i="2"/>
  <c r="P8" i="2"/>
  <c r="P36" i="2"/>
  <c r="P13" i="2"/>
  <c r="P24" i="2"/>
  <c r="P26" i="2"/>
  <c r="P19" i="2"/>
  <c r="P12" i="2"/>
  <c r="P21" i="2"/>
  <c r="P35" i="2"/>
  <c r="P15" i="2"/>
  <c r="N11" i="2"/>
  <c r="O11" i="2" s="1"/>
  <c r="N19" i="2"/>
  <c r="O19" i="2" s="1"/>
  <c r="N27" i="2"/>
  <c r="O27" i="2" s="1"/>
  <c r="N33" i="2"/>
  <c r="O33" i="2" s="1"/>
  <c r="N36" i="2"/>
  <c r="O36" i="2" s="1"/>
  <c r="N12" i="2"/>
  <c r="O12" i="2" s="1"/>
  <c r="N20" i="2"/>
  <c r="O20" i="2" s="1"/>
  <c r="N28" i="2"/>
  <c r="O28" i="2" s="1"/>
  <c r="N10" i="2"/>
  <c r="O10" i="2" s="1"/>
  <c r="N26" i="2"/>
  <c r="O26" i="2" s="1"/>
  <c r="N13" i="2"/>
  <c r="O13" i="2" s="1"/>
  <c r="N21" i="2"/>
  <c r="O21" i="2" s="1"/>
  <c r="N29" i="2"/>
  <c r="O29" i="2" s="1"/>
  <c r="N9" i="2"/>
  <c r="O9" i="2" s="1"/>
  <c r="N35" i="2"/>
  <c r="O35" i="2" s="1"/>
  <c r="N7" i="2"/>
  <c r="O7" i="2" s="1"/>
  <c r="N14" i="2"/>
  <c r="O14" i="2" s="1"/>
  <c r="N22" i="2"/>
  <c r="O22" i="2" s="1"/>
  <c r="N30" i="2"/>
  <c r="O30" i="2" s="1"/>
  <c r="N25" i="2"/>
  <c r="O25" i="2" s="1"/>
  <c r="N18" i="2"/>
  <c r="O18" i="2" s="1"/>
  <c r="N15" i="2"/>
  <c r="O15" i="2" s="1"/>
  <c r="N23" i="2"/>
  <c r="O23" i="2" s="1"/>
  <c r="N31" i="2"/>
  <c r="O31" i="2" s="1"/>
  <c r="N8" i="2"/>
  <c r="O8" i="2" s="1"/>
  <c r="N16" i="2"/>
  <c r="O16" i="2" s="1"/>
  <c r="N24" i="2"/>
  <c r="O24" i="2" s="1"/>
  <c r="N32" i="2"/>
  <c r="O32" i="2" s="1"/>
  <c r="N37" i="2"/>
  <c r="O37" i="2" s="1"/>
  <c r="N34" i="2"/>
  <c r="O34" i="2" s="1"/>
  <c r="N17" i="2"/>
  <c r="O17" i="2" s="1"/>
  <c r="Q28" i="2"/>
  <c r="Q30" i="2"/>
  <c r="R9" i="2"/>
  <c r="S9" i="2" s="1"/>
  <c r="R17" i="2"/>
  <c r="S17" i="2" s="1"/>
  <c r="R25" i="2"/>
  <c r="S25" i="2" s="1"/>
  <c r="R33" i="2"/>
  <c r="S33" i="2" s="1"/>
  <c r="R15" i="2"/>
  <c r="S15" i="2" s="1"/>
  <c r="R16" i="2"/>
  <c r="S16" i="2" s="1"/>
  <c r="R10" i="2"/>
  <c r="S10" i="2" s="1"/>
  <c r="R18" i="2"/>
  <c r="S18" i="2" s="1"/>
  <c r="R26" i="2"/>
  <c r="S26" i="2" s="1"/>
  <c r="R34" i="2"/>
  <c r="S34" i="2" s="1"/>
  <c r="R24" i="2"/>
  <c r="S24" i="2" s="1"/>
  <c r="R11" i="2"/>
  <c r="S11" i="2" s="1"/>
  <c r="R19" i="2"/>
  <c r="S19" i="2" s="1"/>
  <c r="R27" i="2"/>
  <c r="S27" i="2" s="1"/>
  <c r="R35" i="2"/>
  <c r="S35" i="2" s="1"/>
  <c r="R23" i="2"/>
  <c r="S23" i="2" s="1"/>
  <c r="R12" i="2"/>
  <c r="S12" i="2" s="1"/>
  <c r="R20" i="2"/>
  <c r="S20" i="2" s="1"/>
  <c r="R28" i="2"/>
  <c r="S28" i="2" s="1"/>
  <c r="R36" i="2"/>
  <c r="S36" i="2" s="1"/>
  <c r="R8" i="2"/>
  <c r="S8" i="2" s="1"/>
  <c r="R32" i="2"/>
  <c r="S32" i="2" s="1"/>
  <c r="R13" i="2"/>
  <c r="S13" i="2" s="1"/>
  <c r="R21" i="2"/>
  <c r="S21" i="2" s="1"/>
  <c r="R29" i="2"/>
  <c r="S29" i="2" s="1"/>
  <c r="R37" i="2"/>
  <c r="S37" i="2" s="1"/>
  <c r="R14" i="2"/>
  <c r="S14" i="2" s="1"/>
  <c r="R22" i="2"/>
  <c r="S22" i="2" s="1"/>
  <c r="R30" i="2"/>
  <c r="S30" i="2" s="1"/>
  <c r="R7" i="2"/>
  <c r="S7" i="2" s="1"/>
  <c r="R31" i="2"/>
  <c r="S31" i="2" s="1"/>
  <c r="J13" i="2"/>
  <c r="J14" i="2" s="1"/>
  <c r="J17" i="2" s="1"/>
  <c r="J18" i="2" s="1"/>
  <c r="B10" i="3"/>
  <c r="B11" i="3" s="1"/>
  <c r="D65" i="3"/>
  <c r="D59" i="3"/>
  <c r="D63" i="3"/>
  <c r="D57" i="3"/>
  <c r="D64" i="3"/>
  <c r="D62" i="3"/>
  <c r="D60" i="3"/>
  <c r="D58" i="3"/>
  <c r="D56" i="3"/>
  <c r="D61" i="3"/>
  <c r="B21" i="3"/>
  <c r="D62" i="1"/>
  <c r="B58" i="1"/>
  <c r="E58" i="1" s="1"/>
  <c r="B59" i="1"/>
  <c r="E59" i="1" s="1"/>
  <c r="B64" i="1"/>
  <c r="E64" i="1" s="1"/>
  <c r="B57" i="1"/>
  <c r="E57" i="1" s="1"/>
  <c r="B60" i="1"/>
  <c r="E60" i="1" s="1"/>
  <c r="B65" i="1"/>
  <c r="E65" i="1" s="1"/>
  <c r="B61" i="1"/>
  <c r="E61" i="1" s="1"/>
  <c r="B62" i="1"/>
  <c r="E62" i="1" s="1"/>
  <c r="B54" i="1"/>
  <c r="B56" i="1" s="1"/>
  <c r="E56" i="1" s="1"/>
  <c r="B30" i="1"/>
  <c r="E30" i="1" s="1"/>
  <c r="B31" i="1"/>
  <c r="E31" i="1" s="1"/>
  <c r="B28" i="1"/>
  <c r="E28" i="1" s="1"/>
  <c r="B32" i="1"/>
  <c r="E32" i="1" s="1"/>
  <c r="B33" i="1"/>
  <c r="E33" i="1" s="1"/>
  <c r="B26" i="1"/>
  <c r="E26" i="1" s="1"/>
  <c r="B27" i="1"/>
  <c r="E27" i="1" s="1"/>
  <c r="B25" i="1"/>
  <c r="E25" i="1" s="1"/>
  <c r="B29" i="1"/>
  <c r="E29" i="1" s="1"/>
  <c r="B21" i="1"/>
  <c r="Q23" i="2" l="1"/>
  <c r="Q15" i="2"/>
  <c r="Q32" i="2"/>
  <c r="Q37" i="2"/>
  <c r="W26" i="2"/>
  <c r="Q35" i="2"/>
  <c r="Q8" i="2"/>
  <c r="Q7" i="2"/>
  <c r="Q11" i="2"/>
  <c r="Q25" i="2"/>
  <c r="Q10" i="2"/>
  <c r="Q21" i="2"/>
  <c r="W33" i="2"/>
  <c r="Y12" i="2"/>
  <c r="Y26" i="2"/>
  <c r="Y33" i="2"/>
  <c r="U19" i="2"/>
  <c r="Y30" i="2"/>
  <c r="Y14" i="2"/>
  <c r="AB14" i="2" s="1"/>
  <c r="AD14" i="2" s="1"/>
  <c r="U7" i="2"/>
  <c r="Y18" i="2"/>
  <c r="Y25" i="2"/>
  <c r="U11" i="2"/>
  <c r="Y22" i="2"/>
  <c r="Y10" i="2"/>
  <c r="U31" i="2"/>
  <c r="U23" i="2"/>
  <c r="AB23" i="2" s="1"/>
  <c r="AD23" i="2" s="1"/>
  <c r="U22" i="2"/>
  <c r="Y9" i="2"/>
  <c r="Y24" i="2"/>
  <c r="U26" i="2"/>
  <c r="Y37" i="2"/>
  <c r="Y36" i="2"/>
  <c r="U16" i="2"/>
  <c r="U21" i="2"/>
  <c r="AB21" i="2" s="1"/>
  <c r="AD21" i="2" s="1"/>
  <c r="Y8" i="2"/>
  <c r="Y31" i="2"/>
  <c r="U25" i="2"/>
  <c r="Y13" i="2"/>
  <c r="U28" i="2"/>
  <c r="U34" i="2"/>
  <c r="U8" i="2"/>
  <c r="U15" i="2"/>
  <c r="AB15" i="2" s="1"/>
  <c r="AD15" i="2" s="1"/>
  <c r="U32" i="2"/>
  <c r="Y35" i="2"/>
  <c r="U29" i="2"/>
  <c r="Y16" i="2"/>
  <c r="U18" i="2"/>
  <c r="U33" i="2"/>
  <c r="Y11" i="2"/>
  <c r="Y7" i="2"/>
  <c r="Y17" i="2"/>
  <c r="Y27" i="2"/>
  <c r="Y29" i="2"/>
  <c r="Y28" i="2"/>
  <c r="Y21" i="2"/>
  <c r="Y19" i="2"/>
  <c r="U13" i="2"/>
  <c r="Y23" i="2"/>
  <c r="U17" i="2"/>
  <c r="Y20" i="2"/>
  <c r="Y34" i="2"/>
  <c r="Y15" i="2"/>
  <c r="U30" i="2"/>
  <c r="Y32" i="2"/>
  <c r="F33" i="2"/>
  <c r="F34" i="2" s="1"/>
  <c r="Q33" i="2"/>
  <c r="AB33" i="2" s="1"/>
  <c r="AD33" i="2" s="1"/>
  <c r="Q34" i="2"/>
  <c r="Q31" i="2"/>
  <c r="Q22" i="2"/>
  <c r="AB22" i="2" s="1"/>
  <c r="AD22" i="2" s="1"/>
  <c r="Q12" i="2"/>
  <c r="Q9" i="2"/>
  <c r="AB27" i="5"/>
  <c r="AD27" i="5" s="1"/>
  <c r="AB24" i="6"/>
  <c r="AD24" i="6" s="1"/>
  <c r="W14" i="2"/>
  <c r="U37" i="2"/>
  <c r="W25" i="2"/>
  <c r="H32" i="2"/>
  <c r="H33" i="2" s="1"/>
  <c r="W12" i="2"/>
  <c r="W17" i="2"/>
  <c r="W15" i="2"/>
  <c r="W7" i="2"/>
  <c r="W10" i="2"/>
  <c r="AB10" i="2" s="1"/>
  <c r="AD10" i="2" s="1"/>
  <c r="W19" i="2"/>
  <c r="W29" i="2"/>
  <c r="W34" i="2"/>
  <c r="W16" i="2"/>
  <c r="W9" i="2"/>
  <c r="W37" i="2"/>
  <c r="W35" i="2"/>
  <c r="W32" i="2"/>
  <c r="AB32" i="2" s="1"/>
  <c r="AD32" i="2" s="1"/>
  <c r="W28" i="2"/>
  <c r="W20" i="2"/>
  <c r="Q19" i="2"/>
  <c r="W36" i="2"/>
  <c r="W23" i="2"/>
  <c r="W22" i="2"/>
  <c r="AA31" i="2"/>
  <c r="AA23" i="2"/>
  <c r="AA37" i="2"/>
  <c r="AA18" i="2"/>
  <c r="AA33" i="2"/>
  <c r="AA15" i="2"/>
  <c r="AA30" i="2"/>
  <c r="AA29" i="2"/>
  <c r="AA10" i="2"/>
  <c r="AA25" i="2"/>
  <c r="AA17" i="2"/>
  <c r="AA8" i="2"/>
  <c r="AA14" i="2"/>
  <c r="AA13" i="2"/>
  <c r="AA36" i="2"/>
  <c r="AA9" i="2"/>
  <c r="AA32" i="2"/>
  <c r="AA20" i="2"/>
  <c r="AA7" i="2"/>
  <c r="AA26" i="2"/>
  <c r="AA22" i="2"/>
  <c r="AA21" i="2"/>
  <c r="AA28" i="2"/>
  <c r="AA35" i="2"/>
  <c r="AA24" i="2"/>
  <c r="AA27" i="2"/>
  <c r="AA16" i="2"/>
  <c r="F47" i="2"/>
  <c r="F48" i="2" s="1"/>
  <c r="AA12" i="2"/>
  <c r="AB12" i="2" s="1"/>
  <c r="AD12" i="2" s="1"/>
  <c r="AA19" i="2"/>
  <c r="AA34" i="2"/>
  <c r="AA11" i="2"/>
  <c r="Q27" i="2"/>
  <c r="Q20" i="2"/>
  <c r="AB20" i="2" s="1"/>
  <c r="AD20" i="2" s="1"/>
  <c r="Q13" i="2"/>
  <c r="Q26" i="2"/>
  <c r="AB10" i="6"/>
  <c r="AD10" i="6" s="1"/>
  <c r="W13" i="2"/>
  <c r="W8" i="2"/>
  <c r="W18" i="2"/>
  <c r="Q16" i="2"/>
  <c r="Q29" i="2"/>
  <c r="AB29" i="2" s="1"/>
  <c r="AD29" i="2" s="1"/>
  <c r="Q14" i="2"/>
  <c r="Q17" i="2"/>
  <c r="Q18" i="2"/>
  <c r="Q38" i="2" s="1"/>
  <c r="Q40" i="2" s="1"/>
  <c r="Q24" i="2"/>
  <c r="AB8" i="5"/>
  <c r="AD8" i="5" s="1"/>
  <c r="AB21" i="6"/>
  <c r="AD21" i="6" s="1"/>
  <c r="W11" i="2"/>
  <c r="W21" i="2"/>
  <c r="W24" i="2"/>
  <c r="J32" i="2"/>
  <c r="J33" i="2" s="1"/>
  <c r="AB31" i="6"/>
  <c r="AD31" i="6" s="1"/>
  <c r="AB14" i="6"/>
  <c r="AD14" i="6" s="1"/>
  <c r="O38" i="6"/>
  <c r="O39" i="6" s="1"/>
  <c r="AB18" i="6"/>
  <c r="AD18" i="6" s="1"/>
  <c r="AB13" i="6"/>
  <c r="AD13" i="6" s="1"/>
  <c r="AB33" i="6"/>
  <c r="AD33" i="6" s="1"/>
  <c r="AB35" i="5"/>
  <c r="AD35" i="5" s="1"/>
  <c r="AB27" i="6"/>
  <c r="AD27" i="6" s="1"/>
  <c r="AB34" i="6"/>
  <c r="AD34" i="6" s="1"/>
  <c r="AB28" i="6"/>
  <c r="AD28" i="6" s="1"/>
  <c r="AB19" i="6"/>
  <c r="AD19" i="6" s="1"/>
  <c r="AB16" i="6"/>
  <c r="AD16" i="6" s="1"/>
  <c r="AB20" i="6"/>
  <c r="AD20" i="6" s="1"/>
  <c r="AB9" i="6"/>
  <c r="AD9" i="6" s="1"/>
  <c r="AB34" i="5"/>
  <c r="AD34" i="5" s="1"/>
  <c r="AB29" i="5"/>
  <c r="AD29" i="5" s="1"/>
  <c r="W38" i="4"/>
  <c r="W40" i="4" s="1"/>
  <c r="O38" i="4"/>
  <c r="O40" i="4" s="1"/>
  <c r="AB32" i="5"/>
  <c r="AD32" i="5" s="1"/>
  <c r="AB22" i="5"/>
  <c r="AD22" i="5" s="1"/>
  <c r="AB23" i="5"/>
  <c r="AD23" i="5" s="1"/>
  <c r="AB30" i="5"/>
  <c r="AD30" i="5" s="1"/>
  <c r="AB37" i="5"/>
  <c r="AD37" i="5" s="1"/>
  <c r="AB15" i="5"/>
  <c r="AD15" i="5" s="1"/>
  <c r="AB18" i="5"/>
  <c r="AD18" i="5" s="1"/>
  <c r="AB14" i="5"/>
  <c r="AD14" i="5" s="1"/>
  <c r="O38" i="2"/>
  <c r="O40" i="2" s="1"/>
  <c r="S38" i="2"/>
  <c r="S40" i="2" s="1"/>
  <c r="E76" i="7"/>
  <c r="F76" i="7"/>
  <c r="F62" i="1"/>
  <c r="AB37" i="6"/>
  <c r="AD37" i="6" s="1"/>
  <c r="AB23" i="6"/>
  <c r="AD23" i="6" s="1"/>
  <c r="AB8" i="6"/>
  <c r="AD8" i="6" s="1"/>
  <c r="AB15" i="6"/>
  <c r="AD15" i="6" s="1"/>
  <c r="AB7" i="6"/>
  <c r="AD7" i="6" s="1"/>
  <c r="AB11" i="6"/>
  <c r="AD11" i="6" s="1"/>
  <c r="AB17" i="6"/>
  <c r="AD17" i="6" s="1"/>
  <c r="AB12" i="6"/>
  <c r="AD12" i="6" s="1"/>
  <c r="AB29" i="6"/>
  <c r="AD29" i="6" s="1"/>
  <c r="AB22" i="6"/>
  <c r="AD22" i="6" s="1"/>
  <c r="AB26" i="6"/>
  <c r="AD26" i="6" s="1"/>
  <c r="AA38" i="6"/>
  <c r="AA39" i="6" s="1"/>
  <c r="AB30" i="6"/>
  <c r="AD30" i="6" s="1"/>
  <c r="AB36" i="6"/>
  <c r="AD36" i="6" s="1"/>
  <c r="AB35" i="6"/>
  <c r="AD35" i="6" s="1"/>
  <c r="Q38" i="6"/>
  <c r="Q39" i="6" s="1"/>
  <c r="W38" i="6"/>
  <c r="W39" i="6" s="1"/>
  <c r="AB16" i="5"/>
  <c r="AD16" i="5" s="1"/>
  <c r="AB36" i="5"/>
  <c r="AD36" i="5" s="1"/>
  <c r="AB26" i="5"/>
  <c r="AD26" i="5" s="1"/>
  <c r="AB11" i="5"/>
  <c r="AD11" i="5" s="1"/>
  <c r="AB10" i="5"/>
  <c r="AD10" i="5" s="1"/>
  <c r="AB28" i="5"/>
  <c r="AD28" i="5" s="1"/>
  <c r="AB21" i="5"/>
  <c r="AD21" i="5" s="1"/>
  <c r="AB19" i="5"/>
  <c r="AD19" i="5" s="1"/>
  <c r="AB25" i="5"/>
  <c r="AD25" i="5" s="1"/>
  <c r="AB13" i="5"/>
  <c r="AD13" i="5" s="1"/>
  <c r="AB12" i="5"/>
  <c r="AD12" i="5" s="1"/>
  <c r="AB17" i="5"/>
  <c r="AD17" i="5" s="1"/>
  <c r="AB20" i="5"/>
  <c r="AD20" i="5" s="1"/>
  <c r="S38" i="5"/>
  <c r="S39" i="5" s="1"/>
  <c r="O38" i="5"/>
  <c r="O39" i="5" s="1"/>
  <c r="AB7" i="5"/>
  <c r="AB24" i="5"/>
  <c r="AD24" i="5" s="1"/>
  <c r="W38" i="5"/>
  <c r="W39" i="5" s="1"/>
  <c r="AB31" i="5"/>
  <c r="AD31" i="5" s="1"/>
  <c r="AA38" i="5"/>
  <c r="AA39" i="5" s="1"/>
  <c r="AB33" i="5"/>
  <c r="AD33" i="5" s="1"/>
  <c r="Q38" i="4"/>
  <c r="Q40" i="4" s="1"/>
  <c r="Y38" i="4"/>
  <c r="Y40" i="4" s="1"/>
  <c r="U38" i="4"/>
  <c r="U40" i="4" s="1"/>
  <c r="S38" i="4"/>
  <c r="S40" i="4" s="1"/>
  <c r="AB9" i="4"/>
  <c r="AD9" i="4" s="1"/>
  <c r="AA38" i="4"/>
  <c r="AA40" i="4" s="1"/>
  <c r="AB18" i="4"/>
  <c r="AD18" i="4" s="1"/>
  <c r="AB16" i="4"/>
  <c r="AD16" i="4" s="1"/>
  <c r="AB20" i="4"/>
  <c r="AD20" i="4" s="1"/>
  <c r="AB25" i="4"/>
  <c r="AD25" i="4" s="1"/>
  <c r="AB15" i="4"/>
  <c r="AD15" i="4" s="1"/>
  <c r="AB32" i="4"/>
  <c r="AD32" i="4" s="1"/>
  <c r="AB26" i="4"/>
  <c r="AD26" i="4" s="1"/>
  <c r="H17" i="2"/>
  <c r="H18" i="2" s="1"/>
  <c r="AB28" i="4"/>
  <c r="AD28" i="4" s="1"/>
  <c r="AB33" i="4"/>
  <c r="AD33" i="4" s="1"/>
  <c r="AB8" i="4"/>
  <c r="AD8" i="4" s="1"/>
  <c r="AB13" i="4"/>
  <c r="AD13" i="4" s="1"/>
  <c r="AB31" i="4"/>
  <c r="AD31" i="4" s="1"/>
  <c r="AB14" i="4"/>
  <c r="AD14" i="4" s="1"/>
  <c r="AB36" i="4"/>
  <c r="AD36" i="4" s="1"/>
  <c r="AB23" i="4"/>
  <c r="AD23" i="4" s="1"/>
  <c r="AB37" i="4"/>
  <c r="AD37" i="4" s="1"/>
  <c r="AB24" i="4"/>
  <c r="AD24" i="4" s="1"/>
  <c r="AB22" i="4"/>
  <c r="AD22" i="4" s="1"/>
  <c r="AB11" i="4"/>
  <c r="AD11" i="4" s="1"/>
  <c r="AB21" i="4"/>
  <c r="AD21" i="4" s="1"/>
  <c r="AB7" i="4"/>
  <c r="AB19" i="4"/>
  <c r="AD19" i="4" s="1"/>
  <c r="AB34" i="4"/>
  <c r="AD34" i="4" s="1"/>
  <c r="AB12" i="4"/>
  <c r="AD12" i="4" s="1"/>
  <c r="AB17" i="4"/>
  <c r="AD17" i="4" s="1"/>
  <c r="AB27" i="4"/>
  <c r="AD27" i="4" s="1"/>
  <c r="AB30" i="4"/>
  <c r="AD30" i="4" s="1"/>
  <c r="AB10" i="4"/>
  <c r="AD10" i="4" s="1"/>
  <c r="AB35" i="4"/>
  <c r="AD35" i="4" s="1"/>
  <c r="AB29" i="4"/>
  <c r="AD29" i="4" s="1"/>
  <c r="AB8" i="2"/>
  <c r="AD8" i="2" s="1"/>
  <c r="AB30" i="2"/>
  <c r="AD30" i="2" s="1"/>
  <c r="AB36" i="2"/>
  <c r="AD36" i="2" s="1"/>
  <c r="AB25" i="2"/>
  <c r="AD25" i="2" s="1"/>
  <c r="AB31" i="2"/>
  <c r="AD31" i="2" s="1"/>
  <c r="AB28" i="2"/>
  <c r="AD28" i="2" s="1"/>
  <c r="AB37" i="2"/>
  <c r="AD37" i="2" s="1"/>
  <c r="AB16" i="2"/>
  <c r="AD16" i="2" s="1"/>
  <c r="AB19" i="2"/>
  <c r="AD19" i="2" s="1"/>
  <c r="AB34" i="2"/>
  <c r="AD34" i="2" s="1"/>
  <c r="AB24" i="2"/>
  <c r="AD24" i="2" s="1"/>
  <c r="AB9" i="2"/>
  <c r="AD9" i="2" s="1"/>
  <c r="AB17" i="2"/>
  <c r="AD17" i="2" s="1"/>
  <c r="AB35" i="2"/>
  <c r="AD35" i="2" s="1"/>
  <c r="AB18" i="2"/>
  <c r="AD18" i="2" s="1"/>
  <c r="AB13" i="2"/>
  <c r="AD13" i="2" s="1"/>
  <c r="AB26" i="2"/>
  <c r="AD26" i="2" s="1"/>
  <c r="AB27" i="2"/>
  <c r="AD27" i="2" s="1"/>
  <c r="AB11" i="2"/>
  <c r="AD11" i="2" s="1"/>
  <c r="B24" i="3"/>
  <c r="B54" i="3"/>
  <c r="B56" i="3" s="1"/>
  <c r="E56" i="3" s="1"/>
  <c r="F56" i="3" s="1"/>
  <c r="C69" i="3" s="1"/>
  <c r="E69" i="3" s="1"/>
  <c r="D32" i="3"/>
  <c r="D30" i="3"/>
  <c r="D28" i="3"/>
  <c r="D26" i="3"/>
  <c r="D24" i="3"/>
  <c r="D33" i="3"/>
  <c r="D31" i="3"/>
  <c r="D29" i="3"/>
  <c r="D27" i="3"/>
  <c r="D25" i="3"/>
  <c r="D60" i="1"/>
  <c r="F60" i="1" s="1"/>
  <c r="D65" i="1"/>
  <c r="F65" i="1" s="1"/>
  <c r="D64" i="1"/>
  <c r="F64" i="1" s="1"/>
  <c r="D57" i="1"/>
  <c r="D59" i="1"/>
  <c r="F59" i="1" s="1"/>
  <c r="D61" i="1"/>
  <c r="F61" i="1" s="1"/>
  <c r="D58" i="1"/>
  <c r="F58" i="1" s="1"/>
  <c r="D63" i="1"/>
  <c r="F63" i="1" s="1"/>
  <c r="D56" i="1"/>
  <c r="D31" i="1"/>
  <c r="F31" i="1" s="1"/>
  <c r="D32" i="1"/>
  <c r="F32" i="1" s="1"/>
  <c r="D24" i="1"/>
  <c r="F24" i="1" s="1"/>
  <c r="C37" i="1" s="1"/>
  <c r="D37" i="1" s="1"/>
  <c r="D29" i="1"/>
  <c r="F29" i="1" s="1"/>
  <c r="D25" i="1"/>
  <c r="F25" i="1" s="1"/>
  <c r="C38" i="1" s="1"/>
  <c r="D38" i="1" s="1"/>
  <c r="D33" i="1"/>
  <c r="F33" i="1" s="1"/>
  <c r="D26" i="1"/>
  <c r="D27" i="1"/>
  <c r="F27" i="1" s="1"/>
  <c r="D28" i="1"/>
  <c r="F28" i="1" s="1"/>
  <c r="D30" i="1"/>
  <c r="F30" i="1" s="1"/>
  <c r="AA38" i="2" l="1"/>
  <c r="AA40" i="2" s="1"/>
  <c r="U38" i="2"/>
  <c r="U40" i="2" s="1"/>
  <c r="Y38" i="2"/>
  <c r="Y40" i="2" s="1"/>
  <c r="W38" i="2"/>
  <c r="W40" i="2" s="1"/>
  <c r="D40" i="1"/>
  <c r="AB7" i="2"/>
  <c r="AB38" i="2" s="1"/>
  <c r="AB39" i="4"/>
  <c r="AB40" i="4" s="1"/>
  <c r="AB39" i="2"/>
  <c r="AB40" i="6"/>
  <c r="E71" i="1"/>
  <c r="F71" i="1" s="1"/>
  <c r="AB38" i="6"/>
  <c r="AD38" i="6"/>
  <c r="AD39" i="6" s="1"/>
  <c r="AD7" i="5"/>
  <c r="AD38" i="5" s="1"/>
  <c r="AD39" i="5" s="1"/>
  <c r="AB38" i="5"/>
  <c r="AB39" i="5" s="1"/>
  <c r="AB38" i="4"/>
  <c r="AD7" i="4"/>
  <c r="F69" i="3"/>
  <c r="B65" i="3"/>
  <c r="E65" i="3" s="1"/>
  <c r="F65" i="3" s="1"/>
  <c r="B63" i="3"/>
  <c r="E63" i="3" s="1"/>
  <c r="F63" i="3" s="1"/>
  <c r="B61" i="3"/>
  <c r="E61" i="3" s="1"/>
  <c r="F61" i="3" s="1"/>
  <c r="B59" i="3"/>
  <c r="E59" i="3" s="1"/>
  <c r="F59" i="3" s="1"/>
  <c r="B57" i="3"/>
  <c r="E57" i="3" s="1"/>
  <c r="F57" i="3" s="1"/>
  <c r="C70" i="3" s="1"/>
  <c r="E70" i="3" s="1"/>
  <c r="F70" i="3" s="1"/>
  <c r="E24" i="3"/>
  <c r="F24" i="3" s="1"/>
  <c r="C37" i="3" s="1"/>
  <c r="D37" i="3" s="1"/>
  <c r="B29" i="3"/>
  <c r="E29" i="3" s="1"/>
  <c r="F29" i="3" s="1"/>
  <c r="B25" i="3"/>
  <c r="E25" i="3" s="1"/>
  <c r="F25" i="3" s="1"/>
  <c r="C38" i="3" s="1"/>
  <c r="D38" i="3" s="1"/>
  <c r="B32" i="3"/>
  <c r="E32" i="3" s="1"/>
  <c r="F32" i="3" s="1"/>
  <c r="B30" i="3"/>
  <c r="E30" i="3" s="1"/>
  <c r="F30" i="3" s="1"/>
  <c r="B28" i="3"/>
  <c r="E28" i="3" s="1"/>
  <c r="B26" i="3"/>
  <c r="E26" i="3" s="1"/>
  <c r="F26" i="3" s="1"/>
  <c r="B31" i="3"/>
  <c r="E31" i="3" s="1"/>
  <c r="F31" i="3" s="1"/>
  <c r="B27" i="3"/>
  <c r="E27" i="3" s="1"/>
  <c r="F27" i="3" s="1"/>
  <c r="B64" i="3"/>
  <c r="E64" i="3" s="1"/>
  <c r="F64" i="3" s="1"/>
  <c r="B62" i="3"/>
  <c r="E62" i="3" s="1"/>
  <c r="F62" i="3" s="1"/>
  <c r="B60" i="3"/>
  <c r="E60" i="3" s="1"/>
  <c r="F60" i="3" s="1"/>
  <c r="B58" i="3"/>
  <c r="E58" i="3" s="1"/>
  <c r="F58" i="3" s="1"/>
  <c r="B33" i="3"/>
  <c r="E33" i="3" s="1"/>
  <c r="F33" i="3" s="1"/>
  <c r="F28" i="3"/>
  <c r="F26" i="1"/>
  <c r="E72" i="1"/>
  <c r="F72" i="1" s="1"/>
  <c r="F57" i="1"/>
  <c r="C70" i="1" s="1"/>
  <c r="E70" i="1" s="1"/>
  <c r="F70" i="1" s="1"/>
  <c r="F56" i="1"/>
  <c r="C69" i="1" s="1"/>
  <c r="E69" i="1" s="1"/>
  <c r="F69" i="1" s="1"/>
  <c r="AB40" i="2" l="1"/>
  <c r="D39" i="1"/>
  <c r="D44" i="1" s="1"/>
  <c r="AD7" i="2"/>
  <c r="AB39" i="6"/>
  <c r="AB42" i="6" s="1"/>
  <c r="AD38" i="2"/>
  <c r="AD40" i="2" s="1"/>
  <c r="AD38" i="4"/>
  <c r="AD40" i="4" s="1"/>
  <c r="D39" i="3"/>
  <c r="E71" i="3"/>
  <c r="F71" i="3" s="1"/>
  <c r="D40" i="3"/>
  <c r="E72" i="3"/>
  <c r="F72" i="3" s="1"/>
  <c r="E76" i="1"/>
  <c r="F76" i="1"/>
  <c r="AB40" i="5" l="1"/>
  <c r="D44" i="3"/>
  <c r="F76" i="3"/>
  <c r="E76" i="3"/>
  <c r="AD40" i="6" l="1"/>
  <c r="AD42" i="6" s="1"/>
  <c r="AD40" i="5"/>
  <c r="AD42" i="5" s="1"/>
  <c r="AB42" i="5"/>
</calcChain>
</file>

<file path=xl/sharedStrings.xml><?xml version="1.0" encoding="utf-8"?>
<sst xmlns="http://schemas.openxmlformats.org/spreadsheetml/2006/main" count="959" uniqueCount="163">
  <si>
    <t>Propeller noise prediction (empirical)</t>
  </si>
  <si>
    <t>What</t>
  </si>
  <si>
    <t>Value</t>
  </si>
  <si>
    <t>Unit</t>
  </si>
  <si>
    <t>Pbr</t>
  </si>
  <si>
    <t>kW</t>
  </si>
  <si>
    <t>D</t>
  </si>
  <si>
    <t>m</t>
  </si>
  <si>
    <t>rpm</t>
  </si>
  <si>
    <t>np</t>
  </si>
  <si>
    <t>c</t>
  </si>
  <si>
    <t>m/s</t>
  </si>
  <si>
    <t>r</t>
  </si>
  <si>
    <t>Np</t>
  </si>
  <si>
    <t>-</t>
  </si>
  <si>
    <t>B</t>
  </si>
  <si>
    <t>Mt</t>
  </si>
  <si>
    <t>SPL_max,1</t>
  </si>
  <si>
    <t>L1</t>
  </si>
  <si>
    <t>dB</t>
  </si>
  <si>
    <t>Correction B</t>
  </si>
  <si>
    <t>Correction D</t>
  </si>
  <si>
    <t>Correction M</t>
  </si>
  <si>
    <t>Correction X</t>
  </si>
  <si>
    <t>Correction Fuselage</t>
  </si>
  <si>
    <t>Summation of first 5 steps</t>
  </si>
  <si>
    <t>JPL Nasa method Near-Field</t>
  </si>
  <si>
    <t>Hz</t>
  </si>
  <si>
    <t>fundamental blade passage frequency</t>
  </si>
  <si>
    <t>Harmonic order</t>
  </si>
  <si>
    <t>Frequency (Hz)</t>
  </si>
  <si>
    <t>Harmonic level, dB</t>
  </si>
  <si>
    <t>Harmonic level dB SPL</t>
  </si>
  <si>
    <t xml:space="preserve">Fundamental </t>
  </si>
  <si>
    <t>Preferred octave passbands</t>
  </si>
  <si>
    <t>Harmonics</t>
  </si>
  <si>
    <t>Harmonic levels dB</t>
  </si>
  <si>
    <t>45-90</t>
  </si>
  <si>
    <t>90-180</t>
  </si>
  <si>
    <t>180-355</t>
  </si>
  <si>
    <t>355-710</t>
  </si>
  <si>
    <t>710-1400</t>
  </si>
  <si>
    <t>1400-2800</t>
  </si>
  <si>
    <t>2800-3600</t>
  </si>
  <si>
    <t>5600-11200</t>
  </si>
  <si>
    <t>n.a.</t>
  </si>
  <si>
    <t>Overall</t>
  </si>
  <si>
    <t>Octave band level</t>
  </si>
  <si>
    <t>JPL Nasa Far-Field Noise</t>
  </si>
  <si>
    <t>far field d</t>
  </si>
  <si>
    <t>Correction Dir</t>
  </si>
  <si>
    <t>Correction Distance</t>
  </si>
  <si>
    <t>Summation</t>
  </si>
  <si>
    <t>fundamental blade frequency</t>
  </si>
  <si>
    <t>Molecular absorption</t>
  </si>
  <si>
    <t>Octave band level corrected</t>
  </si>
  <si>
    <t>379.8, 506.4, 633</t>
  </si>
  <si>
    <t>759.6, 886.2, 1012.8, 1139.4, 1266</t>
  </si>
  <si>
    <t>118.7, 115.7, 113.7</t>
  </si>
  <si>
    <t>112.7 111.7 111.7 111.7 111.7</t>
  </si>
  <si>
    <t>60.8, 57.8 55.8</t>
  </si>
  <si>
    <t>54.8 53.8 (4x)</t>
  </si>
  <si>
    <t>RA weight</t>
  </si>
  <si>
    <t>A corrected</t>
  </si>
  <si>
    <t>384, 512, 640</t>
  </si>
  <si>
    <t>768, 896, 1024, 1152, 1280</t>
  </si>
  <si>
    <t>Aircraft weight</t>
  </si>
  <si>
    <t>N</t>
  </si>
  <si>
    <t>V_cruise</t>
  </si>
  <si>
    <t>SPL_airframe</t>
  </si>
  <si>
    <t>Fink</t>
  </si>
  <si>
    <t>trailing-edge noise</t>
  </si>
  <si>
    <t>M</t>
  </si>
  <si>
    <t>Aw</t>
  </si>
  <si>
    <t>bw</t>
  </si>
  <si>
    <t>mu</t>
  </si>
  <si>
    <t>m2</t>
  </si>
  <si>
    <t>Pa*s</t>
  </si>
  <si>
    <t>rho</t>
  </si>
  <si>
    <t>kg/m3</t>
  </si>
  <si>
    <t>base_freq</t>
  </si>
  <si>
    <t>S</t>
  </si>
  <si>
    <t>theta</t>
  </si>
  <si>
    <t>L</t>
  </si>
  <si>
    <t>rad</t>
  </si>
  <si>
    <t>SPL</t>
  </si>
  <si>
    <t>New wing</t>
  </si>
  <si>
    <t>K</t>
  </si>
  <si>
    <t>a</t>
  </si>
  <si>
    <t>G</t>
  </si>
  <si>
    <t>P</t>
  </si>
  <si>
    <t>pe^2</t>
  </si>
  <si>
    <t>S_new</t>
  </si>
  <si>
    <t>F_new</t>
  </si>
  <si>
    <t>D_wing_new</t>
  </si>
  <si>
    <t>pref</t>
  </si>
  <si>
    <t>Horizontal tail</t>
  </si>
  <si>
    <t>bwh</t>
  </si>
  <si>
    <t>Ah</t>
  </si>
  <si>
    <t>Vertical Tail</t>
  </si>
  <si>
    <t>bwv</t>
  </si>
  <si>
    <t>Av</t>
  </si>
  <si>
    <t>S_hor</t>
  </si>
  <si>
    <t>F_hor</t>
  </si>
  <si>
    <t>D_hor</t>
  </si>
  <si>
    <t>S_ver</t>
  </si>
  <si>
    <t>F_ver</t>
  </si>
  <si>
    <t>D_ver</t>
  </si>
  <si>
    <t>phi</t>
  </si>
  <si>
    <t>Flaps</t>
  </si>
  <si>
    <t>Aflap</t>
  </si>
  <si>
    <t>delta</t>
  </si>
  <si>
    <t>bf</t>
  </si>
  <si>
    <t>S_flap</t>
  </si>
  <si>
    <t>F_flap</t>
  </si>
  <si>
    <t>D_flap</t>
  </si>
  <si>
    <t>Landing strut</t>
  </si>
  <si>
    <t>d_strut</t>
  </si>
  <si>
    <t>l_strut</t>
  </si>
  <si>
    <t>Nose LG</t>
  </si>
  <si>
    <t>Main lg</t>
  </si>
  <si>
    <t>dwheel_MG</t>
  </si>
  <si>
    <t>n_wheel_MG</t>
  </si>
  <si>
    <t>dwheel_NG</t>
  </si>
  <si>
    <t>n_wheel_NG</t>
  </si>
  <si>
    <t>F</t>
  </si>
  <si>
    <t>D_lg</t>
  </si>
  <si>
    <t>D_strut</t>
  </si>
  <si>
    <t>Frequency</t>
  </si>
  <si>
    <t>Wing</t>
  </si>
  <si>
    <t>S_wing</t>
  </si>
  <si>
    <t>SPL_wing</t>
  </si>
  <si>
    <t>Hor_tail</t>
  </si>
  <si>
    <t>Ver_tail</t>
  </si>
  <si>
    <t>S_hor_tail</t>
  </si>
  <si>
    <t>SPL_hor_tail</t>
  </si>
  <si>
    <t>S_ver_tail</t>
  </si>
  <si>
    <t>SPL_ver_tail</t>
  </si>
  <si>
    <t>S_flaps</t>
  </si>
  <si>
    <t>SPL_flaps</t>
  </si>
  <si>
    <t>Nose lg</t>
  </si>
  <si>
    <t>S_nose</t>
  </si>
  <si>
    <t>SPL_nose</t>
  </si>
  <si>
    <t>S_main</t>
  </si>
  <si>
    <t>SPL_main</t>
  </si>
  <si>
    <t>S_strut</t>
  </si>
  <si>
    <t>SPL_strut</t>
  </si>
  <si>
    <t>Strut</t>
  </si>
  <si>
    <t>Total</t>
  </si>
  <si>
    <t>SPL_tot</t>
  </si>
  <si>
    <t>A-frame correction</t>
  </si>
  <si>
    <t>SPL_tot_A</t>
  </si>
  <si>
    <t>Total noise</t>
  </si>
  <si>
    <t>Total at 120.5</t>
  </si>
  <si>
    <t>r2</t>
  </si>
  <si>
    <t>Propeller</t>
  </si>
  <si>
    <t>Combustor</t>
  </si>
  <si>
    <t>Total at</t>
  </si>
  <si>
    <t>gradient</t>
  </si>
  <si>
    <t>360, 480, 600</t>
  </si>
  <si>
    <t>720, 840, 960, 1080, 1200</t>
  </si>
  <si>
    <t>prop</t>
  </si>
  <si>
    <t>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</si>
</sst>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19.902671250617097</c:v>
                </c:pt>
                <c:pt idx="1">
                  <c:v>31.516076436844319</c:v>
                </c:pt>
                <c:pt idx="2">
                  <c:v>38.020960337690973</c:v>
                </c:pt>
                <c:pt idx="3">
                  <c:v>42.401389793300403</c:v>
                </c:pt>
                <c:pt idx="4">
                  <c:v>45.603355638629935</c:v>
                </c:pt>
                <c:pt idx="5">
                  <c:v>48.05413333892767</c:v>
                </c:pt>
                <c:pt idx="6">
                  <c:v>49.985172317896172</c:v>
                </c:pt>
                <c:pt idx="7">
                  <c:v>51.536806289724396</c:v>
                </c:pt>
                <c:pt idx="8">
                  <c:v>52.800908736594877</c:v>
                </c:pt>
                <c:pt idx="9">
                  <c:v>53.841043118587038</c:v>
                </c:pt>
                <c:pt idx="10">
                  <c:v>58.199944517458135</c:v>
                </c:pt>
                <c:pt idx="11">
                  <c:v>58.63605016434478</c:v>
                </c:pt>
                <c:pt idx="12">
                  <c:v>58.105765146522053</c:v>
                </c:pt>
                <c:pt idx="13">
                  <c:v>57.302651330649546</c:v>
                </c:pt>
                <c:pt idx="14">
                  <c:v>56.439777626016301</c:v>
                </c:pt>
                <c:pt idx="15">
                  <c:v>55.590688893190283</c:v>
                </c:pt>
                <c:pt idx="16">
                  <c:v>54.781004783513438</c:v>
                </c:pt>
                <c:pt idx="17">
                  <c:v>54.01819389024017</c:v>
                </c:pt>
                <c:pt idx="18">
                  <c:v>53.302534216371285</c:v>
                </c:pt>
                <c:pt idx="19">
                  <c:v>48.056497810086384</c:v>
                </c:pt>
                <c:pt idx="20">
                  <c:v>44.733202603968834</c:v>
                </c:pt>
                <c:pt idx="21">
                  <c:v>42.31822617534565</c:v>
                </c:pt>
                <c:pt idx="22">
                  <c:v>40.424364645616279</c:v>
                </c:pt>
                <c:pt idx="23">
                  <c:v>38.867481128382245</c:v>
                </c:pt>
                <c:pt idx="24">
                  <c:v>37.5461190696739</c:v>
                </c:pt>
                <c:pt idx="25">
                  <c:v>36.398552535382564</c:v>
                </c:pt>
                <c:pt idx="26">
                  <c:v>35.384469664355265</c:v>
                </c:pt>
                <c:pt idx="27">
                  <c:v>34.476106760433993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8-4BC4-B698-B15B9BE6CC06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-33.859435580867448</c:v>
                </c:pt>
                <c:pt idx="1">
                  <c:v>-21.825049642890114</c:v>
                </c:pt>
                <c:pt idx="2">
                  <c:v>-14.790218969539694</c:v>
                </c:pt>
                <c:pt idx="3">
                  <c:v>-9.8031079457832409</c:v>
                </c:pt>
                <c:pt idx="4">
                  <c:v>-5.9385399215591175</c:v>
                </c:pt>
                <c:pt idx="5">
                  <c:v>-2.7843642546491632</c:v>
                </c:pt>
                <c:pt idx="6">
                  <c:v>-0.12069603475830783</c:v>
                </c:pt>
                <c:pt idx="7">
                  <c:v>2.1837369712394601</c:v>
                </c:pt>
                <c:pt idx="8">
                  <c:v>4.2136224854333362</c:v>
                </c:pt>
                <c:pt idx="9">
                  <c:v>6.0267953445710898</c:v>
                </c:pt>
                <c:pt idx="10">
                  <c:v>17.855194373216516</c:v>
                </c:pt>
                <c:pt idx="11">
                  <c:v>24.627095504994521</c:v>
                </c:pt>
                <c:pt idx="12">
                  <c:v>29.308243890429672</c:v>
                </c:pt>
                <c:pt idx="13">
                  <c:v>32.832597881389731</c:v>
                </c:pt>
                <c:pt idx="14">
                  <c:v>35.618708864078229</c:v>
                </c:pt>
                <c:pt idx="15">
                  <c:v>37.891471407632878</c:v>
                </c:pt>
                <c:pt idx="16">
                  <c:v>39.786239845858468</c:v>
                </c:pt>
                <c:pt idx="17">
                  <c:v>41.391110314725708</c:v>
                </c:pt>
                <c:pt idx="18">
                  <c:v>42.766807592010736</c:v>
                </c:pt>
                <c:pt idx="19">
                  <c:v>49.944739958365531</c:v>
                </c:pt>
                <c:pt idx="20">
                  <c:v>52.215494799127065</c:v>
                </c:pt>
                <c:pt idx="21">
                  <c:v>52.863836011311854</c:v>
                </c:pt>
                <c:pt idx="22">
                  <c:v>52.846894486610303</c:v>
                </c:pt>
                <c:pt idx="23">
                  <c:v>52.5311775390172</c:v>
                </c:pt>
                <c:pt idx="24">
                  <c:v>52.077725062878699</c:v>
                </c:pt>
                <c:pt idx="25">
                  <c:v>51.563592119897024</c:v>
                </c:pt>
                <c:pt idx="26">
                  <c:v>51.027718461657372</c:v>
                </c:pt>
                <c:pt idx="27">
                  <c:v>50.490405891649857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8-4BC4-B698-B15B9BE6CC06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69.969242155307441</c:v>
                </c:pt>
                <c:pt idx="1">
                  <c:v>68.313577179155544</c:v>
                </c:pt>
                <c:pt idx="2">
                  <c:v>67.345075254349297</c:v>
                </c:pt>
                <c:pt idx="3">
                  <c:v>66.657912203003647</c:v>
                </c:pt>
                <c:pt idx="4">
                  <c:v>66.124907131459338</c:v>
                </c:pt>
                <c:pt idx="5">
                  <c:v>65.689410278197414</c:v>
                </c:pt>
                <c:pt idx="6">
                  <c:v>65.321202935229039</c:v>
                </c:pt>
                <c:pt idx="7">
                  <c:v>65.002247226851765</c:v>
                </c:pt>
                <c:pt idx="8">
                  <c:v>64.720908353391152</c:v>
                </c:pt>
                <c:pt idx="9">
                  <c:v>64.469242155307441</c:v>
                </c:pt>
                <c:pt idx="10">
                  <c:v>62.813577179155551</c:v>
                </c:pt>
                <c:pt idx="11">
                  <c:v>61.845075254349304</c:v>
                </c:pt>
                <c:pt idx="12">
                  <c:v>61.157912203003654</c:v>
                </c:pt>
                <c:pt idx="13">
                  <c:v>60.624907131459345</c:v>
                </c:pt>
                <c:pt idx="14">
                  <c:v>60.1894102781974</c:v>
                </c:pt>
                <c:pt idx="15">
                  <c:v>59.821202935229032</c:v>
                </c:pt>
                <c:pt idx="16">
                  <c:v>59.502247226851765</c:v>
                </c:pt>
                <c:pt idx="17">
                  <c:v>59.22090835339116</c:v>
                </c:pt>
                <c:pt idx="18">
                  <c:v>58.969242155307448</c:v>
                </c:pt>
                <c:pt idx="19">
                  <c:v>57.313577179155544</c:v>
                </c:pt>
                <c:pt idx="20">
                  <c:v>56.345075254349304</c:v>
                </c:pt>
                <c:pt idx="21">
                  <c:v>55.657912203003654</c:v>
                </c:pt>
                <c:pt idx="22">
                  <c:v>55.124907131459338</c:v>
                </c:pt>
                <c:pt idx="23">
                  <c:v>54.6894102781974</c:v>
                </c:pt>
                <c:pt idx="24">
                  <c:v>54.321202935229032</c:v>
                </c:pt>
                <c:pt idx="25">
                  <c:v>54.00224722685175</c:v>
                </c:pt>
                <c:pt idx="26">
                  <c:v>53.72090835339116</c:v>
                </c:pt>
                <c:pt idx="27">
                  <c:v>53.469242155307448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8-4BC4-B698-B15B9BE6CC06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11.306776932967043</c:v>
                </c:pt>
                <c:pt idx="1">
                  <c:v>17.234230734269978</c:v>
                </c:pt>
                <c:pt idx="2">
                  <c:v>20.602758739382043</c:v>
                </c:pt>
                <c:pt idx="3">
                  <c:v>22.890879126037209</c:v>
                </c:pt>
                <c:pt idx="4">
                  <c:v>24.564744344108004</c:v>
                </c:pt>
                <c:pt idx="5">
                  <c:v>25.8347120792967</c:v>
                </c:pt>
                <c:pt idx="6">
                  <c:v>26.815492819060989</c:v>
                </c:pt>
                <c:pt idx="7">
                  <c:v>27.577756512007227</c:v>
                </c:pt>
                <c:pt idx="8">
                  <c:v>28.168950136443751</c:v>
                </c:pt>
                <c:pt idx="9">
                  <c:v>28.622999003078291</c:v>
                </c:pt>
                <c:pt idx="10">
                  <c:v>29.300200660404457</c:v>
                </c:pt>
                <c:pt idx="11">
                  <c:v>27.6252714673452</c:v>
                </c:pt>
                <c:pt idx="12">
                  <c:v>25.67003186278335</c:v>
                </c:pt>
                <c:pt idx="13">
                  <c:v>23.839227528905468</c:v>
                </c:pt>
                <c:pt idx="14">
                  <c:v>22.196939607997692</c:v>
                </c:pt>
                <c:pt idx="15">
                  <c:v>20.732388376601278</c:v>
                </c:pt>
                <c:pt idx="16">
                  <c:v>19.420750520338849</c:v>
                </c:pt>
                <c:pt idx="17">
                  <c:v>18.237801570287491</c:v>
                </c:pt>
                <c:pt idx="18">
                  <c:v>17.163016916392838</c:v>
                </c:pt>
                <c:pt idx="19">
                  <c:v>9.8617157230385271</c:v>
                </c:pt>
                <c:pt idx="20">
                  <c:v>5.501570571477493</c:v>
                </c:pt>
                <c:pt idx="21">
                  <c:v>2.3928929008968018</c:v>
                </c:pt>
                <c:pt idx="22">
                  <c:v>-2.3003835781301087E-2</c:v>
                </c:pt>
                <c:pt idx="23">
                  <c:v>-1.9988100342132999</c:v>
                </c:pt>
                <c:pt idx="24">
                  <c:v>-3.6702330595359274</c:v>
                </c:pt>
                <c:pt idx="25">
                  <c:v>-5.1185732527551568</c:v>
                </c:pt>
                <c:pt idx="26">
                  <c:v>-6.3963862582154505</c:v>
                </c:pt>
                <c:pt idx="27">
                  <c:v>-7.5396081254625367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8-4BC4-B698-B15B9BE6CC06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40.204599923773017</c:v>
                </c:pt>
                <c:pt idx="1">
                  <c:v>46.206969816373508</c:v>
                </c:pt>
                <c:pt idx="2">
                  <c:v>49.698487004555886</c:v>
                </c:pt>
                <c:pt idx="3">
                  <c:v>52.154987855984217</c:v>
                </c:pt>
                <c:pt idx="4">
                  <c:v>54.039103336077766</c:v>
                </c:pt>
                <c:pt idx="5">
                  <c:v>55.557028599810664</c:v>
                </c:pt>
                <c:pt idx="6">
                  <c:v>56.818884591192436</c:v>
                </c:pt>
                <c:pt idx="7">
                  <c:v>57.89053431105431</c:v>
                </c:pt>
                <c:pt idx="8">
                  <c:v>58.814589789569354</c:v>
                </c:pt>
                <c:pt idx="9">
                  <c:v>59.620272176752437</c:v>
                </c:pt>
                <c:pt idx="10">
                  <c:v>64.057573495391452</c:v>
                </c:pt>
                <c:pt idx="11">
                  <c:v>65.404338527128274</c:v>
                </c:pt>
                <c:pt idx="12">
                  <c:v>65.495629655544434</c:v>
                </c:pt>
                <c:pt idx="13">
                  <c:v>65.015785847825939</c:v>
                </c:pt>
                <c:pt idx="14">
                  <c:v>64.279769837686999</c:v>
                </c:pt>
                <c:pt idx="15">
                  <c:v>63.4403162861461</c:v>
                </c:pt>
                <c:pt idx="16">
                  <c:v>62.57274579651326</c:v>
                </c:pt>
                <c:pt idx="17">
                  <c:v>61.714145451659689</c:v>
                </c:pt>
                <c:pt idx="18">
                  <c:v>60.8822707254322</c:v>
                </c:pt>
                <c:pt idx="19">
                  <c:v>54.426949350072462</c:v>
                </c:pt>
                <c:pt idx="20">
                  <c:v>50.236438564236039</c:v>
                </c:pt>
                <c:pt idx="21">
                  <c:v>47.188187639398855</c:v>
                </c:pt>
                <c:pt idx="22">
                  <c:v>44.800449255533145</c:v>
                </c:pt>
                <c:pt idx="23">
                  <c:v>42.839989648962977</c:v>
                </c:pt>
                <c:pt idx="24">
                  <c:v>41.177837462424762</c:v>
                </c:pt>
                <c:pt idx="25">
                  <c:v>39.735521395045559</c:v>
                </c:pt>
                <c:pt idx="26">
                  <c:v>38.461841697423061</c:v>
                </c:pt>
                <c:pt idx="27">
                  <c:v>37.321577953231987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38-4BC4-B698-B15B9BE6CC06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69.973878341134466</c:v>
                </c:pt>
                <c:pt idx="1">
                  <c:v>68.341176330723158</c:v>
                </c:pt>
                <c:pt idx="2">
                  <c:v>67.424192379499473</c:v>
                </c:pt>
                <c:pt idx="3">
                  <c:v>66.825132493902416</c:v>
                </c:pt>
                <c:pt idx="4">
                  <c:v>66.422001101088711</c:v>
                </c:pt>
                <c:pt idx="5">
                  <c:v>66.159595093566963</c:v>
                </c:pt>
                <c:pt idx="6">
                  <c:v>66.005256483315833</c:v>
                </c:pt>
                <c:pt idx="7">
                  <c:v>65.935307227630389</c:v>
                </c:pt>
                <c:pt idx="8">
                  <c:v>65.930465008206596</c:v>
                </c:pt>
                <c:pt idx="9">
                  <c:v>65.974402437748935</c:v>
                </c:pt>
                <c:pt idx="10">
                  <c:v>67.091379350959841</c:v>
                </c:pt>
                <c:pt idx="11">
                  <c:v>67.582714499581428</c:v>
                </c:pt>
                <c:pt idx="12">
                  <c:v>67.401931840037577</c:v>
                </c:pt>
                <c:pt idx="13">
                  <c:v>66.873580320374543</c:v>
                </c:pt>
                <c:pt idx="14">
                  <c:v>66.199236497542202</c:v>
                </c:pt>
                <c:pt idx="15">
                  <c:v>65.485633497717004</c:v>
                </c:pt>
                <c:pt idx="16">
                  <c:v>64.786132820026609</c:v>
                </c:pt>
                <c:pt idx="17">
                  <c:v>64.125959611335077</c:v>
                </c:pt>
                <c:pt idx="18">
                  <c:v>63.515776731927559</c:v>
                </c:pt>
                <c:pt idx="19">
                  <c:v>59.905689417032278</c:v>
                </c:pt>
                <c:pt idx="20">
                  <c:v>58.650568447111723</c:v>
                </c:pt>
                <c:pt idx="21">
                  <c:v>57.998340421595444</c:v>
                </c:pt>
                <c:pt idx="22">
                  <c:v>57.476483024656389</c:v>
                </c:pt>
                <c:pt idx="23">
                  <c:v>56.99364402984078</c:v>
                </c:pt>
                <c:pt idx="24">
                  <c:v>56.538202563888824</c:v>
                </c:pt>
                <c:pt idx="25">
                  <c:v>56.111277372051305</c:v>
                </c:pt>
                <c:pt idx="26">
                  <c:v>55.714026810136012</c:v>
                </c:pt>
                <c:pt idx="27">
                  <c:v>55.346087408590378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38-4BC4-B698-B15B9BE6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8320"/>
        <c:axId val="1667137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-94.505571081600721</c:v>
                      </c:pt>
                      <c:pt idx="1">
                        <c:v>-82.465683855626978</c:v>
                      </c:pt>
                      <c:pt idx="2">
                        <c:v>-75.423733100747356</c:v>
                      </c:pt>
                      <c:pt idx="3">
                        <c:v>-70.42819608728</c:v>
                      </c:pt>
                      <c:pt idx="4">
                        <c:v>-66.554077961579338</c:v>
                      </c:pt>
                      <c:pt idx="5">
                        <c:v>-63.389351483786392</c:v>
                      </c:pt>
                      <c:pt idx="6">
                        <c:v>-60.71422293784665</c:v>
                      </c:pt>
                      <c:pt idx="7">
                        <c:v>-58.397491254312797</c:v>
                      </c:pt>
                      <c:pt idx="8">
                        <c:v>-56.354526400909663</c:v>
                      </c:pt>
                      <c:pt idx="9">
                        <c:v>-54.527541647887602</c:v>
                      </c:pt>
                      <c:pt idx="10">
                        <c:v>-42.527749609878725</c:v>
                      </c:pt>
                      <c:pt idx="11">
                        <c:v>-35.537574100015256</c:v>
                      </c:pt>
                      <c:pt idx="12">
                        <c:v>-30.603137119389189</c:v>
                      </c:pt>
                      <c:pt idx="13">
                        <c:v>-26.79804719278993</c:v>
                      </c:pt>
                      <c:pt idx="14">
                        <c:v>-23.709308345045457</c:v>
                      </c:pt>
                      <c:pt idx="15">
                        <c:v>-21.116394897680316</c:v>
                      </c:pt>
                      <c:pt idx="16">
                        <c:v>-18.887521764565257</c:v>
                      </c:pt>
                      <c:pt idx="17">
                        <c:v>-16.937575047489531</c:v>
                      </c:pt>
                      <c:pt idx="18">
                        <c:v>-15.208355958301766</c:v>
                      </c:pt>
                      <c:pt idx="19">
                        <c:v>-4.3841222866110447</c:v>
                      </c:pt>
                      <c:pt idx="20">
                        <c:v>1.2005652677904934</c:v>
                      </c:pt>
                      <c:pt idx="21">
                        <c:v>4.6153264140314594</c:v>
                      </c:pt>
                      <c:pt idx="22">
                        <c:v>6.8553186657140852</c:v>
                      </c:pt>
                      <c:pt idx="23">
                        <c:v>8.3762824467317341</c:v>
                      </c:pt>
                      <c:pt idx="24">
                        <c:v>9.4252812364194334</c:v>
                      </c:pt>
                      <c:pt idx="25">
                        <c:v>10.150186204765223</c:v>
                      </c:pt>
                      <c:pt idx="26">
                        <c:v>10.645390218538004</c:v>
                      </c:pt>
                      <c:pt idx="27">
                        <c:v>10.973936408985219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C38-4BC4-B698-B15B9BE6CC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10.739930490368717</c:v>
                      </c:pt>
                      <c:pt idx="1">
                        <c:v>10.739930490368636</c:v>
                      </c:pt>
                      <c:pt idx="2">
                        <c:v>10.739930490366641</c:v>
                      </c:pt>
                      <c:pt idx="3">
                        <c:v>10.739930490347966</c:v>
                      </c:pt>
                      <c:pt idx="4">
                        <c:v>10.739930490245023</c:v>
                      </c:pt>
                      <c:pt idx="5">
                        <c:v>10.739930489836851</c:v>
                      </c:pt>
                      <c:pt idx="6">
                        <c:v>10.739930488543244</c:v>
                      </c:pt>
                      <c:pt idx="7">
                        <c:v>10.739930485056062</c:v>
                      </c:pt>
                      <c:pt idx="8">
                        <c:v>10.739930476737589</c:v>
                      </c:pt>
                      <c:pt idx="9">
                        <c:v>10.739930458702824</c:v>
                      </c:pt>
                      <c:pt idx="10">
                        <c:v>10.739922383907397</c:v>
                      </c:pt>
                      <c:pt idx="11">
                        <c:v>10.739722735406875</c:v>
                      </c:pt>
                      <c:pt idx="12">
                        <c:v>10.737855730001275</c:v>
                      </c:pt>
                      <c:pt idx="13">
                        <c:v>10.727578582380961</c:v>
                      </c:pt>
                      <c:pt idx="14">
                        <c:v>10.687066991789489</c:v>
                      </c:pt>
                      <c:pt idx="15">
                        <c:v>10.561115207406855</c:v>
                      </c:pt>
                      <c:pt idx="16">
                        <c:v>10.238730915450965</c:v>
                      </c:pt>
                      <c:pt idx="17">
                        <c:v>9.5544119930638711</c:v>
                      </c:pt>
                      <c:pt idx="18">
                        <c:v>8.3616435919676046</c:v>
                      </c:pt>
                      <c:pt idx="19">
                        <c:v>-11.993748309323131</c:v>
                      </c:pt>
                      <c:pt idx="20">
                        <c:v>-26.05875206344367</c:v>
                      </c:pt>
                      <c:pt idx="21">
                        <c:v>-36.053034137210673</c:v>
                      </c:pt>
                      <c:pt idx="22">
                        <c:v>-43.805759540929159</c:v>
                      </c:pt>
                      <c:pt idx="23">
                        <c:v>-50.14024752285551</c:v>
                      </c:pt>
                      <c:pt idx="24">
                        <c:v>-55.495988180295569</c:v>
                      </c:pt>
                      <c:pt idx="25">
                        <c:v>-60.13534326031462</c:v>
                      </c:pt>
                      <c:pt idx="26">
                        <c:v>-64.227544839450104</c:v>
                      </c:pt>
                      <c:pt idx="27">
                        <c:v>-67.888144005498788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C38-4BC4-B698-B15B9BE6CC06}"/>
                  </c:ext>
                </c:extLst>
              </c15:ser>
            </c15:filteredLineSeries>
          </c:ext>
        </c:extLst>
      </c:lineChart>
      <c:catAx>
        <c:axId val="1667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13760"/>
        <c:crosses val="autoZero"/>
        <c:auto val="1"/>
        <c:lblAlgn val="ctr"/>
        <c:lblOffset val="100"/>
        <c:noMultiLvlLbl val="0"/>
      </c:catAx>
      <c:valAx>
        <c:axId val="1667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19.902671250617097</c:v>
                </c:pt>
                <c:pt idx="1">
                  <c:v>31.516076436844319</c:v>
                </c:pt>
                <c:pt idx="2">
                  <c:v>38.020960337690973</c:v>
                </c:pt>
                <c:pt idx="3">
                  <c:v>42.401389793300403</c:v>
                </c:pt>
                <c:pt idx="4">
                  <c:v>45.603355638629935</c:v>
                </c:pt>
                <c:pt idx="5">
                  <c:v>48.05413333892767</c:v>
                </c:pt>
                <c:pt idx="6">
                  <c:v>49.985172317896172</c:v>
                </c:pt>
                <c:pt idx="7">
                  <c:v>51.536806289724396</c:v>
                </c:pt>
                <c:pt idx="8">
                  <c:v>52.800908736594877</c:v>
                </c:pt>
                <c:pt idx="9">
                  <c:v>53.841043118587038</c:v>
                </c:pt>
                <c:pt idx="10">
                  <c:v>58.199944517458135</c:v>
                </c:pt>
                <c:pt idx="11">
                  <c:v>58.63605016434478</c:v>
                </c:pt>
                <c:pt idx="12">
                  <c:v>58.105765146522053</c:v>
                </c:pt>
                <c:pt idx="13">
                  <c:v>57.302651330649546</c:v>
                </c:pt>
                <c:pt idx="14">
                  <c:v>56.439777626016301</c:v>
                </c:pt>
                <c:pt idx="15">
                  <c:v>55.590688893190283</c:v>
                </c:pt>
                <c:pt idx="16">
                  <c:v>54.781004783513438</c:v>
                </c:pt>
                <c:pt idx="17">
                  <c:v>54.01819389024017</c:v>
                </c:pt>
                <c:pt idx="18">
                  <c:v>53.302534216371285</c:v>
                </c:pt>
                <c:pt idx="19">
                  <c:v>48.056497810086384</c:v>
                </c:pt>
                <c:pt idx="20">
                  <c:v>44.733202603968834</c:v>
                </c:pt>
                <c:pt idx="21">
                  <c:v>42.31822617534565</c:v>
                </c:pt>
                <c:pt idx="22">
                  <c:v>40.424364645616279</c:v>
                </c:pt>
                <c:pt idx="23">
                  <c:v>38.867481128382245</c:v>
                </c:pt>
                <c:pt idx="24">
                  <c:v>37.5461190696739</c:v>
                </c:pt>
                <c:pt idx="25">
                  <c:v>36.398552535382564</c:v>
                </c:pt>
                <c:pt idx="26">
                  <c:v>35.384469664355265</c:v>
                </c:pt>
                <c:pt idx="27">
                  <c:v>34.476106760433993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A-46CD-89B3-EB99BBEF96C4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-33.859435580867448</c:v>
                </c:pt>
                <c:pt idx="1">
                  <c:v>-21.825049642890114</c:v>
                </c:pt>
                <c:pt idx="2">
                  <c:v>-14.790218969539694</c:v>
                </c:pt>
                <c:pt idx="3">
                  <c:v>-9.8031079457832409</c:v>
                </c:pt>
                <c:pt idx="4">
                  <c:v>-5.9385399215591175</c:v>
                </c:pt>
                <c:pt idx="5">
                  <c:v>-2.7843642546491632</c:v>
                </c:pt>
                <c:pt idx="6">
                  <c:v>-0.12069603475830783</c:v>
                </c:pt>
                <c:pt idx="7">
                  <c:v>2.1837369712394601</c:v>
                </c:pt>
                <c:pt idx="8">
                  <c:v>4.2136224854333362</c:v>
                </c:pt>
                <c:pt idx="9">
                  <c:v>6.0267953445710898</c:v>
                </c:pt>
                <c:pt idx="10">
                  <c:v>17.855194373216516</c:v>
                </c:pt>
                <c:pt idx="11">
                  <c:v>24.627095504994521</c:v>
                </c:pt>
                <c:pt idx="12">
                  <c:v>29.308243890429672</c:v>
                </c:pt>
                <c:pt idx="13">
                  <c:v>32.832597881389731</c:v>
                </c:pt>
                <c:pt idx="14">
                  <c:v>35.618708864078229</c:v>
                </c:pt>
                <c:pt idx="15">
                  <c:v>37.891471407632878</c:v>
                </c:pt>
                <c:pt idx="16">
                  <c:v>39.786239845858468</c:v>
                </c:pt>
                <c:pt idx="17">
                  <c:v>41.391110314725708</c:v>
                </c:pt>
                <c:pt idx="18">
                  <c:v>42.766807592010736</c:v>
                </c:pt>
                <c:pt idx="19">
                  <c:v>49.944739958365531</c:v>
                </c:pt>
                <c:pt idx="20">
                  <c:v>52.215494799127065</c:v>
                </c:pt>
                <c:pt idx="21">
                  <c:v>52.863836011311854</c:v>
                </c:pt>
                <c:pt idx="22">
                  <c:v>52.846894486610303</c:v>
                </c:pt>
                <c:pt idx="23">
                  <c:v>52.5311775390172</c:v>
                </c:pt>
                <c:pt idx="24">
                  <c:v>52.077725062878699</c:v>
                </c:pt>
                <c:pt idx="25">
                  <c:v>51.563592119897024</c:v>
                </c:pt>
                <c:pt idx="26">
                  <c:v>51.027718461657372</c:v>
                </c:pt>
                <c:pt idx="27">
                  <c:v>50.490405891649857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A-46CD-89B3-EB99BBEF96C4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69.969242155307441</c:v>
                </c:pt>
                <c:pt idx="1">
                  <c:v>68.313577179155544</c:v>
                </c:pt>
                <c:pt idx="2">
                  <c:v>67.345075254349297</c:v>
                </c:pt>
                <c:pt idx="3">
                  <c:v>66.657912203003647</c:v>
                </c:pt>
                <c:pt idx="4">
                  <c:v>66.124907131459338</c:v>
                </c:pt>
                <c:pt idx="5">
                  <c:v>65.689410278197414</c:v>
                </c:pt>
                <c:pt idx="6">
                  <c:v>65.321202935229039</c:v>
                </c:pt>
                <c:pt idx="7">
                  <c:v>65.002247226851765</c:v>
                </c:pt>
                <c:pt idx="8">
                  <c:v>64.720908353391152</c:v>
                </c:pt>
                <c:pt idx="9">
                  <c:v>64.469242155307441</c:v>
                </c:pt>
                <c:pt idx="10">
                  <c:v>62.813577179155551</c:v>
                </c:pt>
                <c:pt idx="11">
                  <c:v>61.845075254349304</c:v>
                </c:pt>
                <c:pt idx="12">
                  <c:v>61.157912203003654</c:v>
                </c:pt>
                <c:pt idx="13">
                  <c:v>60.624907131459345</c:v>
                </c:pt>
                <c:pt idx="14">
                  <c:v>60.1894102781974</c:v>
                </c:pt>
                <c:pt idx="15">
                  <c:v>59.821202935229032</c:v>
                </c:pt>
                <c:pt idx="16">
                  <c:v>59.502247226851765</c:v>
                </c:pt>
                <c:pt idx="17">
                  <c:v>59.22090835339116</c:v>
                </c:pt>
                <c:pt idx="18">
                  <c:v>58.969242155307448</c:v>
                </c:pt>
                <c:pt idx="19">
                  <c:v>57.313577179155544</c:v>
                </c:pt>
                <c:pt idx="20">
                  <c:v>56.345075254349304</c:v>
                </c:pt>
                <c:pt idx="21">
                  <c:v>55.657912203003654</c:v>
                </c:pt>
                <c:pt idx="22">
                  <c:v>55.124907131459338</c:v>
                </c:pt>
                <c:pt idx="23">
                  <c:v>54.6894102781974</c:v>
                </c:pt>
                <c:pt idx="24">
                  <c:v>54.321202935229032</c:v>
                </c:pt>
                <c:pt idx="25">
                  <c:v>54.00224722685175</c:v>
                </c:pt>
                <c:pt idx="26">
                  <c:v>53.72090835339116</c:v>
                </c:pt>
                <c:pt idx="27">
                  <c:v>53.469242155307448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A-46CD-89B3-EB99BBEF96C4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11.306776932967043</c:v>
                </c:pt>
                <c:pt idx="1">
                  <c:v>17.234230734269978</c:v>
                </c:pt>
                <c:pt idx="2">
                  <c:v>20.602758739382043</c:v>
                </c:pt>
                <c:pt idx="3">
                  <c:v>22.890879126037209</c:v>
                </c:pt>
                <c:pt idx="4">
                  <c:v>24.564744344108004</c:v>
                </c:pt>
                <c:pt idx="5">
                  <c:v>25.8347120792967</c:v>
                </c:pt>
                <c:pt idx="6">
                  <c:v>26.815492819060989</c:v>
                </c:pt>
                <c:pt idx="7">
                  <c:v>27.577756512007227</c:v>
                </c:pt>
                <c:pt idx="8">
                  <c:v>28.168950136443751</c:v>
                </c:pt>
                <c:pt idx="9">
                  <c:v>28.622999003078291</c:v>
                </c:pt>
                <c:pt idx="10">
                  <c:v>29.300200660404457</c:v>
                </c:pt>
                <c:pt idx="11">
                  <c:v>27.6252714673452</c:v>
                </c:pt>
                <c:pt idx="12">
                  <c:v>25.67003186278335</c:v>
                </c:pt>
                <c:pt idx="13">
                  <c:v>23.839227528905468</c:v>
                </c:pt>
                <c:pt idx="14">
                  <c:v>22.196939607997692</c:v>
                </c:pt>
                <c:pt idx="15">
                  <c:v>20.732388376601278</c:v>
                </c:pt>
                <c:pt idx="16">
                  <c:v>19.420750520338849</c:v>
                </c:pt>
                <c:pt idx="17">
                  <c:v>18.237801570287491</c:v>
                </c:pt>
                <c:pt idx="18">
                  <c:v>17.163016916392838</c:v>
                </c:pt>
                <c:pt idx="19">
                  <c:v>9.8617157230385271</c:v>
                </c:pt>
                <c:pt idx="20">
                  <c:v>5.501570571477493</c:v>
                </c:pt>
                <c:pt idx="21">
                  <c:v>2.3928929008968018</c:v>
                </c:pt>
                <c:pt idx="22">
                  <c:v>-2.3003835781301087E-2</c:v>
                </c:pt>
                <c:pt idx="23">
                  <c:v>-1.9988100342132999</c:v>
                </c:pt>
                <c:pt idx="24">
                  <c:v>-3.6702330595359274</c:v>
                </c:pt>
                <c:pt idx="25">
                  <c:v>-5.1185732527551568</c:v>
                </c:pt>
                <c:pt idx="26">
                  <c:v>-6.3963862582154505</c:v>
                </c:pt>
                <c:pt idx="27">
                  <c:v>-7.5396081254625367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A-46CD-89B3-EB99BBEF96C4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40.204599923773017</c:v>
                </c:pt>
                <c:pt idx="1">
                  <c:v>46.206969816373508</c:v>
                </c:pt>
                <c:pt idx="2">
                  <c:v>49.698487004555886</c:v>
                </c:pt>
                <c:pt idx="3">
                  <c:v>52.154987855984217</c:v>
                </c:pt>
                <c:pt idx="4">
                  <c:v>54.039103336077766</c:v>
                </c:pt>
                <c:pt idx="5">
                  <c:v>55.557028599810664</c:v>
                </c:pt>
                <c:pt idx="6">
                  <c:v>56.818884591192436</c:v>
                </c:pt>
                <c:pt idx="7">
                  <c:v>57.89053431105431</c:v>
                </c:pt>
                <c:pt idx="8">
                  <c:v>58.814589789569354</c:v>
                </c:pt>
                <c:pt idx="9">
                  <c:v>59.620272176752437</c:v>
                </c:pt>
                <c:pt idx="10">
                  <c:v>64.057573495391452</c:v>
                </c:pt>
                <c:pt idx="11">
                  <c:v>65.404338527128274</c:v>
                </c:pt>
                <c:pt idx="12">
                  <c:v>65.495629655544434</c:v>
                </c:pt>
                <c:pt idx="13">
                  <c:v>65.015785847825939</c:v>
                </c:pt>
                <c:pt idx="14">
                  <c:v>64.279769837686999</c:v>
                </c:pt>
                <c:pt idx="15">
                  <c:v>63.4403162861461</c:v>
                </c:pt>
                <c:pt idx="16">
                  <c:v>62.57274579651326</c:v>
                </c:pt>
                <c:pt idx="17">
                  <c:v>61.714145451659689</c:v>
                </c:pt>
                <c:pt idx="18">
                  <c:v>60.8822707254322</c:v>
                </c:pt>
                <c:pt idx="19">
                  <c:v>54.426949350072462</c:v>
                </c:pt>
                <c:pt idx="20">
                  <c:v>50.236438564236039</c:v>
                </c:pt>
                <c:pt idx="21">
                  <c:v>47.188187639398855</c:v>
                </c:pt>
                <c:pt idx="22">
                  <c:v>44.800449255533145</c:v>
                </c:pt>
                <c:pt idx="23">
                  <c:v>42.839989648962977</c:v>
                </c:pt>
                <c:pt idx="24">
                  <c:v>41.177837462424762</c:v>
                </c:pt>
                <c:pt idx="25">
                  <c:v>39.735521395045559</c:v>
                </c:pt>
                <c:pt idx="26">
                  <c:v>38.461841697423061</c:v>
                </c:pt>
                <c:pt idx="27">
                  <c:v>37.321577953231987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A-46CD-89B3-EB99BBEF96C4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69.973878341134466</c:v>
                </c:pt>
                <c:pt idx="1">
                  <c:v>68.341176330723158</c:v>
                </c:pt>
                <c:pt idx="2">
                  <c:v>67.424192379499473</c:v>
                </c:pt>
                <c:pt idx="3">
                  <c:v>66.825132493902416</c:v>
                </c:pt>
                <c:pt idx="4">
                  <c:v>66.422001101088711</c:v>
                </c:pt>
                <c:pt idx="5">
                  <c:v>66.159595093566963</c:v>
                </c:pt>
                <c:pt idx="6">
                  <c:v>66.005256483315833</c:v>
                </c:pt>
                <c:pt idx="7">
                  <c:v>65.935307227630389</c:v>
                </c:pt>
                <c:pt idx="8">
                  <c:v>65.930465008206596</c:v>
                </c:pt>
                <c:pt idx="9">
                  <c:v>65.974402437748935</c:v>
                </c:pt>
                <c:pt idx="10">
                  <c:v>67.091379350959841</c:v>
                </c:pt>
                <c:pt idx="11">
                  <c:v>67.582714499581428</c:v>
                </c:pt>
                <c:pt idx="12">
                  <c:v>67.401931840037577</c:v>
                </c:pt>
                <c:pt idx="13">
                  <c:v>66.873580320374543</c:v>
                </c:pt>
                <c:pt idx="14">
                  <c:v>66.199236497542202</c:v>
                </c:pt>
                <c:pt idx="15">
                  <c:v>65.485633497717004</c:v>
                </c:pt>
                <c:pt idx="16">
                  <c:v>64.786132820026609</c:v>
                </c:pt>
                <c:pt idx="17">
                  <c:v>64.125959611335077</c:v>
                </c:pt>
                <c:pt idx="18">
                  <c:v>63.515776731927559</c:v>
                </c:pt>
                <c:pt idx="19">
                  <c:v>59.905689417032278</c:v>
                </c:pt>
                <c:pt idx="20">
                  <c:v>58.650568447111723</c:v>
                </c:pt>
                <c:pt idx="21">
                  <c:v>57.998340421595444</c:v>
                </c:pt>
                <c:pt idx="22">
                  <c:v>57.476483024656389</c:v>
                </c:pt>
                <c:pt idx="23">
                  <c:v>56.99364402984078</c:v>
                </c:pt>
                <c:pt idx="24">
                  <c:v>56.538202563888824</c:v>
                </c:pt>
                <c:pt idx="25">
                  <c:v>56.111277372051305</c:v>
                </c:pt>
                <c:pt idx="26">
                  <c:v>55.714026810136012</c:v>
                </c:pt>
                <c:pt idx="27">
                  <c:v>55.346087408590378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A-46CD-89B3-EB99BBEF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4848"/>
        <c:axId val="290828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-94.505571081600721</c:v>
                      </c:pt>
                      <c:pt idx="1">
                        <c:v>-82.465683855626978</c:v>
                      </c:pt>
                      <c:pt idx="2">
                        <c:v>-75.423733100747356</c:v>
                      </c:pt>
                      <c:pt idx="3">
                        <c:v>-70.42819608728</c:v>
                      </c:pt>
                      <c:pt idx="4">
                        <c:v>-66.554077961579338</c:v>
                      </c:pt>
                      <c:pt idx="5">
                        <c:v>-63.389351483786392</c:v>
                      </c:pt>
                      <c:pt idx="6">
                        <c:v>-60.71422293784665</c:v>
                      </c:pt>
                      <c:pt idx="7">
                        <c:v>-58.397491254312797</c:v>
                      </c:pt>
                      <c:pt idx="8">
                        <c:v>-56.354526400909663</c:v>
                      </c:pt>
                      <c:pt idx="9">
                        <c:v>-54.527541647887602</c:v>
                      </c:pt>
                      <c:pt idx="10">
                        <c:v>-42.527749609878725</c:v>
                      </c:pt>
                      <c:pt idx="11">
                        <c:v>-35.537574100015256</c:v>
                      </c:pt>
                      <c:pt idx="12">
                        <c:v>-30.603137119389189</c:v>
                      </c:pt>
                      <c:pt idx="13">
                        <c:v>-26.79804719278993</c:v>
                      </c:pt>
                      <c:pt idx="14">
                        <c:v>-23.709308345045457</c:v>
                      </c:pt>
                      <c:pt idx="15">
                        <c:v>-21.116394897680316</c:v>
                      </c:pt>
                      <c:pt idx="16">
                        <c:v>-18.887521764565257</c:v>
                      </c:pt>
                      <c:pt idx="17">
                        <c:v>-16.937575047489531</c:v>
                      </c:pt>
                      <c:pt idx="18">
                        <c:v>-15.208355958301766</c:v>
                      </c:pt>
                      <c:pt idx="19">
                        <c:v>-4.3841222866110447</c:v>
                      </c:pt>
                      <c:pt idx="20">
                        <c:v>1.2005652677904934</c:v>
                      </c:pt>
                      <c:pt idx="21">
                        <c:v>4.6153264140314594</c:v>
                      </c:pt>
                      <c:pt idx="22">
                        <c:v>6.8553186657140852</c:v>
                      </c:pt>
                      <c:pt idx="23">
                        <c:v>8.3762824467317341</c:v>
                      </c:pt>
                      <c:pt idx="24">
                        <c:v>9.4252812364194334</c:v>
                      </c:pt>
                      <c:pt idx="25">
                        <c:v>10.150186204765223</c:v>
                      </c:pt>
                      <c:pt idx="26">
                        <c:v>10.645390218538004</c:v>
                      </c:pt>
                      <c:pt idx="27">
                        <c:v>10.973936408985219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77A-46CD-89B3-EB99BBEF96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10.739930490368717</c:v>
                      </c:pt>
                      <c:pt idx="1">
                        <c:v>10.739930490368636</c:v>
                      </c:pt>
                      <c:pt idx="2">
                        <c:v>10.739930490366641</c:v>
                      </c:pt>
                      <c:pt idx="3">
                        <c:v>10.739930490347966</c:v>
                      </c:pt>
                      <c:pt idx="4">
                        <c:v>10.739930490245023</c:v>
                      </c:pt>
                      <c:pt idx="5">
                        <c:v>10.739930489836851</c:v>
                      </c:pt>
                      <c:pt idx="6">
                        <c:v>10.739930488543244</c:v>
                      </c:pt>
                      <c:pt idx="7">
                        <c:v>10.739930485056062</c:v>
                      </c:pt>
                      <c:pt idx="8">
                        <c:v>10.739930476737589</c:v>
                      </c:pt>
                      <c:pt idx="9">
                        <c:v>10.739930458702824</c:v>
                      </c:pt>
                      <c:pt idx="10">
                        <c:v>10.739922383907397</c:v>
                      </c:pt>
                      <c:pt idx="11">
                        <c:v>10.739722735406875</c:v>
                      </c:pt>
                      <c:pt idx="12">
                        <c:v>10.737855730001275</c:v>
                      </c:pt>
                      <c:pt idx="13">
                        <c:v>10.727578582380961</c:v>
                      </c:pt>
                      <c:pt idx="14">
                        <c:v>10.687066991789489</c:v>
                      </c:pt>
                      <c:pt idx="15">
                        <c:v>10.561115207406855</c:v>
                      </c:pt>
                      <c:pt idx="16">
                        <c:v>10.238730915450965</c:v>
                      </c:pt>
                      <c:pt idx="17">
                        <c:v>9.5544119930638711</c:v>
                      </c:pt>
                      <c:pt idx="18">
                        <c:v>8.3616435919676046</c:v>
                      </c:pt>
                      <c:pt idx="19">
                        <c:v>-11.993748309323131</c:v>
                      </c:pt>
                      <c:pt idx="20">
                        <c:v>-26.05875206344367</c:v>
                      </c:pt>
                      <c:pt idx="21">
                        <c:v>-36.053034137210673</c:v>
                      </c:pt>
                      <c:pt idx="22">
                        <c:v>-43.805759540929159</c:v>
                      </c:pt>
                      <c:pt idx="23">
                        <c:v>-50.14024752285551</c:v>
                      </c:pt>
                      <c:pt idx="24">
                        <c:v>-55.495988180295569</c:v>
                      </c:pt>
                      <c:pt idx="25">
                        <c:v>-60.13534326031462</c:v>
                      </c:pt>
                      <c:pt idx="26">
                        <c:v>-64.227544839450104</c:v>
                      </c:pt>
                      <c:pt idx="27">
                        <c:v>-67.888144005498788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77A-46CD-89B3-EB99BBEF96C4}"/>
                  </c:ext>
                </c:extLst>
              </c15:ser>
            </c15:filteredLineSeries>
          </c:ext>
        </c:extLst>
      </c:lineChart>
      <c:catAx>
        <c:axId val="16671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28224"/>
        <c:crosses val="autoZero"/>
        <c:auto val="1"/>
        <c:lblAlgn val="ctr"/>
        <c:lblOffset val="100"/>
        <c:noMultiLvlLbl val="0"/>
      </c:catAx>
      <c:valAx>
        <c:axId val="2908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19.902671250617097</c:v>
                </c:pt>
                <c:pt idx="1">
                  <c:v>31.516076436844319</c:v>
                </c:pt>
                <c:pt idx="2">
                  <c:v>38.020960337690973</c:v>
                </c:pt>
                <c:pt idx="3">
                  <c:v>42.401389793300403</c:v>
                </c:pt>
                <c:pt idx="4">
                  <c:v>45.603355638629935</c:v>
                </c:pt>
                <c:pt idx="5">
                  <c:v>48.05413333892767</c:v>
                </c:pt>
                <c:pt idx="6">
                  <c:v>49.985172317896172</c:v>
                </c:pt>
                <c:pt idx="7">
                  <c:v>51.536806289724396</c:v>
                </c:pt>
                <c:pt idx="8">
                  <c:v>52.800908736594877</c:v>
                </c:pt>
                <c:pt idx="9">
                  <c:v>53.841043118587038</c:v>
                </c:pt>
                <c:pt idx="10">
                  <c:v>58.199944517458135</c:v>
                </c:pt>
                <c:pt idx="11">
                  <c:v>58.63605016434478</c:v>
                </c:pt>
                <c:pt idx="12">
                  <c:v>58.105765146522053</c:v>
                </c:pt>
                <c:pt idx="13">
                  <c:v>57.302651330649546</c:v>
                </c:pt>
                <c:pt idx="14">
                  <c:v>56.439777626016301</c:v>
                </c:pt>
                <c:pt idx="15">
                  <c:v>55.590688893190283</c:v>
                </c:pt>
                <c:pt idx="16">
                  <c:v>54.781004783513438</c:v>
                </c:pt>
                <c:pt idx="17">
                  <c:v>54.01819389024017</c:v>
                </c:pt>
                <c:pt idx="18">
                  <c:v>53.302534216371285</c:v>
                </c:pt>
                <c:pt idx="19">
                  <c:v>48.056497810086384</c:v>
                </c:pt>
                <c:pt idx="20">
                  <c:v>44.733202603968834</c:v>
                </c:pt>
                <c:pt idx="21">
                  <c:v>42.31822617534565</c:v>
                </c:pt>
                <c:pt idx="22">
                  <c:v>40.424364645616279</c:v>
                </c:pt>
                <c:pt idx="23">
                  <c:v>38.867481128382245</c:v>
                </c:pt>
                <c:pt idx="24">
                  <c:v>37.5461190696739</c:v>
                </c:pt>
                <c:pt idx="25">
                  <c:v>36.398552535382564</c:v>
                </c:pt>
                <c:pt idx="26">
                  <c:v>35.384469664355265</c:v>
                </c:pt>
                <c:pt idx="27">
                  <c:v>34.476106760433993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C-47CD-801F-5BA8BBF9CE31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-33.859435580867448</c:v>
                </c:pt>
                <c:pt idx="1">
                  <c:v>-21.825049642890114</c:v>
                </c:pt>
                <c:pt idx="2">
                  <c:v>-14.790218969539694</c:v>
                </c:pt>
                <c:pt idx="3">
                  <c:v>-9.8031079457832409</c:v>
                </c:pt>
                <c:pt idx="4">
                  <c:v>-5.9385399215591175</c:v>
                </c:pt>
                <c:pt idx="5">
                  <c:v>-2.7843642546491632</c:v>
                </c:pt>
                <c:pt idx="6">
                  <c:v>-0.12069603475830783</c:v>
                </c:pt>
                <c:pt idx="7">
                  <c:v>2.1837369712394601</c:v>
                </c:pt>
                <c:pt idx="8">
                  <c:v>4.2136224854333362</c:v>
                </c:pt>
                <c:pt idx="9">
                  <c:v>6.0267953445710898</c:v>
                </c:pt>
                <c:pt idx="10">
                  <c:v>17.855194373216516</c:v>
                </c:pt>
                <c:pt idx="11">
                  <c:v>24.627095504994521</c:v>
                </c:pt>
                <c:pt idx="12">
                  <c:v>29.308243890429672</c:v>
                </c:pt>
                <c:pt idx="13">
                  <c:v>32.832597881389731</c:v>
                </c:pt>
                <c:pt idx="14">
                  <c:v>35.618708864078229</c:v>
                </c:pt>
                <c:pt idx="15">
                  <c:v>37.891471407632878</c:v>
                </c:pt>
                <c:pt idx="16">
                  <c:v>39.786239845858468</c:v>
                </c:pt>
                <c:pt idx="17">
                  <c:v>41.391110314725708</c:v>
                </c:pt>
                <c:pt idx="18">
                  <c:v>42.766807592010736</c:v>
                </c:pt>
                <c:pt idx="19">
                  <c:v>49.944739958365531</c:v>
                </c:pt>
                <c:pt idx="20">
                  <c:v>52.215494799127065</c:v>
                </c:pt>
                <c:pt idx="21">
                  <c:v>52.863836011311854</c:v>
                </c:pt>
                <c:pt idx="22">
                  <c:v>52.846894486610303</c:v>
                </c:pt>
                <c:pt idx="23">
                  <c:v>52.5311775390172</c:v>
                </c:pt>
                <c:pt idx="24">
                  <c:v>52.077725062878699</c:v>
                </c:pt>
                <c:pt idx="25">
                  <c:v>51.563592119897024</c:v>
                </c:pt>
                <c:pt idx="26">
                  <c:v>51.027718461657372</c:v>
                </c:pt>
                <c:pt idx="27">
                  <c:v>50.490405891649857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C-47CD-801F-5BA8BBF9CE31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69.969242155307441</c:v>
                </c:pt>
                <c:pt idx="1">
                  <c:v>68.313577179155544</c:v>
                </c:pt>
                <c:pt idx="2">
                  <c:v>67.345075254349297</c:v>
                </c:pt>
                <c:pt idx="3">
                  <c:v>66.657912203003647</c:v>
                </c:pt>
                <c:pt idx="4">
                  <c:v>66.124907131459338</c:v>
                </c:pt>
                <c:pt idx="5">
                  <c:v>65.689410278197414</c:v>
                </c:pt>
                <c:pt idx="6">
                  <c:v>65.321202935229039</c:v>
                </c:pt>
                <c:pt idx="7">
                  <c:v>65.002247226851765</c:v>
                </c:pt>
                <c:pt idx="8">
                  <c:v>64.720908353391152</c:v>
                </c:pt>
                <c:pt idx="9">
                  <c:v>64.469242155307441</c:v>
                </c:pt>
                <c:pt idx="10">
                  <c:v>62.813577179155551</c:v>
                </c:pt>
                <c:pt idx="11">
                  <c:v>61.845075254349304</c:v>
                </c:pt>
                <c:pt idx="12">
                  <c:v>61.157912203003654</c:v>
                </c:pt>
                <c:pt idx="13">
                  <c:v>60.624907131459345</c:v>
                </c:pt>
                <c:pt idx="14">
                  <c:v>60.1894102781974</c:v>
                </c:pt>
                <c:pt idx="15">
                  <c:v>59.821202935229032</c:v>
                </c:pt>
                <c:pt idx="16">
                  <c:v>59.502247226851765</c:v>
                </c:pt>
                <c:pt idx="17">
                  <c:v>59.22090835339116</c:v>
                </c:pt>
                <c:pt idx="18">
                  <c:v>58.969242155307448</c:v>
                </c:pt>
                <c:pt idx="19">
                  <c:v>57.313577179155544</c:v>
                </c:pt>
                <c:pt idx="20">
                  <c:v>56.345075254349304</c:v>
                </c:pt>
                <c:pt idx="21">
                  <c:v>55.657912203003654</c:v>
                </c:pt>
                <c:pt idx="22">
                  <c:v>55.124907131459338</c:v>
                </c:pt>
                <c:pt idx="23">
                  <c:v>54.6894102781974</c:v>
                </c:pt>
                <c:pt idx="24">
                  <c:v>54.321202935229032</c:v>
                </c:pt>
                <c:pt idx="25">
                  <c:v>54.00224722685175</c:v>
                </c:pt>
                <c:pt idx="26">
                  <c:v>53.72090835339116</c:v>
                </c:pt>
                <c:pt idx="27">
                  <c:v>53.469242155307448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C-47CD-801F-5BA8BBF9CE31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11.306776932967043</c:v>
                </c:pt>
                <c:pt idx="1">
                  <c:v>17.234230734269978</c:v>
                </c:pt>
                <c:pt idx="2">
                  <c:v>20.602758739382043</c:v>
                </c:pt>
                <c:pt idx="3">
                  <c:v>22.890879126037209</c:v>
                </c:pt>
                <c:pt idx="4">
                  <c:v>24.564744344108004</c:v>
                </c:pt>
                <c:pt idx="5">
                  <c:v>25.8347120792967</c:v>
                </c:pt>
                <c:pt idx="6">
                  <c:v>26.815492819060989</c:v>
                </c:pt>
                <c:pt idx="7">
                  <c:v>27.577756512007227</c:v>
                </c:pt>
                <c:pt idx="8">
                  <c:v>28.168950136443751</c:v>
                </c:pt>
                <c:pt idx="9">
                  <c:v>28.622999003078291</c:v>
                </c:pt>
                <c:pt idx="10">
                  <c:v>29.300200660404457</c:v>
                </c:pt>
                <c:pt idx="11">
                  <c:v>27.6252714673452</c:v>
                </c:pt>
                <c:pt idx="12">
                  <c:v>25.67003186278335</c:v>
                </c:pt>
                <c:pt idx="13">
                  <c:v>23.839227528905468</c:v>
                </c:pt>
                <c:pt idx="14">
                  <c:v>22.196939607997692</c:v>
                </c:pt>
                <c:pt idx="15">
                  <c:v>20.732388376601278</c:v>
                </c:pt>
                <c:pt idx="16">
                  <c:v>19.420750520338849</c:v>
                </c:pt>
                <c:pt idx="17">
                  <c:v>18.237801570287491</c:v>
                </c:pt>
                <c:pt idx="18">
                  <c:v>17.163016916392838</c:v>
                </c:pt>
                <c:pt idx="19">
                  <c:v>9.8617157230385271</c:v>
                </c:pt>
                <c:pt idx="20">
                  <c:v>5.501570571477493</c:v>
                </c:pt>
                <c:pt idx="21">
                  <c:v>2.3928929008968018</c:v>
                </c:pt>
                <c:pt idx="22">
                  <c:v>-2.3003835781301087E-2</c:v>
                </c:pt>
                <c:pt idx="23">
                  <c:v>-1.9988100342132999</c:v>
                </c:pt>
                <c:pt idx="24">
                  <c:v>-3.6702330595359274</c:v>
                </c:pt>
                <c:pt idx="25">
                  <c:v>-5.1185732527551568</c:v>
                </c:pt>
                <c:pt idx="26">
                  <c:v>-6.3963862582154505</c:v>
                </c:pt>
                <c:pt idx="27">
                  <c:v>-7.5396081254625367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C-47CD-801F-5BA8BBF9CE31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40.204599923773017</c:v>
                </c:pt>
                <c:pt idx="1">
                  <c:v>46.206969816373508</c:v>
                </c:pt>
                <c:pt idx="2">
                  <c:v>49.698487004555886</c:v>
                </c:pt>
                <c:pt idx="3">
                  <c:v>52.154987855984217</c:v>
                </c:pt>
                <c:pt idx="4">
                  <c:v>54.039103336077766</c:v>
                </c:pt>
                <c:pt idx="5">
                  <c:v>55.557028599810664</c:v>
                </c:pt>
                <c:pt idx="6">
                  <c:v>56.818884591192436</c:v>
                </c:pt>
                <c:pt idx="7">
                  <c:v>57.89053431105431</c:v>
                </c:pt>
                <c:pt idx="8">
                  <c:v>58.814589789569354</c:v>
                </c:pt>
                <c:pt idx="9">
                  <c:v>59.620272176752437</c:v>
                </c:pt>
                <c:pt idx="10">
                  <c:v>64.057573495391452</c:v>
                </c:pt>
                <c:pt idx="11">
                  <c:v>65.404338527128274</c:v>
                </c:pt>
                <c:pt idx="12">
                  <c:v>65.495629655544434</c:v>
                </c:pt>
                <c:pt idx="13">
                  <c:v>65.015785847825939</c:v>
                </c:pt>
                <c:pt idx="14">
                  <c:v>64.279769837686999</c:v>
                </c:pt>
                <c:pt idx="15">
                  <c:v>63.4403162861461</c:v>
                </c:pt>
                <c:pt idx="16">
                  <c:v>62.57274579651326</c:v>
                </c:pt>
                <c:pt idx="17">
                  <c:v>61.714145451659689</c:v>
                </c:pt>
                <c:pt idx="18">
                  <c:v>60.8822707254322</c:v>
                </c:pt>
                <c:pt idx="19">
                  <c:v>54.426949350072462</c:v>
                </c:pt>
                <c:pt idx="20">
                  <c:v>50.236438564236039</c:v>
                </c:pt>
                <c:pt idx="21">
                  <c:v>47.188187639398855</c:v>
                </c:pt>
                <c:pt idx="22">
                  <c:v>44.800449255533145</c:v>
                </c:pt>
                <c:pt idx="23">
                  <c:v>42.839989648962977</c:v>
                </c:pt>
                <c:pt idx="24">
                  <c:v>41.177837462424762</c:v>
                </c:pt>
                <c:pt idx="25">
                  <c:v>39.735521395045559</c:v>
                </c:pt>
                <c:pt idx="26">
                  <c:v>38.461841697423061</c:v>
                </c:pt>
                <c:pt idx="27">
                  <c:v>37.321577953231987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C-47CD-801F-5BA8BBF9CE31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69.973878341134466</c:v>
                </c:pt>
                <c:pt idx="1">
                  <c:v>68.341176330723158</c:v>
                </c:pt>
                <c:pt idx="2">
                  <c:v>67.424192379499473</c:v>
                </c:pt>
                <c:pt idx="3">
                  <c:v>66.825132493902416</c:v>
                </c:pt>
                <c:pt idx="4">
                  <c:v>66.422001101088711</c:v>
                </c:pt>
                <c:pt idx="5">
                  <c:v>66.159595093566963</c:v>
                </c:pt>
                <c:pt idx="6">
                  <c:v>66.005256483315833</c:v>
                </c:pt>
                <c:pt idx="7">
                  <c:v>65.935307227630389</c:v>
                </c:pt>
                <c:pt idx="8">
                  <c:v>65.930465008206596</c:v>
                </c:pt>
                <c:pt idx="9">
                  <c:v>65.974402437748935</c:v>
                </c:pt>
                <c:pt idx="10">
                  <c:v>67.091379350959841</c:v>
                </c:pt>
                <c:pt idx="11">
                  <c:v>67.582714499581428</c:v>
                </c:pt>
                <c:pt idx="12">
                  <c:v>67.401931840037577</c:v>
                </c:pt>
                <c:pt idx="13">
                  <c:v>66.873580320374543</c:v>
                </c:pt>
                <c:pt idx="14">
                  <c:v>66.199236497542202</c:v>
                </c:pt>
                <c:pt idx="15">
                  <c:v>65.485633497717004</c:v>
                </c:pt>
                <c:pt idx="16">
                  <c:v>64.786132820026609</c:v>
                </c:pt>
                <c:pt idx="17">
                  <c:v>64.125959611335077</c:v>
                </c:pt>
                <c:pt idx="18">
                  <c:v>63.515776731927559</c:v>
                </c:pt>
                <c:pt idx="19">
                  <c:v>59.905689417032278</c:v>
                </c:pt>
                <c:pt idx="20">
                  <c:v>58.650568447111723</c:v>
                </c:pt>
                <c:pt idx="21">
                  <c:v>57.998340421595444</c:v>
                </c:pt>
                <c:pt idx="22">
                  <c:v>57.476483024656389</c:v>
                </c:pt>
                <c:pt idx="23">
                  <c:v>56.99364402984078</c:v>
                </c:pt>
                <c:pt idx="24">
                  <c:v>56.538202563888824</c:v>
                </c:pt>
                <c:pt idx="25">
                  <c:v>56.111277372051305</c:v>
                </c:pt>
                <c:pt idx="26">
                  <c:v>55.714026810136012</c:v>
                </c:pt>
                <c:pt idx="27">
                  <c:v>55.346087408590378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CC-47CD-801F-5BA8BBF9C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28768"/>
        <c:axId val="2908293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-94.505571081600721</c:v>
                      </c:pt>
                      <c:pt idx="1">
                        <c:v>-82.465683855626978</c:v>
                      </c:pt>
                      <c:pt idx="2">
                        <c:v>-75.423733100747356</c:v>
                      </c:pt>
                      <c:pt idx="3">
                        <c:v>-70.42819608728</c:v>
                      </c:pt>
                      <c:pt idx="4">
                        <c:v>-66.554077961579338</c:v>
                      </c:pt>
                      <c:pt idx="5">
                        <c:v>-63.389351483786392</c:v>
                      </c:pt>
                      <c:pt idx="6">
                        <c:v>-60.71422293784665</c:v>
                      </c:pt>
                      <c:pt idx="7">
                        <c:v>-58.397491254312797</c:v>
                      </c:pt>
                      <c:pt idx="8">
                        <c:v>-56.354526400909663</c:v>
                      </c:pt>
                      <c:pt idx="9">
                        <c:v>-54.527541647887602</c:v>
                      </c:pt>
                      <c:pt idx="10">
                        <c:v>-42.527749609878725</c:v>
                      </c:pt>
                      <c:pt idx="11">
                        <c:v>-35.537574100015256</c:v>
                      </c:pt>
                      <c:pt idx="12">
                        <c:v>-30.603137119389189</c:v>
                      </c:pt>
                      <c:pt idx="13">
                        <c:v>-26.79804719278993</c:v>
                      </c:pt>
                      <c:pt idx="14">
                        <c:v>-23.709308345045457</c:v>
                      </c:pt>
                      <c:pt idx="15">
                        <c:v>-21.116394897680316</c:v>
                      </c:pt>
                      <c:pt idx="16">
                        <c:v>-18.887521764565257</c:v>
                      </c:pt>
                      <c:pt idx="17">
                        <c:v>-16.937575047489531</c:v>
                      </c:pt>
                      <c:pt idx="18">
                        <c:v>-15.208355958301766</c:v>
                      </c:pt>
                      <c:pt idx="19">
                        <c:v>-4.3841222866110447</c:v>
                      </c:pt>
                      <c:pt idx="20">
                        <c:v>1.2005652677904934</c:v>
                      </c:pt>
                      <c:pt idx="21">
                        <c:v>4.6153264140314594</c:v>
                      </c:pt>
                      <c:pt idx="22">
                        <c:v>6.8553186657140852</c:v>
                      </c:pt>
                      <c:pt idx="23">
                        <c:v>8.3762824467317341</c:v>
                      </c:pt>
                      <c:pt idx="24">
                        <c:v>9.4252812364194334</c:v>
                      </c:pt>
                      <c:pt idx="25">
                        <c:v>10.150186204765223</c:v>
                      </c:pt>
                      <c:pt idx="26">
                        <c:v>10.645390218538004</c:v>
                      </c:pt>
                      <c:pt idx="27">
                        <c:v>10.973936408985219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8CC-47CD-801F-5BA8BBF9CE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10.739930490368717</c:v>
                      </c:pt>
                      <c:pt idx="1">
                        <c:v>10.739930490368636</c:v>
                      </c:pt>
                      <c:pt idx="2">
                        <c:v>10.739930490366641</c:v>
                      </c:pt>
                      <c:pt idx="3">
                        <c:v>10.739930490347966</c:v>
                      </c:pt>
                      <c:pt idx="4">
                        <c:v>10.739930490245023</c:v>
                      </c:pt>
                      <c:pt idx="5">
                        <c:v>10.739930489836851</c:v>
                      </c:pt>
                      <c:pt idx="6">
                        <c:v>10.739930488543244</c:v>
                      </c:pt>
                      <c:pt idx="7">
                        <c:v>10.739930485056062</c:v>
                      </c:pt>
                      <c:pt idx="8">
                        <c:v>10.739930476737589</c:v>
                      </c:pt>
                      <c:pt idx="9">
                        <c:v>10.739930458702824</c:v>
                      </c:pt>
                      <c:pt idx="10">
                        <c:v>10.739922383907397</c:v>
                      </c:pt>
                      <c:pt idx="11">
                        <c:v>10.739722735406875</c:v>
                      </c:pt>
                      <c:pt idx="12">
                        <c:v>10.737855730001275</c:v>
                      </c:pt>
                      <c:pt idx="13">
                        <c:v>10.727578582380961</c:v>
                      </c:pt>
                      <c:pt idx="14">
                        <c:v>10.687066991789489</c:v>
                      </c:pt>
                      <c:pt idx="15">
                        <c:v>10.561115207406855</c:v>
                      </c:pt>
                      <c:pt idx="16">
                        <c:v>10.238730915450965</c:v>
                      </c:pt>
                      <c:pt idx="17">
                        <c:v>9.5544119930638711</c:v>
                      </c:pt>
                      <c:pt idx="18">
                        <c:v>8.3616435919676046</c:v>
                      </c:pt>
                      <c:pt idx="19">
                        <c:v>-11.993748309323131</c:v>
                      </c:pt>
                      <c:pt idx="20">
                        <c:v>-26.05875206344367</c:v>
                      </c:pt>
                      <c:pt idx="21">
                        <c:v>-36.053034137210673</c:v>
                      </c:pt>
                      <c:pt idx="22">
                        <c:v>-43.805759540929159</c:v>
                      </c:pt>
                      <c:pt idx="23">
                        <c:v>-50.14024752285551</c:v>
                      </c:pt>
                      <c:pt idx="24">
                        <c:v>-55.495988180295569</c:v>
                      </c:pt>
                      <c:pt idx="25">
                        <c:v>-60.13534326031462</c:v>
                      </c:pt>
                      <c:pt idx="26">
                        <c:v>-64.227544839450104</c:v>
                      </c:pt>
                      <c:pt idx="27">
                        <c:v>-67.888144005498788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8CC-47CD-801F-5BA8BBF9CE31}"/>
                  </c:ext>
                </c:extLst>
              </c15:ser>
            </c15:filteredLineSeries>
          </c:ext>
        </c:extLst>
      </c:lineChart>
      <c:catAx>
        <c:axId val="29082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29312"/>
        <c:crosses val="autoZero"/>
        <c:auto val="1"/>
        <c:lblAlgn val="ctr"/>
        <c:lblOffset val="100"/>
        <c:noMultiLvlLbl val="0"/>
      </c:catAx>
      <c:valAx>
        <c:axId val="290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SPL_wing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Aquila'!$O$7:$O$34</c:f>
              <c:numCache>
                <c:formatCode>General</c:formatCode>
                <c:ptCount val="28"/>
                <c:pt idx="0">
                  <c:v>19.902671250617097</c:v>
                </c:pt>
                <c:pt idx="1">
                  <c:v>31.516076436844319</c:v>
                </c:pt>
                <c:pt idx="2">
                  <c:v>38.020960337690973</c:v>
                </c:pt>
                <c:pt idx="3">
                  <c:v>42.401389793300403</c:v>
                </c:pt>
                <c:pt idx="4">
                  <c:v>45.603355638629935</c:v>
                </c:pt>
                <c:pt idx="5">
                  <c:v>48.05413333892767</c:v>
                </c:pt>
                <c:pt idx="6">
                  <c:v>49.985172317896172</c:v>
                </c:pt>
                <c:pt idx="7">
                  <c:v>51.536806289724396</c:v>
                </c:pt>
                <c:pt idx="8">
                  <c:v>52.800908736594877</c:v>
                </c:pt>
                <c:pt idx="9">
                  <c:v>53.841043118587038</c:v>
                </c:pt>
                <c:pt idx="10">
                  <c:v>58.199944517458135</c:v>
                </c:pt>
                <c:pt idx="11">
                  <c:v>58.63605016434478</c:v>
                </c:pt>
                <c:pt idx="12">
                  <c:v>58.105765146522053</c:v>
                </c:pt>
                <c:pt idx="13">
                  <c:v>57.302651330649546</c:v>
                </c:pt>
                <c:pt idx="14">
                  <c:v>56.439777626016301</c:v>
                </c:pt>
                <c:pt idx="15">
                  <c:v>55.590688893190283</c:v>
                </c:pt>
                <c:pt idx="16">
                  <c:v>54.781004783513438</c:v>
                </c:pt>
                <c:pt idx="17">
                  <c:v>54.01819389024017</c:v>
                </c:pt>
                <c:pt idx="18">
                  <c:v>53.302534216371285</c:v>
                </c:pt>
                <c:pt idx="19">
                  <c:v>48.056497810086384</c:v>
                </c:pt>
                <c:pt idx="20">
                  <c:v>44.733202603968834</c:v>
                </c:pt>
                <c:pt idx="21">
                  <c:v>42.31822617534565</c:v>
                </c:pt>
                <c:pt idx="22">
                  <c:v>40.424364645616279</c:v>
                </c:pt>
                <c:pt idx="23">
                  <c:v>38.867481128382245</c:v>
                </c:pt>
                <c:pt idx="24">
                  <c:v>37.5461190696739</c:v>
                </c:pt>
                <c:pt idx="25">
                  <c:v>36.398552535382564</c:v>
                </c:pt>
                <c:pt idx="26">
                  <c:v>35.384469664355265</c:v>
                </c:pt>
                <c:pt idx="27">
                  <c:v>34.476106760433993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8-464C-82EB-A2843001DBD5}"/>
            </c:ext>
          </c:extLst>
        </c:ser>
        <c:ser>
          <c:idx val="1"/>
          <c:order val="1"/>
          <c:tx>
            <c:v>SPL_hor_tail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Aquila'!$Q$7:$Q$34</c:f>
              <c:numCache>
                <c:formatCode>General</c:formatCode>
                <c:ptCount val="28"/>
                <c:pt idx="0">
                  <c:v>-33.859435580867448</c:v>
                </c:pt>
                <c:pt idx="1">
                  <c:v>-21.825049642890114</c:v>
                </c:pt>
                <c:pt idx="2">
                  <c:v>-14.790218969539694</c:v>
                </c:pt>
                <c:pt idx="3">
                  <c:v>-9.8031079457832409</c:v>
                </c:pt>
                <c:pt idx="4">
                  <c:v>-5.9385399215591175</c:v>
                </c:pt>
                <c:pt idx="5">
                  <c:v>-2.7843642546491632</c:v>
                </c:pt>
                <c:pt idx="6">
                  <c:v>-0.12069603475830783</c:v>
                </c:pt>
                <c:pt idx="7">
                  <c:v>2.1837369712394601</c:v>
                </c:pt>
                <c:pt idx="8">
                  <c:v>4.2136224854333362</c:v>
                </c:pt>
                <c:pt idx="9">
                  <c:v>6.0267953445710898</c:v>
                </c:pt>
                <c:pt idx="10">
                  <c:v>17.855194373216516</c:v>
                </c:pt>
                <c:pt idx="11">
                  <c:v>24.627095504994521</c:v>
                </c:pt>
                <c:pt idx="12">
                  <c:v>29.308243890429672</c:v>
                </c:pt>
                <c:pt idx="13">
                  <c:v>32.832597881389731</c:v>
                </c:pt>
                <c:pt idx="14">
                  <c:v>35.618708864078229</c:v>
                </c:pt>
                <c:pt idx="15">
                  <c:v>37.891471407632878</c:v>
                </c:pt>
                <c:pt idx="16">
                  <c:v>39.786239845858468</c:v>
                </c:pt>
                <c:pt idx="17">
                  <c:v>41.391110314725708</c:v>
                </c:pt>
                <c:pt idx="18">
                  <c:v>42.766807592010736</c:v>
                </c:pt>
                <c:pt idx="19">
                  <c:v>49.944739958365531</c:v>
                </c:pt>
                <c:pt idx="20">
                  <c:v>52.215494799127065</c:v>
                </c:pt>
                <c:pt idx="21">
                  <c:v>52.863836011311854</c:v>
                </c:pt>
                <c:pt idx="22">
                  <c:v>52.846894486610303</c:v>
                </c:pt>
                <c:pt idx="23">
                  <c:v>52.5311775390172</c:v>
                </c:pt>
                <c:pt idx="24">
                  <c:v>52.077725062878699</c:v>
                </c:pt>
                <c:pt idx="25">
                  <c:v>51.563592119897024</c:v>
                </c:pt>
                <c:pt idx="26">
                  <c:v>51.027718461657372</c:v>
                </c:pt>
                <c:pt idx="27">
                  <c:v>50.490405891649857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8-464C-82EB-A2843001DBD5}"/>
            </c:ext>
          </c:extLst>
        </c:ser>
        <c:ser>
          <c:idx val="3"/>
          <c:order val="3"/>
          <c:tx>
            <c:v>SPL_flaps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Aquila'!$U$7:$U$34</c:f>
              <c:numCache>
                <c:formatCode>General</c:formatCode>
                <c:ptCount val="28"/>
                <c:pt idx="0">
                  <c:v>69.969242155307441</c:v>
                </c:pt>
                <c:pt idx="1">
                  <c:v>68.313577179155544</c:v>
                </c:pt>
                <c:pt idx="2">
                  <c:v>67.345075254349297</c:v>
                </c:pt>
                <c:pt idx="3">
                  <c:v>66.657912203003647</c:v>
                </c:pt>
                <c:pt idx="4">
                  <c:v>66.124907131459338</c:v>
                </c:pt>
                <c:pt idx="5">
                  <c:v>65.689410278197414</c:v>
                </c:pt>
                <c:pt idx="6">
                  <c:v>65.321202935229039</c:v>
                </c:pt>
                <c:pt idx="7">
                  <c:v>65.002247226851765</c:v>
                </c:pt>
                <c:pt idx="8">
                  <c:v>64.720908353391152</c:v>
                </c:pt>
                <c:pt idx="9">
                  <c:v>64.469242155307441</c:v>
                </c:pt>
                <c:pt idx="10">
                  <c:v>62.813577179155551</c:v>
                </c:pt>
                <c:pt idx="11">
                  <c:v>61.845075254349304</c:v>
                </c:pt>
                <c:pt idx="12">
                  <c:v>61.157912203003654</c:v>
                </c:pt>
                <c:pt idx="13">
                  <c:v>60.624907131459345</c:v>
                </c:pt>
                <c:pt idx="14">
                  <c:v>60.1894102781974</c:v>
                </c:pt>
                <c:pt idx="15">
                  <c:v>59.821202935229032</c:v>
                </c:pt>
                <c:pt idx="16">
                  <c:v>59.502247226851765</c:v>
                </c:pt>
                <c:pt idx="17">
                  <c:v>59.22090835339116</c:v>
                </c:pt>
                <c:pt idx="18">
                  <c:v>58.969242155307448</c:v>
                </c:pt>
                <c:pt idx="19">
                  <c:v>57.313577179155544</c:v>
                </c:pt>
                <c:pt idx="20">
                  <c:v>56.345075254349304</c:v>
                </c:pt>
                <c:pt idx="21">
                  <c:v>55.657912203003654</c:v>
                </c:pt>
                <c:pt idx="22">
                  <c:v>55.124907131459338</c:v>
                </c:pt>
                <c:pt idx="23">
                  <c:v>54.6894102781974</c:v>
                </c:pt>
                <c:pt idx="24">
                  <c:v>54.321202935229032</c:v>
                </c:pt>
                <c:pt idx="25">
                  <c:v>54.00224722685175</c:v>
                </c:pt>
                <c:pt idx="26">
                  <c:v>53.72090835339116</c:v>
                </c:pt>
                <c:pt idx="27">
                  <c:v>53.469242155307448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8-464C-82EB-A2843001DBD5}"/>
            </c:ext>
          </c:extLst>
        </c:ser>
        <c:ser>
          <c:idx val="4"/>
          <c:order val="4"/>
          <c:tx>
            <c:v>SPL_nose_lg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'Approach Aquila'!$M$7:$M$34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cat>
          <c:val>
            <c:numRef>
              <c:f>'Approach Aquila'!$W$7:$W$34</c:f>
              <c:numCache>
                <c:formatCode>General</c:formatCode>
                <c:ptCount val="28"/>
                <c:pt idx="0">
                  <c:v>11.306776932967043</c:v>
                </c:pt>
                <c:pt idx="1">
                  <c:v>17.234230734269978</c:v>
                </c:pt>
                <c:pt idx="2">
                  <c:v>20.602758739382043</c:v>
                </c:pt>
                <c:pt idx="3">
                  <c:v>22.890879126037209</c:v>
                </c:pt>
                <c:pt idx="4">
                  <c:v>24.564744344108004</c:v>
                </c:pt>
                <c:pt idx="5">
                  <c:v>25.8347120792967</c:v>
                </c:pt>
                <c:pt idx="6">
                  <c:v>26.815492819060989</c:v>
                </c:pt>
                <c:pt idx="7">
                  <c:v>27.577756512007227</c:v>
                </c:pt>
                <c:pt idx="8">
                  <c:v>28.168950136443751</c:v>
                </c:pt>
                <c:pt idx="9">
                  <c:v>28.622999003078291</c:v>
                </c:pt>
                <c:pt idx="10">
                  <c:v>29.300200660404457</c:v>
                </c:pt>
                <c:pt idx="11">
                  <c:v>27.6252714673452</c:v>
                </c:pt>
                <c:pt idx="12">
                  <c:v>25.67003186278335</c:v>
                </c:pt>
                <c:pt idx="13">
                  <c:v>23.839227528905468</c:v>
                </c:pt>
                <c:pt idx="14">
                  <c:v>22.196939607997692</c:v>
                </c:pt>
                <c:pt idx="15">
                  <c:v>20.732388376601278</c:v>
                </c:pt>
                <c:pt idx="16">
                  <c:v>19.420750520338849</c:v>
                </c:pt>
                <c:pt idx="17">
                  <c:v>18.237801570287491</c:v>
                </c:pt>
                <c:pt idx="18">
                  <c:v>17.163016916392838</c:v>
                </c:pt>
                <c:pt idx="19">
                  <c:v>9.8617157230385271</c:v>
                </c:pt>
                <c:pt idx="20">
                  <c:v>5.501570571477493</c:v>
                </c:pt>
                <c:pt idx="21">
                  <c:v>2.3928929008968018</c:v>
                </c:pt>
                <c:pt idx="22">
                  <c:v>-2.3003835781301087E-2</c:v>
                </c:pt>
                <c:pt idx="23">
                  <c:v>-1.9988100342132999</c:v>
                </c:pt>
                <c:pt idx="24">
                  <c:v>-3.6702330595359274</c:v>
                </c:pt>
                <c:pt idx="25">
                  <c:v>-5.1185732527551568</c:v>
                </c:pt>
                <c:pt idx="26">
                  <c:v>-6.3963862582154505</c:v>
                </c:pt>
                <c:pt idx="27">
                  <c:v>-7.5396081254625367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8-464C-82EB-A2843001DBD5}"/>
            </c:ext>
          </c:extLst>
        </c:ser>
        <c:ser>
          <c:idx val="5"/>
          <c:order val="5"/>
          <c:tx>
            <c:v>SPL_main_lg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'Approach Aquila'!$Y$7:$Y$34</c:f>
              <c:numCache>
                <c:formatCode>General</c:formatCode>
                <c:ptCount val="28"/>
                <c:pt idx="0">
                  <c:v>40.204599923773017</c:v>
                </c:pt>
                <c:pt idx="1">
                  <c:v>46.206969816373508</c:v>
                </c:pt>
                <c:pt idx="2">
                  <c:v>49.698487004555886</c:v>
                </c:pt>
                <c:pt idx="3">
                  <c:v>52.154987855984217</c:v>
                </c:pt>
                <c:pt idx="4">
                  <c:v>54.039103336077766</c:v>
                </c:pt>
                <c:pt idx="5">
                  <c:v>55.557028599810664</c:v>
                </c:pt>
                <c:pt idx="6">
                  <c:v>56.818884591192436</c:v>
                </c:pt>
                <c:pt idx="7">
                  <c:v>57.89053431105431</c:v>
                </c:pt>
                <c:pt idx="8">
                  <c:v>58.814589789569354</c:v>
                </c:pt>
                <c:pt idx="9">
                  <c:v>59.620272176752437</c:v>
                </c:pt>
                <c:pt idx="10">
                  <c:v>64.057573495391452</c:v>
                </c:pt>
                <c:pt idx="11">
                  <c:v>65.404338527128274</c:v>
                </c:pt>
                <c:pt idx="12">
                  <c:v>65.495629655544434</c:v>
                </c:pt>
                <c:pt idx="13">
                  <c:v>65.015785847825939</c:v>
                </c:pt>
                <c:pt idx="14">
                  <c:v>64.279769837686999</c:v>
                </c:pt>
                <c:pt idx="15">
                  <c:v>63.4403162861461</c:v>
                </c:pt>
                <c:pt idx="16">
                  <c:v>62.57274579651326</c:v>
                </c:pt>
                <c:pt idx="17">
                  <c:v>61.714145451659689</c:v>
                </c:pt>
                <c:pt idx="18">
                  <c:v>60.8822707254322</c:v>
                </c:pt>
                <c:pt idx="19">
                  <c:v>54.426949350072462</c:v>
                </c:pt>
                <c:pt idx="20">
                  <c:v>50.236438564236039</c:v>
                </c:pt>
                <c:pt idx="21">
                  <c:v>47.188187639398855</c:v>
                </c:pt>
                <c:pt idx="22">
                  <c:v>44.800449255533145</c:v>
                </c:pt>
                <c:pt idx="23">
                  <c:v>42.839989648962977</c:v>
                </c:pt>
                <c:pt idx="24">
                  <c:v>41.177837462424762</c:v>
                </c:pt>
                <c:pt idx="25">
                  <c:v>39.735521395045559</c:v>
                </c:pt>
                <c:pt idx="26">
                  <c:v>38.461841697423061</c:v>
                </c:pt>
                <c:pt idx="27">
                  <c:v>37.321577953231987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8-464C-82EB-A2843001DBD5}"/>
            </c:ext>
          </c:extLst>
        </c:ser>
        <c:ser>
          <c:idx val="7"/>
          <c:order val="7"/>
          <c:tx>
            <c:v>SPL_tot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'Approach Aquila'!$AB$7:$AB$34</c:f>
              <c:numCache>
                <c:formatCode>General</c:formatCode>
                <c:ptCount val="28"/>
                <c:pt idx="0">
                  <c:v>69.973878341134466</c:v>
                </c:pt>
                <c:pt idx="1">
                  <c:v>68.341176330723158</c:v>
                </c:pt>
                <c:pt idx="2">
                  <c:v>67.424192379499473</c:v>
                </c:pt>
                <c:pt idx="3">
                  <c:v>66.825132493902416</c:v>
                </c:pt>
                <c:pt idx="4">
                  <c:v>66.422001101088711</c:v>
                </c:pt>
                <c:pt idx="5">
                  <c:v>66.159595093566963</c:v>
                </c:pt>
                <c:pt idx="6">
                  <c:v>66.005256483315833</c:v>
                </c:pt>
                <c:pt idx="7">
                  <c:v>65.935307227630389</c:v>
                </c:pt>
                <c:pt idx="8">
                  <c:v>65.930465008206596</c:v>
                </c:pt>
                <c:pt idx="9">
                  <c:v>65.974402437748935</c:v>
                </c:pt>
                <c:pt idx="10">
                  <c:v>67.091379350959841</c:v>
                </c:pt>
                <c:pt idx="11">
                  <c:v>67.582714499581428</c:v>
                </c:pt>
                <c:pt idx="12">
                  <c:v>67.401931840037577</c:v>
                </c:pt>
                <c:pt idx="13">
                  <c:v>66.873580320374543</c:v>
                </c:pt>
                <c:pt idx="14">
                  <c:v>66.199236497542202</c:v>
                </c:pt>
                <c:pt idx="15">
                  <c:v>65.485633497717004</c:v>
                </c:pt>
                <c:pt idx="16">
                  <c:v>64.786132820026609</c:v>
                </c:pt>
                <c:pt idx="17">
                  <c:v>64.125959611335077</c:v>
                </c:pt>
                <c:pt idx="18">
                  <c:v>63.515776731927559</c:v>
                </c:pt>
                <c:pt idx="19">
                  <c:v>59.905689417032278</c:v>
                </c:pt>
                <c:pt idx="20">
                  <c:v>58.650568447111723</c:v>
                </c:pt>
                <c:pt idx="21">
                  <c:v>57.998340421595444</c:v>
                </c:pt>
                <c:pt idx="22">
                  <c:v>57.476483024656389</c:v>
                </c:pt>
                <c:pt idx="23">
                  <c:v>56.99364402984078</c:v>
                </c:pt>
                <c:pt idx="24">
                  <c:v>56.538202563888824</c:v>
                </c:pt>
                <c:pt idx="25">
                  <c:v>56.111277372051305</c:v>
                </c:pt>
                <c:pt idx="26">
                  <c:v>55.714026810136012</c:v>
                </c:pt>
                <c:pt idx="27">
                  <c:v>55.346087408590378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8-464C-82EB-A2843001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29856"/>
        <c:axId val="290830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SPL_ver_tail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'Approach Aquila'!$M$7:$M$34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  <c:pt idx="14">
                        <c:v>600</c:v>
                      </c:pt>
                      <c:pt idx="15">
                        <c:v>700</c:v>
                      </c:pt>
                      <c:pt idx="16">
                        <c:v>800</c:v>
                      </c:pt>
                      <c:pt idx="17">
                        <c:v>900</c:v>
                      </c:pt>
                      <c:pt idx="18">
                        <c:v>1000</c:v>
                      </c:pt>
                      <c:pt idx="19">
                        <c:v>2000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5000</c:v>
                      </c:pt>
                      <c:pt idx="23">
                        <c:v>6000</c:v>
                      </c:pt>
                      <c:pt idx="24">
                        <c:v>7000</c:v>
                      </c:pt>
                      <c:pt idx="25">
                        <c:v>8000</c:v>
                      </c:pt>
                      <c:pt idx="26">
                        <c:v>9000</c:v>
                      </c:pt>
                      <c:pt idx="2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'Approach Aquila'!$S$7:$S$34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-94.505571081600721</c:v>
                      </c:pt>
                      <c:pt idx="1">
                        <c:v>-82.465683855626978</c:v>
                      </c:pt>
                      <c:pt idx="2">
                        <c:v>-75.423733100747356</c:v>
                      </c:pt>
                      <c:pt idx="3">
                        <c:v>-70.42819608728</c:v>
                      </c:pt>
                      <c:pt idx="4">
                        <c:v>-66.554077961579338</c:v>
                      </c:pt>
                      <c:pt idx="5">
                        <c:v>-63.389351483786392</c:v>
                      </c:pt>
                      <c:pt idx="6">
                        <c:v>-60.71422293784665</c:v>
                      </c:pt>
                      <c:pt idx="7">
                        <c:v>-58.397491254312797</c:v>
                      </c:pt>
                      <c:pt idx="8">
                        <c:v>-56.354526400909663</c:v>
                      </c:pt>
                      <c:pt idx="9">
                        <c:v>-54.527541647887602</c:v>
                      </c:pt>
                      <c:pt idx="10">
                        <c:v>-42.527749609878725</c:v>
                      </c:pt>
                      <c:pt idx="11">
                        <c:v>-35.537574100015256</c:v>
                      </c:pt>
                      <c:pt idx="12">
                        <c:v>-30.603137119389189</c:v>
                      </c:pt>
                      <c:pt idx="13">
                        <c:v>-26.79804719278993</c:v>
                      </c:pt>
                      <c:pt idx="14">
                        <c:v>-23.709308345045457</c:v>
                      </c:pt>
                      <c:pt idx="15">
                        <c:v>-21.116394897680316</c:v>
                      </c:pt>
                      <c:pt idx="16">
                        <c:v>-18.887521764565257</c:v>
                      </c:pt>
                      <c:pt idx="17">
                        <c:v>-16.937575047489531</c:v>
                      </c:pt>
                      <c:pt idx="18">
                        <c:v>-15.208355958301766</c:v>
                      </c:pt>
                      <c:pt idx="19">
                        <c:v>-4.3841222866110447</c:v>
                      </c:pt>
                      <c:pt idx="20">
                        <c:v>1.2005652677904934</c:v>
                      </c:pt>
                      <c:pt idx="21">
                        <c:v>4.6153264140314594</c:v>
                      </c:pt>
                      <c:pt idx="22">
                        <c:v>6.8553186657140852</c:v>
                      </c:pt>
                      <c:pt idx="23">
                        <c:v>8.3762824467317341</c:v>
                      </c:pt>
                      <c:pt idx="24">
                        <c:v>9.4252812364194334</c:v>
                      </c:pt>
                      <c:pt idx="25">
                        <c:v>10.150186204765223</c:v>
                      </c:pt>
                      <c:pt idx="26">
                        <c:v>10.645390218538004</c:v>
                      </c:pt>
                      <c:pt idx="27">
                        <c:v>10.973936408985219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558-464C-82EB-A2843001DB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SPL_strut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Aquila'!$AA$7:$AA$34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10.739930490368717</c:v>
                      </c:pt>
                      <c:pt idx="1">
                        <c:v>10.739930490368636</c:v>
                      </c:pt>
                      <c:pt idx="2">
                        <c:v>10.739930490366641</c:v>
                      </c:pt>
                      <c:pt idx="3">
                        <c:v>10.739930490347966</c:v>
                      </c:pt>
                      <c:pt idx="4">
                        <c:v>10.739930490245023</c:v>
                      </c:pt>
                      <c:pt idx="5">
                        <c:v>10.739930489836851</c:v>
                      </c:pt>
                      <c:pt idx="6">
                        <c:v>10.739930488543244</c:v>
                      </c:pt>
                      <c:pt idx="7">
                        <c:v>10.739930485056062</c:v>
                      </c:pt>
                      <c:pt idx="8">
                        <c:v>10.739930476737589</c:v>
                      </c:pt>
                      <c:pt idx="9">
                        <c:v>10.739930458702824</c:v>
                      </c:pt>
                      <c:pt idx="10">
                        <c:v>10.739922383907397</c:v>
                      </c:pt>
                      <c:pt idx="11">
                        <c:v>10.739722735406875</c:v>
                      </c:pt>
                      <c:pt idx="12">
                        <c:v>10.737855730001275</c:v>
                      </c:pt>
                      <c:pt idx="13">
                        <c:v>10.727578582380961</c:v>
                      </c:pt>
                      <c:pt idx="14">
                        <c:v>10.687066991789489</c:v>
                      </c:pt>
                      <c:pt idx="15">
                        <c:v>10.561115207406855</c:v>
                      </c:pt>
                      <c:pt idx="16">
                        <c:v>10.238730915450965</c:v>
                      </c:pt>
                      <c:pt idx="17">
                        <c:v>9.5544119930638711</c:v>
                      </c:pt>
                      <c:pt idx="18">
                        <c:v>8.3616435919676046</c:v>
                      </c:pt>
                      <c:pt idx="19">
                        <c:v>-11.993748309323131</c:v>
                      </c:pt>
                      <c:pt idx="20">
                        <c:v>-26.05875206344367</c:v>
                      </c:pt>
                      <c:pt idx="21">
                        <c:v>-36.053034137210673</c:v>
                      </c:pt>
                      <c:pt idx="22">
                        <c:v>-43.805759540929159</c:v>
                      </c:pt>
                      <c:pt idx="23">
                        <c:v>-50.14024752285551</c:v>
                      </c:pt>
                      <c:pt idx="24">
                        <c:v>-55.495988180295569</c:v>
                      </c:pt>
                      <c:pt idx="25">
                        <c:v>-60.13534326031462</c:v>
                      </c:pt>
                      <c:pt idx="26">
                        <c:v>-64.227544839450104</c:v>
                      </c:pt>
                      <c:pt idx="27">
                        <c:v>-67.888144005498788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558-464C-82EB-A2843001DBD5}"/>
                  </c:ext>
                </c:extLst>
              </c15:ser>
            </c15:filteredLineSeries>
          </c:ext>
        </c:extLst>
      </c:lineChart>
      <c:catAx>
        <c:axId val="2908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30400"/>
        <c:crosses val="autoZero"/>
        <c:auto val="1"/>
        <c:lblAlgn val="ctr"/>
        <c:lblOffset val="100"/>
        <c:noMultiLvlLbl val="0"/>
      </c:catAx>
      <c:valAx>
        <c:axId val="2908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 (dB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45</xdr:row>
      <xdr:rowOff>14287</xdr:rowOff>
    </xdr:from>
    <xdr:to>
      <xdr:col>24</xdr:col>
      <xdr:colOff>371474</xdr:colOff>
      <xdr:row>65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40</xdr:row>
      <xdr:rowOff>52387</xdr:rowOff>
    </xdr:from>
    <xdr:to>
      <xdr:col>24</xdr:col>
      <xdr:colOff>361949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opLeftCell="A36" zoomScale="59" workbookViewId="0">
      <selection activeCell="F55" sqref="F55:F65"/>
    </sheetView>
  </sheetViews>
  <sheetFormatPr defaultRowHeight="14.4" x14ac:dyDescent="0.3"/>
  <cols>
    <col min="1" max="1" width="35.109375" bestFit="1" customWidth="1"/>
    <col min="2" max="2" width="30" bestFit="1" customWidth="1"/>
    <col min="3" max="3" width="26.109375" bestFit="1" customWidth="1"/>
    <col min="4" max="4" width="20.109375" bestFit="1" customWidth="1"/>
    <col min="5" max="5" width="28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1775</v>
      </c>
      <c r="C3" t="s">
        <v>5</v>
      </c>
    </row>
    <row r="4" spans="1:3" x14ac:dyDescent="0.3">
      <c r="A4" t="s">
        <v>6</v>
      </c>
      <c r="B4">
        <v>3.93</v>
      </c>
      <c r="C4" t="s">
        <v>7</v>
      </c>
    </row>
    <row r="5" spans="1:3" x14ac:dyDescent="0.3">
      <c r="A5" t="s">
        <v>9</v>
      </c>
      <c r="B5">
        <v>1200</v>
      </c>
      <c r="C5" t="s">
        <v>8</v>
      </c>
    </row>
    <row r="6" spans="1:3" x14ac:dyDescent="0.3">
      <c r="A6" t="s">
        <v>10</v>
      </c>
      <c r="B6">
        <v>322</v>
      </c>
      <c r="C6" t="s">
        <v>11</v>
      </c>
    </row>
    <row r="7" spans="1:3" x14ac:dyDescent="0.3">
      <c r="A7" t="s">
        <v>12</v>
      </c>
      <c r="B7">
        <f>1*0.3048</f>
        <v>0.30480000000000002</v>
      </c>
      <c r="C7" t="s">
        <v>7</v>
      </c>
    </row>
    <row r="8" spans="1:3" x14ac:dyDescent="0.3">
      <c r="A8" t="s">
        <v>13</v>
      </c>
      <c r="B8">
        <v>2</v>
      </c>
      <c r="C8" t="s">
        <v>14</v>
      </c>
    </row>
    <row r="9" spans="1:3" x14ac:dyDescent="0.3">
      <c r="A9" t="s">
        <v>15</v>
      </c>
      <c r="B9">
        <v>6</v>
      </c>
      <c r="C9" t="s">
        <v>14</v>
      </c>
    </row>
    <row r="10" spans="1:3" x14ac:dyDescent="0.3">
      <c r="A10" t="s">
        <v>16</v>
      </c>
      <c r="B10">
        <f>(PI()*B4*B5)/(B6*60)</f>
        <v>0.76686081544148377</v>
      </c>
      <c r="C10" t="s">
        <v>14</v>
      </c>
    </row>
    <row r="11" spans="1:3" x14ac:dyDescent="0.3">
      <c r="A11" t="s">
        <v>17</v>
      </c>
      <c r="B11">
        <f>83.4+15.3*LOG10(B3)-20*LOG10(B10)-3*(B9-2)+10*LOG10(B8)</f>
        <v>126.42870388396963</v>
      </c>
    </row>
    <row r="12" spans="1:3" x14ac:dyDescent="0.3">
      <c r="A12" t="s">
        <v>49</v>
      </c>
      <c r="B12">
        <v>450</v>
      </c>
      <c r="C12" t="s">
        <v>7</v>
      </c>
    </row>
    <row r="14" spans="1:3" x14ac:dyDescent="0.3">
      <c r="A14" t="s">
        <v>26</v>
      </c>
    </row>
    <row r="15" spans="1:3" x14ac:dyDescent="0.3">
      <c r="A15" t="s">
        <v>18</v>
      </c>
      <c r="B15">
        <v>134</v>
      </c>
      <c r="C15" t="s">
        <v>19</v>
      </c>
    </row>
    <row r="16" spans="1:3" x14ac:dyDescent="0.3">
      <c r="A16" t="s">
        <v>20</v>
      </c>
      <c r="B16">
        <f>20*LOG10(4/B9)</f>
        <v>-3.5218251811136252</v>
      </c>
      <c r="C16" t="s">
        <v>19</v>
      </c>
    </row>
    <row r="17" spans="1:6" x14ac:dyDescent="0.3">
      <c r="A17" t="s">
        <v>21</v>
      </c>
      <c r="B17">
        <f>40*LOG10(15.5/(B4/0.3048))</f>
        <v>3.1981644184971074</v>
      </c>
      <c r="C17" t="s">
        <v>19</v>
      </c>
    </row>
    <row r="18" spans="1:6" x14ac:dyDescent="0.3">
      <c r="A18" t="s">
        <v>22</v>
      </c>
      <c r="B18">
        <v>4</v>
      </c>
      <c r="C18" t="s">
        <v>19</v>
      </c>
    </row>
    <row r="19" spans="1:6" x14ac:dyDescent="0.3">
      <c r="A19" t="s">
        <v>23</v>
      </c>
      <c r="B19">
        <v>0</v>
      </c>
      <c r="C19" t="s">
        <v>19</v>
      </c>
    </row>
    <row r="20" spans="1:6" x14ac:dyDescent="0.3">
      <c r="A20" t="s">
        <v>24</v>
      </c>
      <c r="B20">
        <v>4</v>
      </c>
      <c r="C20" t="s">
        <v>19</v>
      </c>
    </row>
    <row r="21" spans="1:6" x14ac:dyDescent="0.3">
      <c r="A21" t="s">
        <v>25</v>
      </c>
      <c r="B21">
        <f>SUM(B15:B20)</f>
        <v>141.67633923738347</v>
      </c>
      <c r="C21" t="s">
        <v>19</v>
      </c>
    </row>
    <row r="22" spans="1:6" x14ac:dyDescent="0.3">
      <c r="A22" t="s">
        <v>28</v>
      </c>
      <c r="B22">
        <f>B9*B5/60</f>
        <v>120</v>
      </c>
      <c r="C22" t="s">
        <v>27</v>
      </c>
    </row>
    <row r="23" spans="1:6" x14ac:dyDescent="0.3">
      <c r="A23" t="s">
        <v>29</v>
      </c>
      <c r="B23" t="s">
        <v>30</v>
      </c>
      <c r="C23" t="s">
        <v>32</v>
      </c>
      <c r="D23" t="s">
        <v>31</v>
      </c>
      <c r="E23" t="s">
        <v>62</v>
      </c>
      <c r="F23" t="s">
        <v>63</v>
      </c>
    </row>
    <row r="24" spans="1:6" x14ac:dyDescent="0.3">
      <c r="A24" t="s">
        <v>33</v>
      </c>
      <c r="B24">
        <f>B22</f>
        <v>120</v>
      </c>
      <c r="C24">
        <v>-2</v>
      </c>
      <c r="D24">
        <f t="shared" ref="D24:D33" si="0">$B$21+C24</f>
        <v>139.67633923738347</v>
      </c>
      <c r="E24">
        <f>20*LOG((12194^2*B24^4)/((B24^2+20.6^2)*SQRT((B24^2+107.7^2)*(B24^2+737.9^2))*(B24^2+12194^2)))+2</f>
        <v>-16.708788588882115</v>
      </c>
      <c r="F24">
        <f>D24+E24</f>
        <v>122.96755064850136</v>
      </c>
    </row>
    <row r="25" spans="1:6" x14ac:dyDescent="0.3">
      <c r="A25">
        <v>2</v>
      </c>
      <c r="B25">
        <f t="shared" ref="B25:B33" si="1">$B$24*A25</f>
        <v>240</v>
      </c>
      <c r="C25">
        <v>-9</v>
      </c>
      <c r="D25">
        <f t="shared" si="0"/>
        <v>132.67633923738347</v>
      </c>
      <c r="E25">
        <f t="shared" ref="E25:E33" si="2">20*LOG((12194^2*B25^4)/((B25^2+20.6^2)*SQRT((B25^2+107.7^2)*(B25^2+737.9^2))*(B25^2+12194^2)))+2</f>
        <v>-9.0563486381089415</v>
      </c>
      <c r="F25">
        <f t="shared" ref="F25:F33" si="3">D25+E25</f>
        <v>123.61999059927453</v>
      </c>
    </row>
    <row r="26" spans="1:6" x14ac:dyDescent="0.3">
      <c r="A26">
        <v>3</v>
      </c>
      <c r="B26">
        <f t="shared" si="1"/>
        <v>360</v>
      </c>
      <c r="C26">
        <v>-13</v>
      </c>
      <c r="D26">
        <f t="shared" si="0"/>
        <v>128.67633923738347</v>
      </c>
      <c r="E26">
        <f t="shared" si="2"/>
        <v>-5.5694069500787933</v>
      </c>
      <c r="F26">
        <f t="shared" si="3"/>
        <v>123.10693228730469</v>
      </c>
    </row>
    <row r="27" spans="1:6" x14ac:dyDescent="0.3">
      <c r="A27">
        <v>4</v>
      </c>
      <c r="B27">
        <f t="shared" si="1"/>
        <v>480</v>
      </c>
      <c r="C27">
        <v>-16</v>
      </c>
      <c r="D27">
        <f t="shared" si="0"/>
        <v>125.67633923738347</v>
      </c>
      <c r="E27">
        <f t="shared" si="2"/>
        <v>-3.5103595418012183</v>
      </c>
      <c r="F27">
        <f t="shared" si="3"/>
        <v>122.16597969558225</v>
      </c>
    </row>
    <row r="28" spans="1:6" x14ac:dyDescent="0.3">
      <c r="A28">
        <v>5</v>
      </c>
      <c r="B28">
        <f t="shared" si="1"/>
        <v>600</v>
      </c>
      <c r="C28">
        <v>-18</v>
      </c>
      <c r="D28">
        <f t="shared" si="0"/>
        <v>123.67633923738347</v>
      </c>
      <c r="E28">
        <f t="shared" si="2"/>
        <v>-2.1700037836745878</v>
      </c>
      <c r="F28">
        <f t="shared" si="3"/>
        <v>121.50633545370889</v>
      </c>
    </row>
    <row r="29" spans="1:6" x14ac:dyDescent="0.3">
      <c r="A29">
        <v>6</v>
      </c>
      <c r="B29">
        <f t="shared" si="1"/>
        <v>720</v>
      </c>
      <c r="C29">
        <v>-19</v>
      </c>
      <c r="D29">
        <f t="shared" si="0"/>
        <v>122.67633923738347</v>
      </c>
      <c r="E29">
        <f t="shared" si="2"/>
        <v>-1.2516992457874556</v>
      </c>
      <c r="F29">
        <f t="shared" si="3"/>
        <v>121.42463999159602</v>
      </c>
    </row>
    <row r="30" spans="1:6" x14ac:dyDescent="0.3">
      <c r="A30">
        <v>7</v>
      </c>
      <c r="B30">
        <f t="shared" si="1"/>
        <v>840</v>
      </c>
      <c r="C30">
        <v>-20</v>
      </c>
      <c r="D30">
        <f t="shared" si="0"/>
        <v>121.67633923738347</v>
      </c>
      <c r="E30">
        <f t="shared" si="2"/>
        <v>-0.60100432461737086</v>
      </c>
      <c r="F30">
        <f t="shared" si="3"/>
        <v>121.0753349127661</v>
      </c>
    </row>
    <row r="31" spans="1:6" x14ac:dyDescent="0.3">
      <c r="A31">
        <v>8</v>
      </c>
      <c r="B31">
        <f t="shared" si="1"/>
        <v>960</v>
      </c>
      <c r="C31">
        <v>-20</v>
      </c>
      <c r="D31">
        <f t="shared" si="0"/>
        <v>121.67633923738347</v>
      </c>
      <c r="E31">
        <f t="shared" si="2"/>
        <v>-0.12818737507789324</v>
      </c>
      <c r="F31">
        <f t="shared" si="3"/>
        <v>121.54815186230557</v>
      </c>
    </row>
    <row r="32" spans="1:6" x14ac:dyDescent="0.3">
      <c r="A32">
        <v>9</v>
      </c>
      <c r="B32">
        <f t="shared" si="1"/>
        <v>1080</v>
      </c>
      <c r="C32">
        <v>-20</v>
      </c>
      <c r="D32">
        <f t="shared" si="0"/>
        <v>121.67633923738347</v>
      </c>
      <c r="E32">
        <f t="shared" si="2"/>
        <v>0.22223422970207096</v>
      </c>
      <c r="F32">
        <f t="shared" si="3"/>
        <v>121.89857346708554</v>
      </c>
    </row>
    <row r="33" spans="1:6" x14ac:dyDescent="0.3">
      <c r="A33">
        <v>10</v>
      </c>
      <c r="B33">
        <f t="shared" si="1"/>
        <v>1200</v>
      </c>
      <c r="C33">
        <v>-20</v>
      </c>
      <c r="D33">
        <f t="shared" si="0"/>
        <v>121.67633923738347</v>
      </c>
      <c r="E33">
        <f t="shared" si="2"/>
        <v>0.48600746288850472</v>
      </c>
      <c r="F33">
        <f t="shared" si="3"/>
        <v>122.16234670027198</v>
      </c>
    </row>
    <row r="35" spans="1:6" x14ac:dyDescent="0.3">
      <c r="A35" t="s">
        <v>34</v>
      </c>
      <c r="B35" t="s">
        <v>35</v>
      </c>
      <c r="C35" t="s">
        <v>36</v>
      </c>
      <c r="D35" t="s">
        <v>47</v>
      </c>
    </row>
    <row r="36" spans="1:6" x14ac:dyDescent="0.3">
      <c r="A36" t="s">
        <v>37</v>
      </c>
      <c r="B36" t="s">
        <v>45</v>
      </c>
    </row>
    <row r="37" spans="1:6" x14ac:dyDescent="0.3">
      <c r="A37" t="s">
        <v>38</v>
      </c>
      <c r="B37">
        <v>120</v>
      </c>
      <c r="C37">
        <f>F24</f>
        <v>122.96755064850136</v>
      </c>
      <c r="D37">
        <f>C37</f>
        <v>122.96755064850136</v>
      </c>
    </row>
    <row r="38" spans="1:6" x14ac:dyDescent="0.3">
      <c r="A38" t="s">
        <v>39</v>
      </c>
      <c r="B38">
        <v>240</v>
      </c>
      <c r="C38">
        <f>F25</f>
        <v>123.61999059927453</v>
      </c>
      <c r="D38">
        <f>C38</f>
        <v>123.61999059927453</v>
      </c>
    </row>
    <row r="39" spans="1:6" x14ac:dyDescent="0.3">
      <c r="A39" t="s">
        <v>40</v>
      </c>
      <c r="B39" t="s">
        <v>159</v>
      </c>
      <c r="C39" t="s">
        <v>58</v>
      </c>
      <c r="D39">
        <f>10*LOG10(10^(F26/10)+10^(F27/10)+10^(F28/10))</f>
        <v>127.08100936864759</v>
      </c>
    </row>
    <row r="40" spans="1:6" x14ac:dyDescent="0.3">
      <c r="A40" t="s">
        <v>41</v>
      </c>
      <c r="B40" t="s">
        <v>160</v>
      </c>
      <c r="C40" t="s">
        <v>59</v>
      </c>
      <c r="D40">
        <f>10*LOG10(10^(F29/10)+10^(F30/10)+10^(F31/10)+10^(F32/10)+10^(F33/10))</f>
        <v>128.62789872792851</v>
      </c>
    </row>
    <row r="41" spans="1:6" x14ac:dyDescent="0.3">
      <c r="A41" t="s">
        <v>42</v>
      </c>
    </row>
    <row r="42" spans="1:6" x14ac:dyDescent="0.3">
      <c r="A42" t="s">
        <v>43</v>
      </c>
    </row>
    <row r="43" spans="1:6" x14ac:dyDescent="0.3">
      <c r="A43" t="s">
        <v>44</v>
      </c>
    </row>
    <row r="44" spans="1:6" x14ac:dyDescent="0.3">
      <c r="A44" t="s">
        <v>46</v>
      </c>
      <c r="D44">
        <f>10*LOG10(10^(D37/10)+10^(D38/10)+10^(D39/10)+10^(D40/10))</f>
        <v>132.2217338945197</v>
      </c>
    </row>
    <row r="46" spans="1:6" x14ac:dyDescent="0.3">
      <c r="A46" t="s">
        <v>48</v>
      </c>
    </row>
    <row r="47" spans="1:6" x14ac:dyDescent="0.3">
      <c r="A47" t="s">
        <v>18</v>
      </c>
      <c r="B47">
        <f>B15</f>
        <v>134</v>
      </c>
      <c r="C47" t="s">
        <v>19</v>
      </c>
    </row>
    <row r="48" spans="1:6" x14ac:dyDescent="0.3">
      <c r="A48" t="s">
        <v>20</v>
      </c>
      <c r="B48">
        <f>B16</f>
        <v>-3.5218251811136252</v>
      </c>
      <c r="C48" t="s">
        <v>19</v>
      </c>
    </row>
    <row r="49" spans="1:6" x14ac:dyDescent="0.3">
      <c r="A49" t="s">
        <v>21</v>
      </c>
      <c r="B49">
        <f>B17</f>
        <v>3.1981644184971074</v>
      </c>
      <c r="C49" t="s">
        <v>19</v>
      </c>
    </row>
    <row r="50" spans="1:6" x14ac:dyDescent="0.3">
      <c r="A50" t="s">
        <v>22</v>
      </c>
      <c r="B50">
        <f>B18</f>
        <v>4</v>
      </c>
      <c r="C50" t="s">
        <v>19</v>
      </c>
    </row>
    <row r="51" spans="1:6" x14ac:dyDescent="0.3">
      <c r="A51" t="s">
        <v>50</v>
      </c>
      <c r="B51">
        <v>8</v>
      </c>
      <c r="C51" t="s">
        <v>19</v>
      </c>
    </row>
    <row r="52" spans="1:6" x14ac:dyDescent="0.3">
      <c r="A52" t="s">
        <v>51</v>
      </c>
      <c r="B52">
        <f>-20*LOG10((B12/0.3048)-1)</f>
        <v>-63.378065786215778</v>
      </c>
      <c r="C52" t="s">
        <v>19</v>
      </c>
    </row>
    <row r="53" spans="1:6" x14ac:dyDescent="0.3">
      <c r="A53" t="s">
        <v>52</v>
      </c>
      <c r="B53">
        <f>SUM(B47:B52)</f>
        <v>82.298273451167688</v>
      </c>
      <c r="C53" t="s">
        <v>19</v>
      </c>
    </row>
    <row r="54" spans="1:6" x14ac:dyDescent="0.3">
      <c r="A54" t="s">
        <v>53</v>
      </c>
      <c r="B54">
        <f>B22</f>
        <v>120</v>
      </c>
    </row>
    <row r="55" spans="1:6" x14ac:dyDescent="0.3">
      <c r="A55" t="s">
        <v>29</v>
      </c>
      <c r="B55" t="s">
        <v>30</v>
      </c>
      <c r="C55" t="s">
        <v>32</v>
      </c>
      <c r="D55" t="s">
        <v>31</v>
      </c>
      <c r="E55" t="s">
        <v>62</v>
      </c>
      <c r="F55" t="s">
        <v>63</v>
      </c>
    </row>
    <row r="56" spans="1:6" x14ac:dyDescent="0.3">
      <c r="A56" t="s">
        <v>33</v>
      </c>
      <c r="B56">
        <f>B54</f>
        <v>120</v>
      </c>
      <c r="C56">
        <v>-2</v>
      </c>
      <c r="D56">
        <f>$B$53+C56</f>
        <v>80.298273451167688</v>
      </c>
      <c r="E56">
        <f>20*LOG((12194^2*B56^4)/((B56^2+20.6^2)*SQRT((B56^2+107.7^2)*(B56^2+737.9^2))*(B56^2+12194^2)))+2</f>
        <v>-16.708788588882115</v>
      </c>
      <c r="F56" s="1">
        <f>D56+E56</f>
        <v>63.589484862285573</v>
      </c>
    </row>
    <row r="57" spans="1:6" x14ac:dyDescent="0.3">
      <c r="A57">
        <v>2</v>
      </c>
      <c r="B57">
        <f t="shared" ref="B57:B65" si="4">$B$24*A57</f>
        <v>240</v>
      </c>
      <c r="C57">
        <v>-9</v>
      </c>
      <c r="D57">
        <f t="shared" ref="D57:D65" si="5">$B$53+C57</f>
        <v>73.298273451167688</v>
      </c>
      <c r="E57">
        <f>20*LOG((12194^2*B57^4)/((B57^2+20.6^2)*SQRT((B57^2+107.7^2)*(B57^2+737.9^2))*(B57^2+12194^2)))+2</f>
        <v>-9.0563486381089415</v>
      </c>
      <c r="F57" s="1">
        <f t="shared" ref="F57:F65" si="6">D57+E57</f>
        <v>64.241924813058745</v>
      </c>
    </row>
    <row r="58" spans="1:6" x14ac:dyDescent="0.3">
      <c r="A58">
        <v>3</v>
      </c>
      <c r="B58">
        <f t="shared" si="4"/>
        <v>360</v>
      </c>
      <c r="C58">
        <v>-13</v>
      </c>
      <c r="D58">
        <f t="shared" si="5"/>
        <v>69.298273451167688</v>
      </c>
      <c r="E58">
        <f t="shared" ref="E58:E65" si="7">20*LOG((12194^2*B58^4)/((B58^2+20.6^2)*SQRT((B58^2+107.7^2)*(B58^2+737.9^2))*(B58^2+12194^2)))+2</f>
        <v>-5.5694069500787933</v>
      </c>
      <c r="F58" s="1">
        <f t="shared" si="6"/>
        <v>63.728866501088895</v>
      </c>
    </row>
    <row r="59" spans="1:6" x14ac:dyDescent="0.3">
      <c r="A59">
        <v>4</v>
      </c>
      <c r="B59">
        <f t="shared" si="4"/>
        <v>480</v>
      </c>
      <c r="C59">
        <v>-16</v>
      </c>
      <c r="D59">
        <f t="shared" si="5"/>
        <v>66.298273451167688</v>
      </c>
      <c r="E59">
        <f t="shared" si="7"/>
        <v>-3.5103595418012183</v>
      </c>
      <c r="F59" s="1">
        <f t="shared" si="6"/>
        <v>62.787913909366466</v>
      </c>
    </row>
    <row r="60" spans="1:6" x14ac:dyDescent="0.3">
      <c r="A60">
        <v>5</v>
      </c>
      <c r="B60">
        <f t="shared" si="4"/>
        <v>600</v>
      </c>
      <c r="C60">
        <v>-18</v>
      </c>
      <c r="D60">
        <f t="shared" si="5"/>
        <v>64.298273451167688</v>
      </c>
      <c r="E60">
        <f t="shared" si="7"/>
        <v>-2.1700037836745878</v>
      </c>
      <c r="F60" s="1">
        <f t="shared" si="6"/>
        <v>62.1282696674931</v>
      </c>
    </row>
    <row r="61" spans="1:6" x14ac:dyDescent="0.3">
      <c r="A61">
        <v>6</v>
      </c>
      <c r="B61">
        <f t="shared" si="4"/>
        <v>720</v>
      </c>
      <c r="C61">
        <v>-19</v>
      </c>
      <c r="D61">
        <f t="shared" si="5"/>
        <v>63.298273451167688</v>
      </c>
      <c r="E61">
        <f t="shared" si="7"/>
        <v>-1.2516992457874556</v>
      </c>
      <c r="F61" s="1">
        <f t="shared" si="6"/>
        <v>62.046574205380232</v>
      </c>
    </row>
    <row r="62" spans="1:6" x14ac:dyDescent="0.3">
      <c r="A62">
        <v>7</v>
      </c>
      <c r="B62">
        <f t="shared" si="4"/>
        <v>840</v>
      </c>
      <c r="C62">
        <v>-20</v>
      </c>
      <c r="D62">
        <f t="shared" si="5"/>
        <v>62.298273451167688</v>
      </c>
      <c r="E62">
        <f t="shared" si="7"/>
        <v>-0.60100432461737086</v>
      </c>
      <c r="F62" s="1">
        <f t="shared" si="6"/>
        <v>61.697269126550317</v>
      </c>
    </row>
    <row r="63" spans="1:6" x14ac:dyDescent="0.3">
      <c r="A63">
        <v>8</v>
      </c>
      <c r="B63">
        <f t="shared" si="4"/>
        <v>960</v>
      </c>
      <c r="C63">
        <v>-20</v>
      </c>
      <c r="D63">
        <f t="shared" si="5"/>
        <v>62.298273451167688</v>
      </c>
      <c r="E63">
        <f t="shared" si="7"/>
        <v>-0.12818737507789324</v>
      </c>
      <c r="F63" s="1">
        <f t="shared" si="6"/>
        <v>62.170086076089795</v>
      </c>
    </row>
    <row r="64" spans="1:6" x14ac:dyDescent="0.3">
      <c r="A64">
        <v>9</v>
      </c>
      <c r="B64">
        <f t="shared" si="4"/>
        <v>1080</v>
      </c>
      <c r="C64">
        <v>-20</v>
      </c>
      <c r="D64">
        <f t="shared" si="5"/>
        <v>62.298273451167688</v>
      </c>
      <c r="E64">
        <f t="shared" si="7"/>
        <v>0.22223422970207096</v>
      </c>
      <c r="F64" s="1">
        <f t="shared" si="6"/>
        <v>62.520507680869756</v>
      </c>
    </row>
    <row r="65" spans="1:6" x14ac:dyDescent="0.3">
      <c r="A65">
        <v>10</v>
      </c>
      <c r="B65">
        <f t="shared" si="4"/>
        <v>1200</v>
      </c>
      <c r="C65">
        <v>-20</v>
      </c>
      <c r="D65">
        <f t="shared" si="5"/>
        <v>62.298273451167688</v>
      </c>
      <c r="E65">
        <f t="shared" si="7"/>
        <v>0.48600746288850472</v>
      </c>
      <c r="F65" s="1">
        <f t="shared" si="6"/>
        <v>62.78428091405619</v>
      </c>
    </row>
    <row r="67" spans="1:6" x14ac:dyDescent="0.3">
      <c r="A67" t="s">
        <v>34</v>
      </c>
      <c r="B67" t="s">
        <v>35</v>
      </c>
      <c r="C67" t="s">
        <v>36</v>
      </c>
      <c r="D67" t="s">
        <v>54</v>
      </c>
      <c r="E67" t="s">
        <v>47</v>
      </c>
      <c r="F67" t="s">
        <v>55</v>
      </c>
    </row>
    <row r="68" spans="1:6" x14ac:dyDescent="0.3">
      <c r="A68" t="s">
        <v>37</v>
      </c>
      <c r="B68" t="s">
        <v>45</v>
      </c>
      <c r="D68">
        <v>0</v>
      </c>
    </row>
    <row r="69" spans="1:6" x14ac:dyDescent="0.3">
      <c r="A69" t="s">
        <v>38</v>
      </c>
      <c r="B69">
        <f>B37</f>
        <v>120</v>
      </c>
      <c r="C69">
        <f>F56</f>
        <v>63.589484862285573</v>
      </c>
      <c r="D69">
        <f>-0.2*(B12/0.3048/1000)</f>
        <v>-0.29527559055118108</v>
      </c>
      <c r="E69">
        <f>C69</f>
        <v>63.589484862285573</v>
      </c>
      <c r="F69">
        <f>E69+D69</f>
        <v>63.294209271734395</v>
      </c>
    </row>
    <row r="70" spans="1:6" x14ac:dyDescent="0.3">
      <c r="A70" t="s">
        <v>39</v>
      </c>
      <c r="B70">
        <f>B38</f>
        <v>240</v>
      </c>
      <c r="C70">
        <f>F57</f>
        <v>64.241924813058745</v>
      </c>
      <c r="D70">
        <f>-0.7*(B12/0.3048/1000)</f>
        <v>-1.0334645669291336</v>
      </c>
      <c r="E70">
        <f>C70</f>
        <v>64.241924813058745</v>
      </c>
      <c r="F70">
        <f t="shared" ref="F70:F72" si="8">E70+D70</f>
        <v>63.208460246129611</v>
      </c>
    </row>
    <row r="71" spans="1:6" x14ac:dyDescent="0.3">
      <c r="A71" t="s">
        <v>40</v>
      </c>
      <c r="B71" t="s">
        <v>56</v>
      </c>
      <c r="C71" t="s">
        <v>60</v>
      </c>
      <c r="D71">
        <f>-1*(B12/0.3048/1000)</f>
        <v>-1.4763779527559053</v>
      </c>
      <c r="E71">
        <f>10*LOG10(10^(F58/10)+10^(F59/10)+10^(F60/10))</f>
        <v>67.702943582431786</v>
      </c>
      <c r="F71">
        <f t="shared" si="8"/>
        <v>66.226565629675875</v>
      </c>
    </row>
    <row r="72" spans="1:6" x14ac:dyDescent="0.3">
      <c r="A72" t="s">
        <v>41</v>
      </c>
      <c r="B72" t="s">
        <v>57</v>
      </c>
      <c r="C72" t="s">
        <v>61</v>
      </c>
      <c r="D72">
        <f>-1.9*(B12/0.3048/1000)</f>
        <v>-2.8051181102362199</v>
      </c>
      <c r="E72">
        <f>10*LOG10(10^(F61/10)+10^(F62/10)+10^(F63/10)+10^(F64/10)+10^(F65/10))</f>
        <v>69.249832941712711</v>
      </c>
      <c r="F72">
        <f t="shared" si="8"/>
        <v>66.444714831476489</v>
      </c>
    </row>
    <row r="73" spans="1:6" x14ac:dyDescent="0.3">
      <c r="A73" t="s">
        <v>42</v>
      </c>
      <c r="D73">
        <f>-3.4*(B12/0.3048/1000)</f>
        <v>-5.0196850393700778</v>
      </c>
    </row>
    <row r="74" spans="1:6" x14ac:dyDescent="0.3">
      <c r="A74" t="s">
        <v>43</v>
      </c>
      <c r="D74">
        <f>-6*(B12/0.3048/1000)</f>
        <v>-8.8582677165354315</v>
      </c>
    </row>
    <row r="75" spans="1:6" x14ac:dyDescent="0.3">
      <c r="A75" t="s">
        <v>44</v>
      </c>
      <c r="D75">
        <f>-11.7*(B12/0.3048/1000)</f>
        <v>-17.273622047244093</v>
      </c>
    </row>
    <row r="76" spans="1:6" x14ac:dyDescent="0.3">
      <c r="A76" t="s">
        <v>46</v>
      </c>
      <c r="E76">
        <f>10*LOG10(10^(E69/10)+10^(E70/10)+10^(E71/10)+10^(E72/10))</f>
        <v>72.843668108303916</v>
      </c>
      <c r="F76">
        <f>10*LOG10(10^(F69/10)+10^(F70/10)+10^(F71/10)+10^(F72/10))</f>
        <v>71.083312129622726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8"/>
  <sheetViews>
    <sheetView topLeftCell="R15" zoomScale="85" zoomScaleNormal="85" workbookViewId="0">
      <selection activeCell="AB7" sqref="AB7:AB34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7" max="27" width="12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0.3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2.9784032561981284E-3</v>
      </c>
      <c r="O7" s="1">
        <f>10*LOG10((($B$12*$B$9*$F$11*$F$14*(0.613*(10*N7)^4*((10*N7)^1.5+0.5)^-4))/(4*PI()*$B$15^2*(1-$B$7*COS($B$14))))/$B$17^2)</f>
        <v>7.0283109617452038</v>
      </c>
      <c r="P7">
        <f>(M7*$H$10)*(1-$B$7*COS($B$14))/($B$7*$B$9)</f>
        <v>1.6676393076773215E-4</v>
      </c>
      <c r="Q7" s="1">
        <f>10*LOG10((($B$12*$B$9*$H$16*$H$15*(0.613*(10*P7)^4*((10*P7)^1.5+0.5)^-4))/(4*PI()*$B$15^2*(1-$B$7*COS($B$14))^4))/$B$17^2)</f>
        <v>-49.731649221242108</v>
      </c>
      <c r="R7">
        <f>(M7*$J$10)*(1-$B$7*COS($B$14))/($B$7*$B$9)</f>
        <v>7.2433883642600283E-5</v>
      </c>
      <c r="S7">
        <f>10*LOG10((($B$12*$B$9*$J$16*$J$15*(0.613*(10*R7)^4*((10*R7)^1.5+0.5)^-4))/(4*PI()*$B$15^2*(1-$B$7*COS($B$14))^4))/$B$17^2)</f>
        <v>-104.64024192355916</v>
      </c>
      <c r="T7">
        <f>(M7*$F$25)*(1-$B$7*COS($B$14))/($B$7*$B$9)</f>
        <v>0.14854426619132502</v>
      </c>
      <c r="U7" s="1">
        <f>10*LOG10((($B$12*$B$9*$F$32*$F$31*(0.1406*T7^-0.55))/(4*PI()*$B$15^2*(1-$B$7*COS($B$14))^2))/$B$17^2)</f>
        <v>63.144199130695561</v>
      </c>
      <c r="V7">
        <f>(M7*$F$25)*(1-$B$7*COS($B$14))/($B$7*$B$9)</f>
        <v>0.14854426619132502</v>
      </c>
      <c r="W7" s="1">
        <f>10*LOG10((($B$12*$B$9*$H$31*$H$30*(13.59*V7^2*(V7^2+12.5)^-2.25))/(4*PI()*$B$15^2*(1-$B$7*COS($B$14))^4))/$B$17^2)</f>
        <v>0.72963666961130635</v>
      </c>
      <c r="X7">
        <f>(M7*$J$27)*(1-$B$7*COS($B$14))/($B$7*$B$9)</f>
        <v>6.8627450980392163E-2</v>
      </c>
      <c r="Y7" s="1">
        <f>10*LOG10((($B$12*$B$9*$F$32*$F$31*(13.59*X7^2*(X7^2+12.5)^-2.25))/(4*PI()*$B$15^2*(1-$B$7*COS($B$14))^2))/$B$17^2)</f>
        <v>30.48754893157448</v>
      </c>
      <c r="Z7">
        <f>(M7*$F$42)*(1-$B$7*COS($B$14))/($B$7*$B$9)</f>
        <v>9.8039215686274508E-3</v>
      </c>
      <c r="AA7">
        <f>10*LOG10((($B$12*$B$9*$F$46*$F$45*(5.325*(30+Z7^8)^-1))/(4*PI()*$B$15^2*(1-$B$7*COS($B$14))^2))/$B$17^2)</f>
        <v>4.5595311392802831</v>
      </c>
      <c r="AB7" s="1">
        <f>10*LOG10(10^(O7/10)+10^(Q7/10)+10^(S7/10)+10^(U7/10)+10^(W7/10)+10^(Y7/10)+10^(AA7/10))</f>
        <v>63.146573306511755</v>
      </c>
      <c r="AC7">
        <f>20*LOG((12194^2*M7^4)/((M7^2+20.6^2)*SQRT((M7^2+107.7^2)*(M7^2+737.9^2))*(M7^2+12194^2)))+2</f>
        <v>-70.434939741819917</v>
      </c>
      <c r="AD7">
        <f>AB7+AC7</f>
        <v>-7.2883664353081627</v>
      </c>
    </row>
    <row r="8" spans="1:30" x14ac:dyDescent="0.3">
      <c r="A8" t="s">
        <v>73</v>
      </c>
      <c r="B8">
        <v>61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5.9568065123962568E-3</v>
      </c>
      <c r="O8" s="1">
        <f t="shared" ref="O8:O37" si="1">10*LOG10((($B$12*$B$9*$F$11*$F$14*(0.613*(10*N8)^4*((10*N8)^1.5+0.5)^-4))/(4*PI()*$B$15^2*(1-$B$7*COS($B$14))))/$B$17^2)</f>
        <v>18.749270353404018</v>
      </c>
      <c r="P8">
        <f t="shared" ref="P8:P37" si="2">(M8*$H$10)*(1-$B$7*COS($B$14))/($B$7*$B$9)</f>
        <v>3.335278615354643E-4</v>
      </c>
      <c r="Q8" s="1">
        <f t="shared" ref="Q8:Q33" si="3">10*LOG10((($B$12*$B$9*$H$16*$H$15*(0.613*(10*P8)^4*((10*P8)^1.5+0.5)^-4))/(4*PI()*$B$15^2*(1-$B$7*COS($B$14))^4))/$B$17^2)</f>
        <v>-37.69477445259065</v>
      </c>
      <c r="R8">
        <f t="shared" ref="R8:R37" si="4">(M8*$J$10)*(1-$B$7*COS($B$14))/($B$7*$B$9)</f>
        <v>1.4486776728520057E-4</v>
      </c>
      <c r="S8">
        <f t="shared" ref="S8:S37" si="5">10*LOG10((($B$12*$B$9*$J$16*$J$15*(0.613*(10*R8)^4*((10*R8)^1.5+0.5)^-4))/(4*PI()*$B$15^2*(1-$B$7*COS($B$14))^4))/$B$17^2)</f>
        <v>-92.600280415037375</v>
      </c>
      <c r="T8">
        <f t="shared" ref="T8:T37" si="6">(M8*$F$25)*(1-$B$7*COS($B$14))/($B$7*$B$9)</f>
        <v>0.29708853238265004</v>
      </c>
      <c r="U8" s="1">
        <f t="shared" ref="U8:U37" si="7">10*LOG10((($B$12*$B$9*$F$32*$F$31*(0.1406*T8^-0.55))/(4*PI()*$B$15^2*(1-$B$7*COS($B$14))^2))/$B$17^2)</f>
        <v>61.488534154543672</v>
      </c>
      <c r="V8">
        <f t="shared" ref="V8:V37" si="8">(M8*$F$25)*(1-$B$7*COS($B$14))/($B$7*$B$9)</f>
        <v>0.29708853238265004</v>
      </c>
      <c r="W8" s="1">
        <f t="shared" ref="W8:W37" si="9">10*LOG10((($B$12*$B$9*$H$31*$H$30*(13.59*V8^2*(V8^2+12.5)^-2.25))/(4*PI()*$B$15^2*(1-$B$7*COS($B$14))^4))/$B$17^2)</f>
        <v>6.6987162686860549</v>
      </c>
      <c r="X8">
        <f t="shared" ref="X8:X37" si="10">(M8*$J$27)*(1-$B$7*COS($B$14))/($B$7*$B$9)</f>
        <v>0.13725490196078433</v>
      </c>
      <c r="Y8" s="1">
        <f t="shared" ref="Y8:Y37" si="11">10*LOG10((($B$12*$B$9*$F$32*$F$31*(13.59*X8^2*(X8^2+12.5)^-2.25))/(4*PI()*$B$15^2*(1-$B$7*COS($B$14))^2))/$B$17^2)</f>
        <v>36.497114032189792</v>
      </c>
      <c r="Z8">
        <f t="shared" ref="Z8:Z37" si="12">(M8*$F$42)*(1-$B$7*COS($B$14))/($B$7*$B$9)</f>
        <v>1.9607843137254902E-2</v>
      </c>
      <c r="AA8">
        <f t="shared" ref="AA8:AA37" si="13">10*LOG10((($B$12*$B$9*$F$46*$F$45*(5.325*(30+Z8^8)^-1))/(4*PI()*$B$15^2*(1-$B$7*COS($B$14))^2))/$B$17^2)</f>
        <v>4.5595311392802786</v>
      </c>
      <c r="AB8" s="1">
        <f t="shared" ref="AB8:AB37" si="14">10*LOG10(10^(O8/10)+10^(Q8/10)+10^(S8/10)+10^(U8/10)+10^(W8/10)+10^(Y8/10)+10^(AA8/10))</f>
        <v>61.50252669927815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11.107869813838732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1.1230947583445808E-3</v>
      </c>
      <c r="G9" t="s">
        <v>89</v>
      </c>
      <c r="H9">
        <f>0.37*(H12/H11^2)*((B12*B7*B9*H12)/(B11*H11))^-0.2*(H11/B10)^2</f>
        <v>2.3142749575930173E-4</v>
      </c>
      <c r="I9" t="s">
        <v>89</v>
      </c>
      <c r="J9">
        <f>0.37*(J12/J11^2)*((B12*B7*B9*J12)/(B11*J11))^-0.2*(J11/B10)^2</f>
        <v>2.0989364010071671E-4</v>
      </c>
      <c r="M9">
        <v>30</v>
      </c>
      <c r="N9">
        <f t="shared" si="0"/>
        <v>8.9352097685943856E-3</v>
      </c>
      <c r="O9" s="1">
        <f t="shared" si="1"/>
        <v>25.386807922678784</v>
      </c>
      <c r="P9">
        <f t="shared" si="2"/>
        <v>5.002917923031964E-4</v>
      </c>
      <c r="Q9" s="1">
        <f t="shared" si="3"/>
        <v>-30.656723233014166</v>
      </c>
      <c r="R9">
        <f t="shared" si="4"/>
        <v>2.1730165092780085E-4</v>
      </c>
      <c r="S9">
        <f t="shared" si="5"/>
        <v>-85.558233484032314</v>
      </c>
      <c r="T9">
        <f t="shared" si="6"/>
        <v>0.44563279857397503</v>
      </c>
      <c r="U9" s="1">
        <f t="shared" si="7"/>
        <v>60.520032229737417</v>
      </c>
      <c r="V9">
        <f t="shared" si="8"/>
        <v>0.44563279857397503</v>
      </c>
      <c r="W9" s="1">
        <f t="shared" si="9"/>
        <v>10.13527334015312</v>
      </c>
      <c r="X9">
        <f t="shared" si="10"/>
        <v>0.20588235294117646</v>
      </c>
      <c r="Y9" s="1">
        <f t="shared" si="11"/>
        <v>40.000575505535927</v>
      </c>
      <c r="Z9">
        <f t="shared" si="12"/>
        <v>2.9411764705882353E-2</v>
      </c>
      <c r="AA9">
        <f t="shared" si="13"/>
        <v>4.5595311392802014</v>
      </c>
      <c r="AB9" s="1">
        <f t="shared" si="14"/>
        <v>60.559766056269879</v>
      </c>
      <c r="AC9">
        <f t="shared" si="15"/>
        <v>-40.606449491877584</v>
      </c>
      <c r="AD9">
        <f t="shared" si="16"/>
        <v>19.953316564392296</v>
      </c>
    </row>
    <row r="10" spans="1:30" x14ac:dyDescent="0.3">
      <c r="A10" t="s">
        <v>74</v>
      </c>
      <c r="B10">
        <v>27.05</v>
      </c>
      <c r="C10" t="s">
        <v>7</v>
      </c>
      <c r="E10" t="s">
        <v>83</v>
      </c>
      <c r="F10">
        <f>F9*B10</f>
        <v>3.0379713213220909E-2</v>
      </c>
      <c r="G10" t="s">
        <v>83</v>
      </c>
      <c r="H10">
        <f>H9*H11</f>
        <v>1.7009920938308677E-3</v>
      </c>
      <c r="I10" t="s">
        <v>83</v>
      </c>
      <c r="J10">
        <f>J9*J11</f>
        <v>7.3882561315452284E-4</v>
      </c>
      <c r="M10">
        <v>40</v>
      </c>
      <c r="N10">
        <f t="shared" si="0"/>
        <v>1.1913613024792514E-2</v>
      </c>
      <c r="O10" s="1">
        <f t="shared" si="1"/>
        <v>29.915405645573962</v>
      </c>
      <c r="P10">
        <f t="shared" si="2"/>
        <v>6.670557230709286E-4</v>
      </c>
      <c r="Q10" s="1">
        <f t="shared" si="3"/>
        <v>-25.66580191026716</v>
      </c>
      <c r="R10">
        <f t="shared" si="4"/>
        <v>2.8973553457040113E-4</v>
      </c>
      <c r="S10">
        <f t="shared" si="5"/>
        <v>-80.562582602959594</v>
      </c>
      <c r="T10">
        <f t="shared" si="6"/>
        <v>0.59417706476530008</v>
      </c>
      <c r="U10" s="1">
        <f t="shared" si="7"/>
        <v>59.832869178391768</v>
      </c>
      <c r="V10">
        <f t="shared" si="8"/>
        <v>0.59417706476530008</v>
      </c>
      <c r="W10" s="1">
        <f t="shared" si="9"/>
        <v>12.515909084445301</v>
      </c>
      <c r="X10">
        <f t="shared" si="10"/>
        <v>0.27450980392156865</v>
      </c>
      <c r="Y10" s="1">
        <f t="shared" si="11"/>
        <v>42.473698887170563</v>
      </c>
      <c r="Z10">
        <f t="shared" si="12"/>
        <v>3.9215686274509803E-2</v>
      </c>
      <c r="AA10">
        <f t="shared" si="13"/>
        <v>4.5595311392794731</v>
      </c>
      <c r="AB10" s="1">
        <f t="shared" si="14"/>
        <v>59.916356366957913</v>
      </c>
      <c r="AC10">
        <f t="shared" si="15"/>
        <v>-34.539248027007993</v>
      </c>
      <c r="AD10">
        <f t="shared" si="16"/>
        <v>25.37710833994992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4.2919458953256688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1.4892016280990641E-2</v>
      </c>
      <c r="O11" s="1">
        <f t="shared" si="1"/>
        <v>33.274771555183079</v>
      </c>
      <c r="P11">
        <f t="shared" si="2"/>
        <v>8.3381965383866059E-4</v>
      </c>
      <c r="Q11" s="1">
        <f t="shared" si="3"/>
        <v>-21.796916478820986</v>
      </c>
      <c r="R11">
        <f t="shared" si="4"/>
        <v>3.6216941821300142E-4</v>
      </c>
      <c r="S11">
        <f t="shared" si="5"/>
        <v>-76.688335350874993</v>
      </c>
      <c r="T11">
        <f t="shared" si="6"/>
        <v>0.74272133095662496</v>
      </c>
      <c r="U11" s="1">
        <f t="shared" si="7"/>
        <v>59.299864106847465</v>
      </c>
      <c r="V11">
        <f t="shared" si="8"/>
        <v>0.74272133095662496</v>
      </c>
      <c r="W11" s="1">
        <f t="shared" si="9"/>
        <v>14.30428534958091</v>
      </c>
      <c r="X11">
        <f t="shared" si="10"/>
        <v>0.34313725490196079</v>
      </c>
      <c r="Y11" s="1">
        <f t="shared" si="11"/>
        <v>44.379017475485455</v>
      </c>
      <c r="Z11">
        <f t="shared" si="12"/>
        <v>4.9019607843137254E-2</v>
      </c>
      <c r="AA11">
        <f t="shared" si="13"/>
        <v>4.5595311392754576</v>
      </c>
      <c r="AB11" s="1">
        <f t="shared" si="14"/>
        <v>59.448163241414832</v>
      </c>
      <c r="AC11">
        <f t="shared" si="15"/>
        <v>-30.274979580572094</v>
      </c>
      <c r="AD11">
        <f t="shared" si="16"/>
        <v>29.173183660842739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0.23827226049585026</v>
      </c>
      <c r="G12" t="s">
        <v>98</v>
      </c>
      <c r="H12">
        <v>11.73</v>
      </c>
      <c r="I12" t="s">
        <v>101</v>
      </c>
      <c r="J12">
        <v>12.48</v>
      </c>
      <c r="M12">
        <v>60</v>
      </c>
      <c r="N12">
        <f t="shared" si="0"/>
        <v>1.7870419537188771E-2</v>
      </c>
      <c r="O12" s="1">
        <f t="shared" si="1"/>
        <v>35.887683811229593</v>
      </c>
      <c r="P12">
        <f t="shared" si="2"/>
        <v>1.0005835846063928E-3</v>
      </c>
      <c r="Q12" s="1">
        <f t="shared" si="3"/>
        <v>-18.637972516243458</v>
      </c>
      <c r="R12">
        <f t="shared" si="4"/>
        <v>4.346033018556017E-4</v>
      </c>
      <c r="S12">
        <f t="shared" si="5"/>
        <v>-73.523466132487144</v>
      </c>
      <c r="T12">
        <f t="shared" si="6"/>
        <v>0.89126559714795006</v>
      </c>
      <c r="U12" s="1">
        <f t="shared" si="7"/>
        <v>58.864367253585513</v>
      </c>
      <c r="V12">
        <f t="shared" si="8"/>
        <v>0.89126559714795006</v>
      </c>
      <c r="W12" s="1">
        <f t="shared" si="9"/>
        <v>15.707857805619408</v>
      </c>
      <c r="X12">
        <f t="shared" si="10"/>
        <v>0.41176470588235292</v>
      </c>
      <c r="Y12" s="1">
        <f t="shared" si="11"/>
        <v>45.922603370114039</v>
      </c>
      <c r="Z12">
        <f t="shared" si="12"/>
        <v>5.8823529411764705E-2</v>
      </c>
      <c r="AA12">
        <f t="shared" si="13"/>
        <v>4.5595311392595308</v>
      </c>
      <c r="AB12" s="1">
        <f t="shared" si="14"/>
        <v>59.100538539984903</v>
      </c>
      <c r="AC12">
        <f t="shared" si="15"/>
        <v>-27.048849321682884</v>
      </c>
      <c r="AD12">
        <f t="shared" si="16"/>
        <v>32.051689218302016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6.484641102811467E-2</v>
      </c>
      <c r="G13" t="s">
        <v>102</v>
      </c>
      <c r="H13">
        <f>(B13*H10)*(1-B7*COS(B14))/(B7*B9)</f>
        <v>1.3341114461418569E-2</v>
      </c>
      <c r="I13" t="s">
        <v>105</v>
      </c>
      <c r="J13">
        <f>(B13*J10)*(1-B7*COS(B14))/(B7*B9)</f>
        <v>5.7947106914080226E-3</v>
      </c>
      <c r="M13">
        <v>70</v>
      </c>
      <c r="N13">
        <f t="shared" si="0"/>
        <v>2.0848822793386901E-2</v>
      </c>
      <c r="O13" s="1">
        <f t="shared" si="1"/>
        <v>37.982284665090674</v>
      </c>
      <c r="P13">
        <f t="shared" si="2"/>
        <v>1.1673475153741249E-3</v>
      </c>
      <c r="Q13" s="1">
        <f t="shared" si="3"/>
        <v>-15.969126755950853</v>
      </c>
      <c r="R13">
        <f t="shared" si="4"/>
        <v>5.0703718549820198E-4</v>
      </c>
      <c r="S13">
        <f t="shared" si="5"/>
        <v>-70.848182441648248</v>
      </c>
      <c r="T13">
        <f t="shared" si="6"/>
        <v>1.0398098633392752</v>
      </c>
      <c r="U13" s="1">
        <f t="shared" si="7"/>
        <v>58.496159910617145</v>
      </c>
      <c r="V13">
        <f t="shared" si="8"/>
        <v>1.0398098633392752</v>
      </c>
      <c r="W13" s="1">
        <f t="shared" si="9"/>
        <v>16.838195209157384</v>
      </c>
      <c r="X13">
        <f t="shared" si="10"/>
        <v>0.48039215686274511</v>
      </c>
      <c r="Y13" s="1">
        <f t="shared" si="11"/>
        <v>47.214430860700674</v>
      </c>
      <c r="Z13">
        <f t="shared" si="12"/>
        <v>6.8627450980392163E-2</v>
      </c>
      <c r="AA13">
        <f t="shared" si="13"/>
        <v>4.5595311392090547</v>
      </c>
      <c r="AB13" s="1">
        <f t="shared" si="14"/>
        <v>58.844048122530303</v>
      </c>
      <c r="AC13">
        <f t="shared" si="15"/>
        <v>-24.49130199968733</v>
      </c>
      <c r="AD13">
        <f t="shared" si="16"/>
        <v>34.352746122842973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2.1418893273059299E-3</v>
      </c>
      <c r="I14" t="s">
        <v>106</v>
      </c>
      <c r="J14">
        <f>0.613*(10*J13)^4*((10*J13)^1.5+0.5)^-4</f>
        <v>9.9061958535236514E-5</v>
      </c>
      <c r="M14">
        <v>80</v>
      </c>
      <c r="N14">
        <f t="shared" si="0"/>
        <v>2.3827226049585027E-2</v>
      </c>
      <c r="O14" s="1">
        <f t="shared" si="1"/>
        <v>39.696468739383008</v>
      </c>
      <c r="P14">
        <f t="shared" si="2"/>
        <v>1.3341114461418572E-3</v>
      </c>
      <c r="Q14" s="1">
        <f t="shared" si="3"/>
        <v>-13.659139542487184</v>
      </c>
      <c r="R14">
        <f t="shared" si="4"/>
        <v>5.7947106914080226E-4</v>
      </c>
      <c r="S14">
        <f t="shared" si="5"/>
        <v>-68.531284148540678</v>
      </c>
      <c r="T14">
        <f t="shared" si="6"/>
        <v>1.1883541295306002</v>
      </c>
      <c r="U14" s="1">
        <f t="shared" si="7"/>
        <v>58.177204202239864</v>
      </c>
      <c r="V14">
        <f t="shared" si="8"/>
        <v>1.1883541295306002</v>
      </c>
      <c r="W14" s="1">
        <f t="shared" si="9"/>
        <v>17.762750060832374</v>
      </c>
      <c r="X14">
        <f t="shared" si="10"/>
        <v>0.5490196078431373</v>
      </c>
      <c r="Y14" s="1">
        <f t="shared" si="11"/>
        <v>48.320194778151247</v>
      </c>
      <c r="Z14">
        <f t="shared" si="12"/>
        <v>7.8431372549019607E-2</v>
      </c>
      <c r="AA14">
        <f t="shared" si="13"/>
        <v>4.5595311390729911</v>
      </c>
      <c r="AB14" s="1">
        <f t="shared" si="14"/>
        <v>58.66018768267547</v>
      </c>
      <c r="AC14">
        <f t="shared" si="15"/>
        <v>-22.397666626519193</v>
      </c>
      <c r="AD14">
        <f t="shared" si="16"/>
        <v>36.262521056156274</v>
      </c>
    </row>
    <row r="15" spans="1:30" x14ac:dyDescent="0.3">
      <c r="A15" t="s">
        <v>12</v>
      </c>
      <c r="B15">
        <v>1022</v>
      </c>
      <c r="C15" t="s">
        <v>7</v>
      </c>
      <c r="E15" t="s">
        <v>91</v>
      </c>
      <c r="F15">
        <f>(B12*B9*F11*F14*F13)/(4*PI()*B15^2*(1-B7*COS(B14)))</f>
        <v>1.766160220780739E-5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2.6805629305783157E-2</v>
      </c>
      <c r="O15" s="1">
        <f t="shared" si="1"/>
        <v>41.120328872060206</v>
      </c>
      <c r="P15">
        <f t="shared" si="2"/>
        <v>1.5008753769095891E-3</v>
      </c>
      <c r="Q15" s="1">
        <f t="shared" si="3"/>
        <v>-11.623349632057526</v>
      </c>
      <c r="R15">
        <f t="shared" si="4"/>
        <v>6.5190495278340255E-4</v>
      </c>
      <c r="S15">
        <f t="shared" si="5"/>
        <v>-66.488141978753134</v>
      </c>
      <c r="T15">
        <f t="shared" si="6"/>
        <v>1.3368983957219251</v>
      </c>
      <c r="U15" s="1">
        <f t="shared" si="7"/>
        <v>57.895865328779273</v>
      </c>
      <c r="V15">
        <f t="shared" si="8"/>
        <v>1.3368983957219251</v>
      </c>
      <c r="W15" s="1">
        <f t="shared" si="9"/>
        <v>18.525819273096076</v>
      </c>
      <c r="X15">
        <f t="shared" si="10"/>
        <v>0.61764705882352933</v>
      </c>
      <c r="Y15" s="1">
        <f t="shared" si="11"/>
        <v>49.282319790104133</v>
      </c>
      <c r="Z15">
        <f t="shared" si="12"/>
        <v>8.8235294117647065E-2</v>
      </c>
      <c r="AA15">
        <f t="shared" si="13"/>
        <v>4.559531138748417</v>
      </c>
      <c r="AB15" s="1">
        <f t="shared" si="14"/>
        <v>58.535724949410373</v>
      </c>
      <c r="AC15">
        <f t="shared" si="15"/>
        <v>-20.642894369008943</v>
      </c>
      <c r="AD15">
        <f t="shared" si="16"/>
        <v>37.89283058040143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46.449701075991392</v>
      </c>
      <c r="G16" t="s">
        <v>90</v>
      </c>
      <c r="H16">
        <f>H7*B7^H8*H9*(B12*B9^3*B10^2)</f>
        <v>0.88440826841156328</v>
      </c>
      <c r="I16" t="s">
        <v>90</v>
      </c>
      <c r="J16">
        <f>J7*B7^J8*J9*(B12*B9^3*B10^2)</f>
        <v>0.80211588594098004</v>
      </c>
      <c r="M16">
        <v>100</v>
      </c>
      <c r="N16">
        <f t="shared" si="0"/>
        <v>2.9784032561981283E-2</v>
      </c>
      <c r="O16" s="1">
        <f t="shared" si="1"/>
        <v>42.316155042755767</v>
      </c>
      <c r="P16">
        <f t="shared" si="2"/>
        <v>1.6676393076773212E-3</v>
      </c>
      <c r="Q16" s="1">
        <f t="shared" si="3"/>
        <v>-9.8039443273327223</v>
      </c>
      <c r="R16">
        <f t="shared" si="4"/>
        <v>7.2433883642600283E-4</v>
      </c>
      <c r="S16">
        <f t="shared" si="5"/>
        <v>-64.660969831163243</v>
      </c>
      <c r="T16">
        <f t="shared" si="6"/>
        <v>1.4854426619132499</v>
      </c>
      <c r="U16" s="1">
        <f t="shared" si="7"/>
        <v>57.644199130695561</v>
      </c>
      <c r="V16">
        <f t="shared" si="8"/>
        <v>1.4854426619132499</v>
      </c>
      <c r="W16" s="1">
        <f t="shared" si="9"/>
        <v>19.158359565421158</v>
      </c>
      <c r="X16">
        <f t="shared" si="10"/>
        <v>0.68627450980392157</v>
      </c>
      <c r="Y16" s="1">
        <f t="shared" si="11"/>
        <v>50.129822995262657</v>
      </c>
      <c r="Z16">
        <f t="shared" si="12"/>
        <v>9.8039215686274508E-2</v>
      </c>
      <c r="AA16">
        <f t="shared" si="13"/>
        <v>4.5595311380447292</v>
      </c>
      <c r="AB16" s="1">
        <f t="shared" si="14"/>
        <v>58.460225399789067</v>
      </c>
      <c r="AC16">
        <f t="shared" si="15"/>
        <v>-19.144954291317543</v>
      </c>
      <c r="AD16">
        <f t="shared" si="16"/>
        <v>39.315271108471521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1.2020976181034477E-7</v>
      </c>
      <c r="I17" t="s">
        <v>91</v>
      </c>
      <c r="J17">
        <f>(B12*B9*J16*J15*J14)/(4*PI()*B15^2*(1-B7*COS(B14))^4)</f>
        <v>5.042697272305966E-13</v>
      </c>
      <c r="M17">
        <v>200</v>
      </c>
      <c r="N17">
        <f t="shared" si="0"/>
        <v>5.9568065123962566E-2</v>
      </c>
      <c r="O17" s="1">
        <f t="shared" si="1"/>
        <v>47.919689981167949</v>
      </c>
      <c r="P17">
        <f t="shared" si="2"/>
        <v>3.3352786153546424E-3</v>
      </c>
      <c r="Q17" s="1">
        <f t="shared" si="3"/>
        <v>2.1015675091472761</v>
      </c>
      <c r="R17">
        <f t="shared" si="4"/>
        <v>1.4486776728520057E-3</v>
      </c>
      <c r="S17">
        <f t="shared" si="5"/>
        <v>-52.658839789168603</v>
      </c>
      <c r="T17">
        <f t="shared" si="6"/>
        <v>2.9708853238264998</v>
      </c>
      <c r="U17" s="1">
        <f t="shared" si="7"/>
        <v>55.988534154543657</v>
      </c>
      <c r="V17">
        <f t="shared" si="8"/>
        <v>2.9708853238264998</v>
      </c>
      <c r="W17" s="1">
        <f t="shared" si="9"/>
        <v>21.547411113120923</v>
      </c>
      <c r="X17">
        <f t="shared" si="10"/>
        <v>1.3725490196078431</v>
      </c>
      <c r="Y17" s="1">
        <f t="shared" si="11"/>
        <v>55.140086682159605</v>
      </c>
      <c r="Z17">
        <f t="shared" si="12"/>
        <v>0.19607843137254902</v>
      </c>
      <c r="AA17">
        <f t="shared" si="13"/>
        <v>4.5595308229785054</v>
      </c>
      <c r="AB17" s="1">
        <f t="shared" si="14"/>
        <v>58.952782164463422</v>
      </c>
      <c r="AC17">
        <f t="shared" si="15"/>
        <v>-10.847055415577483</v>
      </c>
      <c r="AD17">
        <f t="shared" si="16"/>
        <v>48.105726748885942</v>
      </c>
    </row>
    <row r="18" spans="1:30" x14ac:dyDescent="0.3">
      <c r="A18" t="s">
        <v>154</v>
      </c>
      <c r="B18">
        <f>122+6000*B19/100</f>
        <v>1022</v>
      </c>
      <c r="G18" t="s">
        <v>85</v>
      </c>
      <c r="H18">
        <f>10*LOG10(H17/B17^2)</f>
        <v>24.778797452923694</v>
      </c>
      <c r="I18" t="s">
        <v>85</v>
      </c>
      <c r="J18">
        <f>10*LOG10(J17/B17^2)</f>
        <v>-28.993970943394238</v>
      </c>
      <c r="M18">
        <v>300</v>
      </c>
      <c r="N18">
        <f t="shared" si="0"/>
        <v>8.9352097685943849E-2</v>
      </c>
      <c r="O18" s="1">
        <f t="shared" si="1"/>
        <v>49.105760145013676</v>
      </c>
      <c r="P18">
        <f t="shared" si="2"/>
        <v>5.0029179230319633E-3</v>
      </c>
      <c r="Q18" s="1">
        <f t="shared" si="3"/>
        <v>8.9710687092142205</v>
      </c>
      <c r="R18">
        <f t="shared" si="4"/>
        <v>2.1730165092780085E-3</v>
      </c>
      <c r="S18">
        <f t="shared" si="5"/>
        <v>-45.665652704122131</v>
      </c>
      <c r="T18">
        <f t="shared" si="6"/>
        <v>4.4563279857397502</v>
      </c>
      <c r="U18" s="1">
        <f t="shared" si="7"/>
        <v>55.020032229737417</v>
      </c>
      <c r="V18">
        <f t="shared" si="8"/>
        <v>4.4563279857397502</v>
      </c>
      <c r="W18" s="1">
        <f t="shared" si="9"/>
        <v>20.994924009197263</v>
      </c>
      <c r="X18">
        <f t="shared" si="10"/>
        <v>2.0588235294117645</v>
      </c>
      <c r="Y18" s="1">
        <f t="shared" si="11"/>
        <v>57.180359816867217</v>
      </c>
      <c r="Z18">
        <f t="shared" si="12"/>
        <v>0.29411764705882354</v>
      </c>
      <c r="AA18">
        <f t="shared" si="13"/>
        <v>4.5595230328189595</v>
      </c>
      <c r="AB18" s="1">
        <f t="shared" si="14"/>
        <v>59.645691659227367</v>
      </c>
      <c r="AC18">
        <f t="shared" si="15"/>
        <v>-7.0544626466411682</v>
      </c>
      <c r="AD18">
        <f t="shared" si="16"/>
        <v>52.591229012586197</v>
      </c>
    </row>
    <row r="19" spans="1:30" x14ac:dyDescent="0.3">
      <c r="A19" t="s">
        <v>158</v>
      </c>
      <c r="B19">
        <v>15</v>
      </c>
      <c r="M19">
        <v>400</v>
      </c>
      <c r="N19">
        <f t="shared" si="0"/>
        <v>0.11913613024792513</v>
      </c>
      <c r="O19" s="1">
        <f t="shared" si="1"/>
        <v>49.032764579021226</v>
      </c>
      <c r="P19">
        <f t="shared" si="2"/>
        <v>6.6705572307092847E-3</v>
      </c>
      <c r="Q19" s="1">
        <f t="shared" si="3"/>
        <v>13.764624352999011</v>
      </c>
      <c r="R19">
        <f t="shared" si="4"/>
        <v>2.8973553457040113E-3</v>
      </c>
      <c r="S19">
        <f t="shared" si="5"/>
        <v>-40.727672618307267</v>
      </c>
      <c r="T19">
        <f t="shared" si="6"/>
        <v>5.9417706476529997</v>
      </c>
      <c r="U19" s="1">
        <f t="shared" si="7"/>
        <v>54.332869178391768</v>
      </c>
      <c r="V19">
        <f t="shared" si="8"/>
        <v>5.9417706476529997</v>
      </c>
      <c r="W19" s="1">
        <f t="shared" si="9"/>
        <v>19.680469918763563</v>
      </c>
      <c r="X19">
        <f t="shared" si="10"/>
        <v>2.7450980392156863</v>
      </c>
      <c r="Y19" s="1">
        <f t="shared" si="11"/>
        <v>57.922370084001841</v>
      </c>
      <c r="Z19">
        <f t="shared" si="12"/>
        <v>0.39215686274509803</v>
      </c>
      <c r="AA19">
        <f t="shared" si="13"/>
        <v>4.5594501667772445</v>
      </c>
      <c r="AB19" s="1">
        <f t="shared" si="14"/>
        <v>59.872779976365919</v>
      </c>
      <c r="AC19">
        <f t="shared" si="15"/>
        <v>-4.7738910332852953</v>
      </c>
      <c r="AD19">
        <f t="shared" si="16"/>
        <v>55.098888943080624</v>
      </c>
    </row>
    <row r="20" spans="1:30" x14ac:dyDescent="0.3">
      <c r="M20">
        <v>500</v>
      </c>
      <c r="N20">
        <f t="shared" si="0"/>
        <v>0.14892016280990641</v>
      </c>
      <c r="O20" s="1">
        <f t="shared" si="1"/>
        <v>48.524182228012542</v>
      </c>
      <c r="P20">
        <f t="shared" si="2"/>
        <v>8.3381965383866052E-3</v>
      </c>
      <c r="Q20" s="1">
        <f t="shared" si="3"/>
        <v>17.41250232603829</v>
      </c>
      <c r="R20">
        <f t="shared" si="4"/>
        <v>3.6216941821300142E-3</v>
      </c>
      <c r="S20">
        <f t="shared" si="5"/>
        <v>-36.91859394230363</v>
      </c>
      <c r="T20">
        <f t="shared" si="6"/>
        <v>7.4272133095662509</v>
      </c>
      <c r="U20" s="1">
        <f t="shared" si="7"/>
        <v>53.799864106847451</v>
      </c>
      <c r="V20">
        <f t="shared" si="8"/>
        <v>7.4272133095662509</v>
      </c>
      <c r="W20" s="1">
        <f t="shared" si="9"/>
        <v>18.223771064465584</v>
      </c>
      <c r="X20">
        <f t="shared" si="10"/>
        <v>3.4313725490196076</v>
      </c>
      <c r="Y20" s="1">
        <f t="shared" si="11"/>
        <v>57.985297192976795</v>
      </c>
      <c r="Z20">
        <f t="shared" si="12"/>
        <v>0.49019607843137253</v>
      </c>
      <c r="AA20">
        <f t="shared" si="13"/>
        <v>4.5590485278691659</v>
      </c>
      <c r="AB20" s="1">
        <f t="shared" si="14"/>
        <v>59.731347584762659</v>
      </c>
      <c r="AC20">
        <f t="shared" si="15"/>
        <v>-3.2478075093781307</v>
      </c>
      <c r="AD20">
        <f t="shared" si="16"/>
        <v>56.483540075384525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0.1787041953718877</v>
      </c>
      <c r="O21" s="1">
        <f t="shared" si="1"/>
        <v>47.861398613443235</v>
      </c>
      <c r="P21">
        <f t="shared" si="2"/>
        <v>1.0005835846063927E-2</v>
      </c>
      <c r="Q21" s="1">
        <f t="shared" si="3"/>
        <v>20.330519035425162</v>
      </c>
      <c r="R21">
        <f t="shared" si="4"/>
        <v>4.346033018556017E-3</v>
      </c>
      <c r="S21">
        <f t="shared" si="5"/>
        <v>-33.825481434733284</v>
      </c>
      <c r="T21">
        <f t="shared" si="6"/>
        <v>8.9126559714795004</v>
      </c>
      <c r="U21" s="1">
        <f t="shared" si="7"/>
        <v>53.36436725358552</v>
      </c>
      <c r="V21">
        <f t="shared" si="8"/>
        <v>8.9126559714795004</v>
      </c>
      <c r="W21" s="1">
        <f t="shared" si="9"/>
        <v>16.812004748972715</v>
      </c>
      <c r="X21">
        <f t="shared" si="10"/>
        <v>4.117647058823529</v>
      </c>
      <c r="Y21" s="1">
        <f t="shared" si="11"/>
        <v>57.678646425034678</v>
      </c>
      <c r="Z21">
        <f t="shared" si="12"/>
        <v>0.58823529411764708</v>
      </c>
      <c r="AA21">
        <f t="shared" si="13"/>
        <v>4.5574563789128391</v>
      </c>
      <c r="AB21" s="1">
        <f t="shared" si="14"/>
        <v>59.366226311281096</v>
      </c>
      <c r="AC21">
        <f t="shared" si="15"/>
        <v>-2.1700037836745878</v>
      </c>
      <c r="AD21">
        <f t="shared" si="16"/>
        <v>57.196222527606508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0.20848822793386901</v>
      </c>
      <c r="O22" s="1">
        <f t="shared" si="1"/>
        <v>47.154508774782009</v>
      </c>
      <c r="P22">
        <f t="shared" si="2"/>
        <v>1.167347515374125E-2</v>
      </c>
      <c r="Q22" s="1">
        <f t="shared" si="3"/>
        <v>22.74141564173388</v>
      </c>
      <c r="R22">
        <f t="shared" si="4"/>
        <v>5.0703718549820189E-3</v>
      </c>
      <c r="S22">
        <f t="shared" si="5"/>
        <v>-31.22785615558746</v>
      </c>
      <c r="T22">
        <f t="shared" si="6"/>
        <v>10.398098633392751</v>
      </c>
      <c r="U22" s="1">
        <f t="shared" si="7"/>
        <v>52.996159910617145</v>
      </c>
      <c r="V22">
        <f t="shared" si="8"/>
        <v>10.398098633392751</v>
      </c>
      <c r="W22" s="1">
        <f t="shared" si="9"/>
        <v>15.497335073283423</v>
      </c>
      <c r="X22">
        <f t="shared" si="10"/>
        <v>4.8039215686274508</v>
      </c>
      <c r="Y22" s="1">
        <f t="shared" si="11"/>
        <v>57.172174336969874</v>
      </c>
      <c r="Z22">
        <f t="shared" si="12"/>
        <v>0.68627450980392157</v>
      </c>
      <c r="AA22">
        <f t="shared" si="13"/>
        <v>4.5524142516354225</v>
      </c>
      <c r="AB22" s="1">
        <f t="shared" si="14"/>
        <v>58.881602800473367</v>
      </c>
      <c r="AC22">
        <f t="shared" si="15"/>
        <v>-1.3830326182040067</v>
      </c>
      <c r="AD22">
        <f t="shared" si="16"/>
        <v>57.498570182269361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0.23827226049585026</v>
      </c>
      <c r="O23" s="1">
        <f t="shared" si="1"/>
        <v>46.449701075991392</v>
      </c>
      <c r="P23">
        <f t="shared" si="2"/>
        <v>1.3341114461418569E-2</v>
      </c>
      <c r="Q23" s="1">
        <f t="shared" si="3"/>
        <v>24.778797452923694</v>
      </c>
      <c r="R23">
        <f t="shared" si="4"/>
        <v>5.7947106914080226E-3</v>
      </c>
      <c r="S23">
        <f t="shared" si="5"/>
        <v>-28.993970943394238</v>
      </c>
      <c r="T23">
        <f t="shared" si="6"/>
        <v>11.883541295305999</v>
      </c>
      <c r="U23" s="1">
        <f t="shared" si="7"/>
        <v>52.677204202239871</v>
      </c>
      <c r="V23">
        <f t="shared" si="8"/>
        <v>11.883541295305999</v>
      </c>
      <c r="W23" s="1">
        <f t="shared" si="9"/>
        <v>14.287804163444275</v>
      </c>
      <c r="X23">
        <f t="shared" si="10"/>
        <v>5.4901960784313726</v>
      </c>
      <c r="Y23" s="1">
        <f t="shared" si="11"/>
        <v>56.562101803446971</v>
      </c>
      <c r="Z23">
        <f t="shared" si="12"/>
        <v>0.78431372549019607</v>
      </c>
      <c r="AA23">
        <f t="shared" si="13"/>
        <v>4.5388512991934986</v>
      </c>
      <c r="AB23" s="1">
        <f t="shared" si="14"/>
        <v>58.343157161458336</v>
      </c>
      <c r="AC23">
        <f t="shared" si="15"/>
        <v>-0.79460657411842606</v>
      </c>
      <c r="AD23">
        <f t="shared" si="16"/>
        <v>57.548550587339911</v>
      </c>
    </row>
    <row r="24" spans="1:30" x14ac:dyDescent="0.3">
      <c r="E24" t="s">
        <v>89</v>
      </c>
      <c r="F24">
        <f>(F27/B10^2)*SIN(F26)^2</f>
        <v>4.4979560575214815E-3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0.26805629305783152</v>
      </c>
      <c r="O24" s="1">
        <f t="shared" si="1"/>
        <v>45.766639273383447</v>
      </c>
      <c r="P24">
        <f t="shared" si="2"/>
        <v>1.5008753769095891E-2</v>
      </c>
      <c r="Q24" s="1">
        <f t="shared" si="3"/>
        <v>26.529316634088651</v>
      </c>
      <c r="R24">
        <f t="shared" si="4"/>
        <v>6.5190495278340246E-3</v>
      </c>
      <c r="S24">
        <f t="shared" si="5"/>
        <v>-27.038743796578323</v>
      </c>
      <c r="T24">
        <f t="shared" si="6"/>
        <v>13.36898395721925</v>
      </c>
      <c r="U24" s="1">
        <f t="shared" si="7"/>
        <v>52.39586532877928</v>
      </c>
      <c r="V24">
        <f t="shared" si="8"/>
        <v>13.36898395721925</v>
      </c>
      <c r="W24" s="1">
        <f t="shared" si="9"/>
        <v>13.17719925917295</v>
      </c>
      <c r="X24">
        <f t="shared" si="10"/>
        <v>6.1764705882352944</v>
      </c>
      <c r="Y24" s="1">
        <f t="shared" si="11"/>
        <v>55.903751485057796</v>
      </c>
      <c r="Z24">
        <f t="shared" si="12"/>
        <v>0.88235294117647056</v>
      </c>
      <c r="AA24">
        <f t="shared" si="13"/>
        <v>4.5066676407010533</v>
      </c>
      <c r="AB24" s="1">
        <f t="shared" si="14"/>
        <v>57.79017091623836</v>
      </c>
      <c r="AC24">
        <f t="shared" si="15"/>
        <v>-0.34641558835306263</v>
      </c>
      <c r="AD24">
        <f t="shared" si="16"/>
        <v>57.443755327885299</v>
      </c>
    </row>
    <row r="25" spans="1:30" x14ac:dyDescent="0.3">
      <c r="E25" t="s">
        <v>83</v>
      </c>
      <c r="F25">
        <f>F27/F28</f>
        <v>1.5151515151515151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0.29784032561981283</v>
      </c>
      <c r="O25" s="1">
        <f t="shared" si="1"/>
        <v>45.113180020638488</v>
      </c>
      <c r="P25">
        <f t="shared" si="2"/>
        <v>1.667639307677321E-2</v>
      </c>
      <c r="Q25" s="1">
        <f t="shared" si="3"/>
        <v>28.052496169693491</v>
      </c>
      <c r="R25">
        <f t="shared" si="4"/>
        <v>7.2433883642600283E-3</v>
      </c>
      <c r="S25">
        <f t="shared" si="5"/>
        <v>-25.304003446539763</v>
      </c>
      <c r="T25">
        <f t="shared" si="6"/>
        <v>14.854426619132502</v>
      </c>
      <c r="U25" s="1">
        <f t="shared" si="7"/>
        <v>52.144199130695561</v>
      </c>
      <c r="V25">
        <f t="shared" si="8"/>
        <v>14.854426619132502</v>
      </c>
      <c r="W25" s="1">
        <f t="shared" si="9"/>
        <v>12.155381763913693</v>
      </c>
      <c r="X25">
        <f t="shared" si="10"/>
        <v>6.8627450980392153</v>
      </c>
      <c r="Y25" s="1">
        <f t="shared" si="11"/>
        <v>55.229111979065699</v>
      </c>
      <c r="Z25">
        <f t="shared" si="12"/>
        <v>0.98039215686274506</v>
      </c>
      <c r="AA25">
        <f t="shared" si="13"/>
        <v>4.4377006694933776</v>
      </c>
      <c r="AB25" s="1">
        <f t="shared" si="14"/>
        <v>57.245329204324868</v>
      </c>
      <c r="AC25">
        <f t="shared" si="15"/>
        <v>1.415276948792954E-4</v>
      </c>
      <c r="AD25">
        <f t="shared" si="16"/>
        <v>57.245470732019747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2.976619596079008E-4</v>
      </c>
      <c r="I26" t="s">
        <v>89</v>
      </c>
      <c r="J26">
        <f>J25*(J24/B10)^2</f>
        <v>1.9680129560852942E-3</v>
      </c>
      <c r="M26">
        <v>2000</v>
      </c>
      <c r="N26">
        <f t="shared" si="0"/>
        <v>0.59568065123962566</v>
      </c>
      <c r="O26" s="1">
        <f t="shared" si="1"/>
        <v>40.117780576670945</v>
      </c>
      <c r="P26">
        <f t="shared" si="2"/>
        <v>3.3352786153546421E-2</v>
      </c>
      <c r="Q26" s="1">
        <f t="shared" si="3"/>
        <v>36.650951164764336</v>
      </c>
      <c r="R26">
        <f t="shared" si="4"/>
        <v>1.4486776728520057E-2</v>
      </c>
      <c r="S26">
        <f t="shared" si="5"/>
        <v>-14.415629269871967</v>
      </c>
      <c r="T26">
        <f t="shared" si="6"/>
        <v>29.708853238265004</v>
      </c>
      <c r="U26" s="1">
        <f t="shared" si="7"/>
        <v>50.488534154543665</v>
      </c>
      <c r="V26">
        <f t="shared" si="8"/>
        <v>29.708853238265004</v>
      </c>
      <c r="W26" s="1">
        <f t="shared" si="9"/>
        <v>5.0306615809910484</v>
      </c>
      <c r="X26">
        <f t="shared" si="10"/>
        <v>13.725490196078431</v>
      </c>
      <c r="Y26" s="1">
        <f t="shared" si="11"/>
        <v>49.375787702968694</v>
      </c>
      <c r="Z26">
        <f t="shared" si="12"/>
        <v>1.9607843137254901</v>
      </c>
      <c r="AA26">
        <f t="shared" si="13"/>
        <v>-4.6224072567061256</v>
      </c>
      <c r="AB26" s="1">
        <f t="shared" si="14"/>
        <v>53.292380679234441</v>
      </c>
      <c r="AC26">
        <f t="shared" si="15"/>
        <v>1.201674176077685</v>
      </c>
      <c r="AD26">
        <f t="shared" si="16"/>
        <v>54.494054855312129</v>
      </c>
    </row>
    <row r="27" spans="1:30" x14ac:dyDescent="0.3">
      <c r="E27" t="s">
        <v>110</v>
      </c>
      <c r="F27">
        <v>10</v>
      </c>
      <c r="G27" t="s">
        <v>83</v>
      </c>
      <c r="H27">
        <v>0.35</v>
      </c>
      <c r="I27" t="s">
        <v>83</v>
      </c>
      <c r="J27">
        <v>0.7</v>
      </c>
      <c r="M27">
        <v>3000</v>
      </c>
      <c r="N27">
        <f t="shared" si="0"/>
        <v>0.89352097685943854</v>
      </c>
      <c r="O27" s="1">
        <f t="shared" si="1"/>
        <v>36.86115285036594</v>
      </c>
      <c r="P27">
        <f t="shared" si="2"/>
        <v>5.0029179230319638E-2</v>
      </c>
      <c r="Q27" s="1">
        <f t="shared" si="3"/>
        <v>40.058840713387944</v>
      </c>
      <c r="R27">
        <f t="shared" si="4"/>
        <v>2.1730165092780085E-2</v>
      </c>
      <c r="S27">
        <f t="shared" si="5"/>
        <v>-8.7594619690488162</v>
      </c>
      <c r="T27">
        <f t="shared" si="6"/>
        <v>44.563279857397504</v>
      </c>
      <c r="U27" s="1">
        <f t="shared" si="7"/>
        <v>49.520032229737424</v>
      </c>
      <c r="V27">
        <f t="shared" si="8"/>
        <v>44.563279857397504</v>
      </c>
      <c r="W27" s="1">
        <f t="shared" si="9"/>
        <v>0.70448545125982698</v>
      </c>
      <c r="X27">
        <f t="shared" si="10"/>
        <v>20.588235294117649</v>
      </c>
      <c r="Y27" s="1">
        <f t="shared" si="11"/>
        <v>45.317273784021019</v>
      </c>
      <c r="Z27">
        <f t="shared" si="12"/>
        <v>2.9411764705882355</v>
      </c>
      <c r="AA27">
        <f t="shared" si="13"/>
        <v>-18.174147660411567</v>
      </c>
      <c r="AB27" s="1">
        <f t="shared" si="14"/>
        <v>51.416018395889523</v>
      </c>
      <c r="AC27">
        <f t="shared" si="15"/>
        <v>1.2284560262974789</v>
      </c>
      <c r="AD27">
        <f t="shared" si="16"/>
        <v>52.644474422187002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2.7450980392156863</v>
      </c>
      <c r="I28" t="s">
        <v>81</v>
      </c>
      <c r="J28">
        <f>(B13*J27)*(1-B7*COS(B14))/(B7*B9)</f>
        <v>5.4901960784313726</v>
      </c>
      <c r="M28">
        <v>4000</v>
      </c>
      <c r="N28">
        <f t="shared" si="0"/>
        <v>1.1913613024792513</v>
      </c>
      <c r="O28" s="1">
        <f t="shared" si="1"/>
        <v>34.474623619340491</v>
      </c>
      <c r="P28">
        <f t="shared" si="2"/>
        <v>6.6705572307092842E-2</v>
      </c>
      <c r="Q28" s="1">
        <f t="shared" si="3"/>
        <v>41.550463288181952</v>
      </c>
      <c r="R28">
        <f t="shared" si="4"/>
        <v>2.8973553457040113E-2</v>
      </c>
      <c r="S28">
        <f t="shared" si="5"/>
        <v>-5.2733584435029819</v>
      </c>
      <c r="T28">
        <f t="shared" si="6"/>
        <v>59.417706476530007</v>
      </c>
      <c r="U28" s="1">
        <f t="shared" si="7"/>
        <v>48.832869178391761</v>
      </c>
      <c r="V28">
        <f t="shared" si="8"/>
        <v>59.417706476530007</v>
      </c>
      <c r="W28" s="1">
        <f t="shared" si="9"/>
        <v>-2.3922054372664281</v>
      </c>
      <c r="X28">
        <f t="shared" si="10"/>
        <v>27.450980392156861</v>
      </c>
      <c r="Y28" s="1">
        <f t="shared" si="11"/>
        <v>42.31703928813765</v>
      </c>
      <c r="Z28">
        <f t="shared" si="12"/>
        <v>3.9215686274509802</v>
      </c>
      <c r="AA28">
        <f t="shared" si="13"/>
        <v>-28.148370562864926</v>
      </c>
      <c r="AB28" s="1">
        <f t="shared" si="14"/>
        <v>50.436630621744783</v>
      </c>
      <c r="AC28">
        <f t="shared" si="15"/>
        <v>0.96359790524507294</v>
      </c>
      <c r="AD28">
        <f t="shared" si="16"/>
        <v>51.400228526989856</v>
      </c>
    </row>
    <row r="29" spans="1:30" x14ac:dyDescent="0.3">
      <c r="E29" t="s">
        <v>113</v>
      </c>
      <c r="F29">
        <f>(B13*F25)*(1-B7*COS(B14))/(B7*B9)</f>
        <v>11.883541295305999</v>
      </c>
      <c r="G29" t="s">
        <v>125</v>
      </c>
      <c r="H29">
        <f>13.59*H28^2*(H28^2+12.5)^-2.25</f>
        <v>0.12058177569682192</v>
      </c>
      <c r="I29" t="s">
        <v>125</v>
      </c>
      <c r="J29">
        <f>13.59*J28^2*(J28^2+12.5)^-2.25</f>
        <v>8.8156603024097932E-2</v>
      </c>
      <c r="M29">
        <v>5000</v>
      </c>
      <c r="N29">
        <f t="shared" si="0"/>
        <v>1.4892016280990641</v>
      </c>
      <c r="O29" s="1">
        <f t="shared" si="1"/>
        <v>32.595888421674928</v>
      </c>
      <c r="P29">
        <f t="shared" si="2"/>
        <v>8.3381965383866066E-2</v>
      </c>
      <c r="Q29" s="1">
        <f t="shared" si="3"/>
        <v>42.154316990132934</v>
      </c>
      <c r="R29">
        <f t="shared" si="4"/>
        <v>3.6216941821300142E-2</v>
      </c>
      <c r="S29">
        <f t="shared" si="5"/>
        <v>-2.9658632954363795</v>
      </c>
      <c r="T29">
        <f t="shared" si="6"/>
        <v>74.272133095662511</v>
      </c>
      <c r="U29" s="1">
        <f t="shared" si="7"/>
        <v>48.299864106847458</v>
      </c>
      <c r="V29">
        <f t="shared" si="8"/>
        <v>74.272133095662511</v>
      </c>
      <c r="W29" s="1">
        <f t="shared" si="9"/>
        <v>-4.8025367068303995</v>
      </c>
      <c r="X29">
        <f t="shared" si="10"/>
        <v>34.313725490196077</v>
      </c>
      <c r="Y29" s="1">
        <f t="shared" si="11"/>
        <v>39.951859111381609</v>
      </c>
      <c r="Z29">
        <f t="shared" si="12"/>
        <v>4.9019607843137258</v>
      </c>
      <c r="AA29">
        <f t="shared" si="13"/>
        <v>-35.899233694986343</v>
      </c>
      <c r="AB29" s="1">
        <f t="shared" si="14"/>
        <v>49.810796992803084</v>
      </c>
      <c r="AC29">
        <f t="shared" si="15"/>
        <v>0.55443415814925312</v>
      </c>
      <c r="AD29">
        <f t="shared" si="16"/>
        <v>50.36523115095234</v>
      </c>
    </row>
    <row r="30" spans="1:30" x14ac:dyDescent="0.3">
      <c r="E30" t="s">
        <v>114</v>
      </c>
      <c r="F30">
        <f>0.1406*F29^-0.55</f>
        <v>3.6038365606716395E-2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1.7870419537188771</v>
      </c>
      <c r="O30" s="1">
        <f t="shared" si="1"/>
        <v>31.048152910460743</v>
      </c>
      <c r="P30">
        <f t="shared" si="2"/>
        <v>0.10005835846063928</v>
      </c>
      <c r="Q30" s="1">
        <f t="shared" si="3"/>
        <v>42.301780089589371</v>
      </c>
      <c r="R30">
        <f t="shared" si="4"/>
        <v>4.346033018556017E-2</v>
      </c>
      <c r="S30">
        <f t="shared" si="5"/>
        <v>-1.3828807125025362</v>
      </c>
      <c r="T30">
        <f t="shared" si="6"/>
        <v>89.126559714795007</v>
      </c>
      <c r="U30" s="1">
        <f t="shared" si="7"/>
        <v>47.86436725358552</v>
      </c>
      <c r="V30">
        <f t="shared" si="8"/>
        <v>89.126559714795007</v>
      </c>
      <c r="W30" s="1">
        <f t="shared" si="9"/>
        <v>-6.7753150828316153</v>
      </c>
      <c r="X30">
        <f t="shared" si="10"/>
        <v>41.176470588235297</v>
      </c>
      <c r="Y30" s="1">
        <f t="shared" si="11"/>
        <v>38.00374338271034</v>
      </c>
      <c r="Z30">
        <f t="shared" si="12"/>
        <v>5.882352941176471</v>
      </c>
      <c r="AA30">
        <f t="shared" si="13"/>
        <v>-42.233433488299106</v>
      </c>
      <c r="AB30" s="1">
        <f t="shared" si="14"/>
        <v>49.331529935261671</v>
      </c>
      <c r="AC30">
        <f t="shared" si="15"/>
        <v>5.0112726333026991E-2</v>
      </c>
      <c r="AD30">
        <f t="shared" si="16"/>
        <v>49.381642661594697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9.7784210619018021E-3</v>
      </c>
      <c r="I31" t="s">
        <v>90</v>
      </c>
      <c r="J31">
        <f>J22*B7^J23*J26*(B12*B9^2*B10^2)</f>
        <v>6.4650717764640001E-2</v>
      </c>
      <c r="M31">
        <v>7000</v>
      </c>
      <c r="N31">
        <f t="shared" si="0"/>
        <v>2.0848822793386899</v>
      </c>
      <c r="O31" s="1">
        <f t="shared" si="1"/>
        <v>29.732812977664153</v>
      </c>
      <c r="P31">
        <f t="shared" si="2"/>
        <v>0.1167347515374125</v>
      </c>
      <c r="Q31" s="1">
        <f t="shared" si="3"/>
        <v>42.200624979592547</v>
      </c>
      <c r="R31">
        <f t="shared" si="4"/>
        <v>5.0703718549820198E-2</v>
      </c>
      <c r="S31">
        <f t="shared" si="5"/>
        <v>-0.27784967866829519</v>
      </c>
      <c r="T31">
        <f t="shared" si="6"/>
        <v>103.9809863339275</v>
      </c>
      <c r="U31" s="1">
        <f t="shared" si="7"/>
        <v>47.496159910617152</v>
      </c>
      <c r="V31">
        <f t="shared" si="8"/>
        <v>103.9809863339275</v>
      </c>
      <c r="W31" s="1">
        <f t="shared" si="9"/>
        <v>-8.4449108567811386</v>
      </c>
      <c r="X31">
        <f t="shared" si="10"/>
        <v>48.03921568627451</v>
      </c>
      <c r="Y31" s="1">
        <f t="shared" si="11"/>
        <v>36.349065076530721</v>
      </c>
      <c r="Z31">
        <f t="shared" si="12"/>
        <v>6.8627450980392153</v>
      </c>
      <c r="AA31">
        <f t="shared" si="13"/>
        <v>-47.589112253912369</v>
      </c>
      <c r="AB31" s="1">
        <f t="shared" si="14"/>
        <v>48.923081575486336</v>
      </c>
      <c r="AC31">
        <f t="shared" si="15"/>
        <v>-0.5231027020581247</v>
      </c>
      <c r="AD31">
        <f t="shared" si="16"/>
        <v>48.399978873428211</v>
      </c>
    </row>
    <row r="32" spans="1:30" x14ac:dyDescent="0.3">
      <c r="E32" t="s">
        <v>90</v>
      </c>
      <c r="F32">
        <f>F22*B7^F23*F24*(B12*B9^3*B10^2)</f>
        <v>32.194900265204403</v>
      </c>
      <c r="G32" t="s">
        <v>91</v>
      </c>
      <c r="H32">
        <f>(B12*B9*H31*H30*H29)/(4*PI()*B15^2*(1-B7*COS(B14))^4)</f>
        <v>5.6123535088544233E-8</v>
      </c>
      <c r="I32" t="s">
        <v>91</v>
      </c>
      <c r="J32">
        <f>(B12*B9*J31*J30*J29)/(4*PI()*B15^2*(1-B7*COS(B14))^4)</f>
        <v>2.7128314213927762E-7</v>
      </c>
      <c r="M32">
        <v>8000</v>
      </c>
      <c r="N32">
        <f t="shared" si="0"/>
        <v>2.3827226049585026</v>
      </c>
      <c r="O32" s="1">
        <f t="shared" si="1"/>
        <v>28.589456776389362</v>
      </c>
      <c r="P32">
        <f t="shared" si="2"/>
        <v>0.13341114461418568</v>
      </c>
      <c r="Q32" s="1">
        <f t="shared" si="3"/>
        <v>41.959833257161002</v>
      </c>
      <c r="R32">
        <f t="shared" si="4"/>
        <v>5.7947106914080226E-2</v>
      </c>
      <c r="S32">
        <f t="shared" si="5"/>
        <v>0.49720574218153318</v>
      </c>
      <c r="T32">
        <f t="shared" si="6"/>
        <v>118.83541295306001</v>
      </c>
      <c r="U32" s="1">
        <f t="shared" si="7"/>
        <v>47.177204202239871</v>
      </c>
      <c r="V32">
        <f t="shared" si="8"/>
        <v>118.83541295306001</v>
      </c>
      <c r="W32" s="1">
        <f t="shared" si="9"/>
        <v>-9.8920644608297543</v>
      </c>
      <c r="X32">
        <f t="shared" si="10"/>
        <v>54.901960784313722</v>
      </c>
      <c r="Y32" s="1">
        <f t="shared" si="11"/>
        <v>34.911612355430897</v>
      </c>
      <c r="Z32">
        <f t="shared" si="12"/>
        <v>7.8431372549019605</v>
      </c>
      <c r="AA32">
        <f t="shared" si="13"/>
        <v>-52.228450630776926</v>
      </c>
      <c r="AB32" s="1">
        <f t="shared" si="14"/>
        <v>48.557099002000683</v>
      </c>
      <c r="AC32">
        <f t="shared" si="15"/>
        <v>-1.1468793432843185</v>
      </c>
      <c r="AD32">
        <f t="shared" si="16"/>
        <v>47.410219658716365</v>
      </c>
    </row>
    <row r="33" spans="5:30" x14ac:dyDescent="0.3">
      <c r="E33" t="s">
        <v>91</v>
      </c>
      <c r="F33">
        <f>(B12*B9*F32*F31*F30)/(4*PI()*B15^2*(1-B7*COS(B14))^2)</f>
        <v>7.4093551395385917E-5</v>
      </c>
      <c r="G33" t="s">
        <v>85</v>
      </c>
      <c r="H33">
        <f>10*LOG10(H32/B17^2)</f>
        <v>21.470850270706848</v>
      </c>
      <c r="I33" t="s">
        <v>85</v>
      </c>
      <c r="J33">
        <f>10*LOG10(J32/B17^2)</f>
        <v>28.313628156906919</v>
      </c>
      <c r="M33">
        <v>9000</v>
      </c>
      <c r="N33">
        <f t="shared" si="0"/>
        <v>2.6805629305783154</v>
      </c>
      <c r="O33" s="1">
        <f t="shared" si="1"/>
        <v>27.578452968057565</v>
      </c>
      <c r="P33">
        <f t="shared" si="2"/>
        <v>0.15008753769095889</v>
      </c>
      <c r="Q33" s="1">
        <f t="shared" si="3"/>
        <v>41.640045626996979</v>
      </c>
      <c r="R33">
        <f t="shared" si="4"/>
        <v>6.5190495278340241E-2</v>
      </c>
      <c r="S33">
        <f t="shared" si="5"/>
        <v>1.037079664950662</v>
      </c>
      <c r="T33">
        <f t="shared" si="6"/>
        <v>133.68983957219251</v>
      </c>
      <c r="U33" s="1">
        <f t="shared" si="7"/>
        <v>46.89586532877928</v>
      </c>
      <c r="V33">
        <f t="shared" si="8"/>
        <v>133.68983957219251</v>
      </c>
      <c r="W33" s="1">
        <f t="shared" si="9"/>
        <v>-11.169063656658132</v>
      </c>
      <c r="X33">
        <f t="shared" si="10"/>
        <v>61.764705882352942</v>
      </c>
      <c r="Y33" s="1">
        <f t="shared" si="11"/>
        <v>33.641272661336444</v>
      </c>
      <c r="Z33">
        <f t="shared" si="12"/>
        <v>8.8235294117647065</v>
      </c>
      <c r="AA33">
        <f t="shared" si="13"/>
        <v>-56.320646873943957</v>
      </c>
      <c r="AB33" s="1">
        <f t="shared" si="14"/>
        <v>48.222089658845107</v>
      </c>
      <c r="AC33">
        <f t="shared" si="15"/>
        <v>-1.8068953612431837</v>
      </c>
      <c r="AD33">
        <f t="shared" si="16"/>
        <v>46.415194297601921</v>
      </c>
    </row>
    <row r="34" spans="5:30" x14ac:dyDescent="0.3">
      <c r="E34" t="s">
        <v>85</v>
      </c>
      <c r="F34">
        <f>10*LOG10(F33/B17^2)</f>
        <v>52.677204202239871</v>
      </c>
      <c r="M34">
        <v>10000</v>
      </c>
      <c r="N34">
        <f t="shared" si="0"/>
        <v>2.9784032561981282</v>
      </c>
      <c r="O34" s="1">
        <f t="shared" si="1"/>
        <v>26.672421802693403</v>
      </c>
      <c r="P34">
        <f t="shared" si="2"/>
        <v>0.16676393076773213</v>
      </c>
      <c r="Q34" s="1">
        <f>10*LOG10((($B$12*$B$9*$H$16*$H$15*(0.613*(10*P34)^4*((10*P34)^1.5+0.5)^-4))/(4*PI()*$B$15^2*(1-$B$7*COS($B$14))^4))/$B$17^2)</f>
        <v>41.276483454634132</v>
      </c>
      <c r="R34">
        <f t="shared" si="4"/>
        <v>7.2433883642600283E-2</v>
      </c>
      <c r="S34">
        <f t="shared" si="5"/>
        <v>1.4053375526766465</v>
      </c>
      <c r="T34">
        <f t="shared" si="6"/>
        <v>148.54426619132502</v>
      </c>
      <c r="U34" s="1">
        <f t="shared" si="7"/>
        <v>46.644199130695554</v>
      </c>
      <c r="V34">
        <f t="shared" si="8"/>
        <v>148.54426619132502</v>
      </c>
      <c r="W34" s="1">
        <f t="shared" si="9"/>
        <v>-12.311703266869094</v>
      </c>
      <c r="X34">
        <f t="shared" si="10"/>
        <v>68.627450980392155</v>
      </c>
      <c r="Y34" s="1">
        <f t="shared" si="11"/>
        <v>32.503400857653311</v>
      </c>
      <c r="Z34">
        <f t="shared" si="12"/>
        <v>9.8039215686274517</v>
      </c>
      <c r="AA34">
        <f t="shared" si="13"/>
        <v>-59.981244099105034</v>
      </c>
      <c r="AB34" s="1">
        <f t="shared" si="14"/>
        <v>47.912628251399063</v>
      </c>
      <c r="AC34">
        <f t="shared" si="15"/>
        <v>-2.4915694246069107</v>
      </c>
      <c r="AD34">
        <f t="shared" si="16"/>
        <v>45.421058826792155</v>
      </c>
    </row>
    <row r="35" spans="5:30" x14ac:dyDescent="0.3">
      <c r="M35">
        <v>20000</v>
      </c>
      <c r="N35">
        <f t="shared" si="0"/>
        <v>5.9568065123962564</v>
      </c>
      <c r="O35">
        <f t="shared" si="1"/>
        <v>20.68629406455166</v>
      </c>
      <c r="P35">
        <f t="shared" si="2"/>
        <v>0.33352786153546427</v>
      </c>
      <c r="Q35">
        <f>10*LOG10((($B$12*$B$9*$H$16*$H$15*(0.613*(10*P35)^4*((10*P35)^1.5+0.5)^-4))/(4*PI()*$B$15^2*(1-$B$7*COS($B$14))^4))/$B$17^2)</f>
        <v>37.51231013204179</v>
      </c>
      <c r="R35">
        <f t="shared" si="4"/>
        <v>0.14486776728520057</v>
      </c>
      <c r="S35">
        <f t="shared" si="5"/>
        <v>1.3222827078273491</v>
      </c>
      <c r="T35">
        <f t="shared" si="6"/>
        <v>297.08853238265004</v>
      </c>
      <c r="U35">
        <f t="shared" si="7"/>
        <v>44.988534154543665</v>
      </c>
      <c r="V35">
        <f t="shared" si="8"/>
        <v>297.08853238265004</v>
      </c>
      <c r="W35">
        <f t="shared" si="9"/>
        <v>-19.833302924435955</v>
      </c>
      <c r="X35">
        <f t="shared" si="10"/>
        <v>137.25490196078431</v>
      </c>
      <c r="Y35">
        <f t="shared" si="11"/>
        <v>24.997069780009674</v>
      </c>
      <c r="Z35">
        <f t="shared" si="12"/>
        <v>19.607843137254903</v>
      </c>
      <c r="AA35">
        <f t="shared" si="13"/>
        <v>-84.063642231651215</v>
      </c>
      <c r="AB35">
        <f t="shared" si="14"/>
        <v>45.753411489382536</v>
      </c>
      <c r="AC35">
        <f t="shared" si="15"/>
        <v>-9.3467937594815851</v>
      </c>
      <c r="AD35">
        <f t="shared" si="16"/>
        <v>36.406617729900951</v>
      </c>
    </row>
    <row r="36" spans="5:30" x14ac:dyDescent="0.3">
      <c r="E36" t="s">
        <v>116</v>
      </c>
      <c r="M36">
        <v>30000</v>
      </c>
      <c r="N36">
        <f t="shared" si="0"/>
        <v>8.935209768594385</v>
      </c>
      <c r="O36">
        <f t="shared" si="1"/>
        <v>17.173070477707434</v>
      </c>
      <c r="P36">
        <f t="shared" si="2"/>
        <v>0.50029179230319643</v>
      </c>
      <c r="Q36">
        <f>10*LOG10((($B$12*$B$9*$H$16*$H$15*(0.613*(10*P36)^4*((10*P36)^1.5+0.5)^-4))/(4*PI()*$B$15^2*(1-$B$7*COS($B$14))^4))/$B$17^2)</f>
        <v>34.601595905675765</v>
      </c>
      <c r="R36">
        <f t="shared" si="4"/>
        <v>0.21730165092780085</v>
      </c>
      <c r="S36">
        <f t="shared" si="5"/>
        <v>-0.33936367981668458</v>
      </c>
      <c r="T36">
        <f t="shared" si="6"/>
        <v>445.63279857397504</v>
      </c>
      <c r="U36">
        <f t="shared" si="7"/>
        <v>44.02003222973741</v>
      </c>
      <c r="V36">
        <f t="shared" si="8"/>
        <v>445.63279857397504</v>
      </c>
      <c r="W36">
        <f t="shared" si="9"/>
        <v>-24.234815645495004</v>
      </c>
      <c r="X36">
        <f t="shared" si="10"/>
        <v>205.88235294117646</v>
      </c>
      <c r="Y36">
        <f t="shared" si="11"/>
        <v>20.598388619002893</v>
      </c>
      <c r="Z36">
        <f t="shared" si="12"/>
        <v>29.411764705882351</v>
      </c>
      <c r="AA36">
        <f t="shared" si="13"/>
        <v>-98.150942950375338</v>
      </c>
      <c r="AB36">
        <f t="shared" si="14"/>
        <v>44.516013866625428</v>
      </c>
      <c r="AC36">
        <f t="shared" si="15"/>
        <v>-14.969811759715991</v>
      </c>
      <c r="AD36">
        <f t="shared" si="16"/>
        <v>29.546202106909437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11.913613024792513</v>
      </c>
      <c r="O37">
        <f t="shared" si="1"/>
        <v>14.677898292095581</v>
      </c>
      <c r="P37">
        <f t="shared" si="2"/>
        <v>0.66705572307092853</v>
      </c>
      <c r="Q37">
        <f>10*LOG10((($B$12*$B$9*$H$16*$H$15*(0.613*(10*P37)^4*((10*P37)^1.5+0.5)^-4))/(4*PI()*$B$15^2*(1-$B$7*COS($B$14))^4))/$B$17^2)</f>
        <v>32.365203813272501</v>
      </c>
      <c r="R37">
        <f t="shared" si="4"/>
        <v>0.28973553457040113</v>
      </c>
      <c r="S37">
        <f t="shared" si="5"/>
        <v>-1.9960134833670757</v>
      </c>
      <c r="T37">
        <f t="shared" si="6"/>
        <v>594.17706476530009</v>
      </c>
      <c r="U37">
        <f t="shared" si="7"/>
        <v>43.332869178391761</v>
      </c>
      <c r="V37">
        <f t="shared" si="8"/>
        <v>594.17706476530009</v>
      </c>
      <c r="W37">
        <f t="shared" si="9"/>
        <v>-27.358014982046996</v>
      </c>
      <c r="X37">
        <f t="shared" si="10"/>
        <v>274.50980392156862</v>
      </c>
      <c r="Y37">
        <f t="shared" si="11"/>
        <v>17.476180627636353</v>
      </c>
      <c r="Z37">
        <f t="shared" si="12"/>
        <v>39.215686274509807</v>
      </c>
      <c r="AA37">
        <f t="shared" si="13"/>
        <v>-108.14604187882998</v>
      </c>
      <c r="AB37">
        <f t="shared" si="14"/>
        <v>43.683222159296058</v>
      </c>
      <c r="AC37">
        <f t="shared" si="15"/>
        <v>-19.409938448212671</v>
      </c>
      <c r="AD37">
        <f t="shared" si="16"/>
        <v>24.273283711083387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57.771908784874348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50.953232162412441</v>
      </c>
      <c r="S38">
        <f t="shared" si="17"/>
        <v>8.7025268056771452</v>
      </c>
      <c r="U38">
        <f t="shared" si="17"/>
        <v>70.975620551801526</v>
      </c>
      <c r="W38">
        <f t="shared" si="17"/>
        <v>29.740807677624378</v>
      </c>
      <c r="Y38">
        <f t="shared" si="17"/>
        <v>66.949958988771115</v>
      </c>
      <c r="AA38">
        <f t="shared" si="17"/>
        <v>17.444245135570306</v>
      </c>
      <c r="AB38">
        <f t="shared" si="17"/>
        <v>72.600106368778498</v>
      </c>
      <c r="AD38">
        <f t="shared" si="17"/>
        <v>66.795788489369215</v>
      </c>
    </row>
    <row r="39" spans="5:30" x14ac:dyDescent="0.3">
      <c r="E39" t="s">
        <v>117</v>
      </c>
      <c r="F39">
        <v>0.1</v>
      </c>
      <c r="M39" t="s">
        <v>157</v>
      </c>
      <c r="N39">
        <f>B18</f>
        <v>1022</v>
      </c>
      <c r="O39">
        <f>O38-20*LOG10($B$18-1)</f>
        <v>-2.4086060568638601</v>
      </c>
      <c r="Q39">
        <f t="shared" ref="Q39:AD39" si="18">Q38-20*LOG10($B$18-1)</f>
        <v>-9.2272826793257678</v>
      </c>
      <c r="S39">
        <f t="shared" si="18"/>
        <v>-51.477988036061063</v>
      </c>
      <c r="U39">
        <f t="shared" si="18"/>
        <v>10.795105710063318</v>
      </c>
      <c r="W39">
        <f t="shared" si="18"/>
        <v>-30.43970716411383</v>
      </c>
      <c r="Y39">
        <f t="shared" si="18"/>
        <v>6.7694441470329068</v>
      </c>
      <c r="AA39">
        <f t="shared" si="18"/>
        <v>-42.736269706167903</v>
      </c>
      <c r="AB39">
        <f>AB38</f>
        <v>72.600106368778498</v>
      </c>
      <c r="AD39">
        <f t="shared" si="18"/>
        <v>6.6152736476310068</v>
      </c>
    </row>
    <row r="40" spans="5:30" x14ac:dyDescent="0.3">
      <c r="E40" t="s">
        <v>118</v>
      </c>
      <c r="F40">
        <v>0.7</v>
      </c>
      <c r="AA40" t="s">
        <v>155</v>
      </c>
      <c r="AB40">
        <f>'6 bladed propeller ATR-72'!F76+20*LOG10(450/B18)</f>
        <v>65.958544489155713</v>
      </c>
      <c r="AD40">
        <f>AB40</f>
        <v>65.958544489155713</v>
      </c>
    </row>
    <row r="41" spans="5:30" x14ac:dyDescent="0.3">
      <c r="E41" t="s">
        <v>89</v>
      </c>
      <c r="F41">
        <f>(F39/B10)^2*(F40/F39)</f>
        <v>9.5667296476368443E-5</v>
      </c>
      <c r="AA41" t="s">
        <v>156</v>
      </c>
    </row>
    <row r="42" spans="5:30" x14ac:dyDescent="0.3">
      <c r="E42" t="s">
        <v>83</v>
      </c>
      <c r="F42">
        <f>F39</f>
        <v>0.1</v>
      </c>
      <c r="AA42" t="s">
        <v>148</v>
      </c>
      <c r="AB42">
        <f>10*LOG(10^(AB39/10)+10^(AB40/10))</f>
        <v>73.451914557158005</v>
      </c>
      <c r="AD42">
        <f t="shared" ref="AD42" si="19">10*LOG(10^(AD39/10)+10^(AD40/10))</f>
        <v>65.958549541081652</v>
      </c>
    </row>
    <row r="43" spans="5:30" x14ac:dyDescent="0.3">
      <c r="E43" t="s">
        <v>81</v>
      </c>
      <c r="F43">
        <f>(B13*F42)*(1-B7*COS(B14))/(B7*B9)</f>
        <v>0.78431372549019607</v>
      </c>
    </row>
    <row r="44" spans="5:30" x14ac:dyDescent="0.3">
      <c r="E44" t="s">
        <v>125</v>
      </c>
      <c r="F44">
        <f>5.325*(30+F43^8)^-1</f>
        <v>0.1766568057418231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0.67640158959659991</v>
      </c>
    </row>
    <row r="47" spans="5:30" x14ac:dyDescent="0.3">
      <c r="E47" t="s">
        <v>91</v>
      </c>
      <c r="F47">
        <f>(B12*B9*F46*F45*F44)/(4*PI()*B15^2*(1-B7*COS(B14))^2)</f>
        <v>1.1374835409113563E-9</v>
      </c>
    </row>
    <row r="48" spans="5:30" x14ac:dyDescent="0.3">
      <c r="E48" t="s">
        <v>85</v>
      </c>
      <c r="F48">
        <f>10*LOG10(F47/B17^2)</f>
        <v>4.5388512991934986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05A8-60CC-4E35-B744-0B7967807E7D}">
  <dimension ref="A1:C11"/>
  <sheetViews>
    <sheetView workbookViewId="0">
      <selection activeCell="E8" sqref="E8"/>
    </sheetView>
  </sheetViews>
  <sheetFormatPr defaultRowHeight="14.4" x14ac:dyDescent="0.3"/>
  <sheetData>
    <row r="1" spans="1:3" x14ac:dyDescent="0.3">
      <c r="A1" t="s">
        <v>128</v>
      </c>
      <c r="B1" t="s">
        <v>85</v>
      </c>
      <c r="C1" t="s">
        <v>162</v>
      </c>
    </row>
    <row r="2" spans="1:3" x14ac:dyDescent="0.3">
      <c r="A2">
        <v>120</v>
      </c>
      <c r="B2" s="1">
        <v>63.589484862285573</v>
      </c>
      <c r="C2">
        <v>65.589484862285573</v>
      </c>
    </row>
    <row r="3" spans="1:3" x14ac:dyDescent="0.3">
      <c r="A3">
        <v>240</v>
      </c>
      <c r="B3" s="1">
        <v>64.241924813058745</v>
      </c>
      <c r="C3">
        <v>66.241924813058745</v>
      </c>
    </row>
    <row r="4" spans="1:3" x14ac:dyDescent="0.3">
      <c r="A4">
        <v>360</v>
      </c>
      <c r="B4" s="1">
        <v>63.728866501088895</v>
      </c>
      <c r="C4">
        <v>65.728866501088902</v>
      </c>
    </row>
    <row r="5" spans="1:3" x14ac:dyDescent="0.3">
      <c r="A5">
        <v>480</v>
      </c>
      <c r="B5" s="1">
        <v>62.787913909366466</v>
      </c>
      <c r="C5">
        <v>64.787913909366466</v>
      </c>
    </row>
    <row r="6" spans="1:3" x14ac:dyDescent="0.3">
      <c r="A6">
        <v>600</v>
      </c>
      <c r="B6" s="1">
        <v>62.1282696674931</v>
      </c>
      <c r="C6">
        <v>64.1282696674931</v>
      </c>
    </row>
    <row r="7" spans="1:3" x14ac:dyDescent="0.3">
      <c r="A7">
        <v>720</v>
      </c>
      <c r="B7" s="1">
        <v>62.046574205380232</v>
      </c>
      <c r="C7">
        <v>64.046574205380239</v>
      </c>
    </row>
    <row r="8" spans="1:3" x14ac:dyDescent="0.3">
      <c r="A8">
        <v>840</v>
      </c>
      <c r="B8" s="1">
        <v>61.697269126550317</v>
      </c>
      <c r="C8">
        <v>63.697269126550317</v>
      </c>
    </row>
    <row r="9" spans="1:3" x14ac:dyDescent="0.3">
      <c r="A9">
        <v>960</v>
      </c>
      <c r="B9" s="1">
        <v>62.170086076089795</v>
      </c>
      <c r="C9">
        <v>64.170086076089788</v>
      </c>
    </row>
    <row r="10" spans="1:3" x14ac:dyDescent="0.3">
      <c r="A10">
        <v>1080</v>
      </c>
      <c r="B10" s="1">
        <v>62.520507680869756</v>
      </c>
      <c r="C10">
        <v>64.520507680869756</v>
      </c>
    </row>
    <row r="11" spans="1:3" x14ac:dyDescent="0.3">
      <c r="A11">
        <v>1200</v>
      </c>
      <c r="B11" s="1">
        <v>62.78428091405619</v>
      </c>
      <c r="C11">
        <v>64.784280914056197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6"/>
  <sheetViews>
    <sheetView topLeftCell="A47" workbookViewId="0">
      <selection activeCell="F56" sqref="F56:F65"/>
    </sheetView>
  </sheetViews>
  <sheetFormatPr defaultRowHeight="14.4" x14ac:dyDescent="0.3"/>
  <cols>
    <col min="1" max="1" width="35.109375" bestFit="1" customWidth="1"/>
    <col min="2" max="2" width="30" bestFit="1" customWidth="1"/>
    <col min="3" max="3" width="26.109375" bestFit="1" customWidth="1"/>
    <col min="4" max="4" width="20.109375" bestFit="1" customWidth="1"/>
    <col min="5" max="5" width="28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1850</v>
      </c>
      <c r="C3" t="s">
        <v>5</v>
      </c>
    </row>
    <row r="4" spans="1:3" x14ac:dyDescent="0.3">
      <c r="A4" t="s">
        <v>6</v>
      </c>
      <c r="B4">
        <v>3.93</v>
      </c>
      <c r="C4" t="s">
        <v>7</v>
      </c>
    </row>
    <row r="5" spans="1:3" x14ac:dyDescent="0.3">
      <c r="A5" t="s">
        <v>9</v>
      </c>
      <c r="B5">
        <v>1200</v>
      </c>
      <c r="C5" t="s">
        <v>8</v>
      </c>
    </row>
    <row r="6" spans="1:3" x14ac:dyDescent="0.3">
      <c r="A6" t="s">
        <v>10</v>
      </c>
      <c r="B6">
        <v>322</v>
      </c>
      <c r="C6" t="s">
        <v>11</v>
      </c>
    </row>
    <row r="7" spans="1:3" x14ac:dyDescent="0.3">
      <c r="A7" t="s">
        <v>12</v>
      </c>
      <c r="B7">
        <f>1*0.3048</f>
        <v>0.30480000000000002</v>
      </c>
      <c r="C7" t="s">
        <v>7</v>
      </c>
    </row>
    <row r="8" spans="1:3" x14ac:dyDescent="0.3">
      <c r="A8" t="s">
        <v>13</v>
      </c>
      <c r="B8">
        <v>2</v>
      </c>
      <c r="C8" t="s">
        <v>14</v>
      </c>
    </row>
    <row r="9" spans="1:3" x14ac:dyDescent="0.3">
      <c r="A9" t="s">
        <v>15</v>
      </c>
      <c r="B9">
        <v>6</v>
      </c>
      <c r="C9" t="s">
        <v>14</v>
      </c>
    </row>
    <row r="10" spans="1:3" x14ac:dyDescent="0.3">
      <c r="A10" t="s">
        <v>16</v>
      </c>
      <c r="B10">
        <f>(PI()*B4*B5)/(B6*60)</f>
        <v>0.76686081544148377</v>
      </c>
      <c r="C10" t="s">
        <v>14</v>
      </c>
    </row>
    <row r="11" spans="1:3" x14ac:dyDescent="0.3">
      <c r="A11" t="s">
        <v>17</v>
      </c>
      <c r="B11">
        <f>83.4+15.3*LOG10(B3)-20*LOG10(B10)-3*(B9-2)+10*LOG10(B8)</f>
        <v>126.70369646045171</v>
      </c>
    </row>
    <row r="12" spans="1:3" x14ac:dyDescent="0.3">
      <c r="A12" t="s">
        <v>49</v>
      </c>
      <c r="B12">
        <v>450</v>
      </c>
      <c r="C12" t="s">
        <v>7</v>
      </c>
    </row>
    <row r="14" spans="1:3" x14ac:dyDescent="0.3">
      <c r="A14" t="s">
        <v>26</v>
      </c>
    </row>
    <row r="15" spans="1:3" x14ac:dyDescent="0.3">
      <c r="A15" t="s">
        <v>18</v>
      </c>
      <c r="B15">
        <v>136</v>
      </c>
      <c r="C15" t="s">
        <v>19</v>
      </c>
    </row>
    <row r="16" spans="1:3" x14ac:dyDescent="0.3">
      <c r="A16" t="s">
        <v>20</v>
      </c>
      <c r="B16">
        <f>20*LOG10(4/B9)</f>
        <v>-3.5218251811136252</v>
      </c>
      <c r="C16" t="s">
        <v>19</v>
      </c>
    </row>
    <row r="17" spans="1:6" x14ac:dyDescent="0.3">
      <c r="A17" t="s">
        <v>21</v>
      </c>
      <c r="B17">
        <f>40*LOG10(15.5/(B4/0.3048))</f>
        <v>3.1981644184971074</v>
      </c>
      <c r="C17" t="s">
        <v>19</v>
      </c>
    </row>
    <row r="18" spans="1:6" x14ac:dyDescent="0.3">
      <c r="A18" t="s">
        <v>22</v>
      </c>
      <c r="B18">
        <v>4</v>
      </c>
      <c r="C18" t="s">
        <v>19</v>
      </c>
    </row>
    <row r="19" spans="1:6" x14ac:dyDescent="0.3">
      <c r="A19" t="s">
        <v>23</v>
      </c>
      <c r="B19">
        <v>0</v>
      </c>
      <c r="C19" t="s">
        <v>19</v>
      </c>
    </row>
    <row r="20" spans="1:6" x14ac:dyDescent="0.3">
      <c r="A20" t="s">
        <v>24</v>
      </c>
      <c r="B20">
        <v>4</v>
      </c>
      <c r="C20" t="s">
        <v>19</v>
      </c>
    </row>
    <row r="21" spans="1:6" x14ac:dyDescent="0.3">
      <c r="A21" t="s">
        <v>25</v>
      </c>
      <c r="B21">
        <f>SUM(B15:B20)</f>
        <v>143.67633923738347</v>
      </c>
      <c r="C21" t="s">
        <v>19</v>
      </c>
    </row>
    <row r="22" spans="1:6" x14ac:dyDescent="0.3">
      <c r="A22" t="s">
        <v>28</v>
      </c>
      <c r="B22">
        <f>B9*B5/60</f>
        <v>120</v>
      </c>
      <c r="C22" t="s">
        <v>27</v>
      </c>
    </row>
    <row r="23" spans="1:6" x14ac:dyDescent="0.3">
      <c r="A23" t="s">
        <v>29</v>
      </c>
      <c r="B23" t="s">
        <v>30</v>
      </c>
      <c r="C23" t="s">
        <v>32</v>
      </c>
      <c r="D23" t="s">
        <v>31</v>
      </c>
      <c r="E23" t="s">
        <v>62</v>
      </c>
      <c r="F23" t="s">
        <v>63</v>
      </c>
    </row>
    <row r="24" spans="1:6" x14ac:dyDescent="0.3">
      <c r="A24" t="s">
        <v>33</v>
      </c>
      <c r="B24">
        <f>B22</f>
        <v>120</v>
      </c>
      <c r="C24">
        <v>-2</v>
      </c>
      <c r="D24">
        <f t="shared" ref="D24:D33" si="0">$B$21+C24</f>
        <v>141.67633923738347</v>
      </c>
      <c r="E24">
        <f>20*LOG((12194^2*B24^4)/((B24^2+20.6^2)*SQRT((B24^2+107.7^2)*(B24^2+737.9^2))*(B24^2+12194^2)))+2</f>
        <v>-16.708788588882115</v>
      </c>
      <c r="F24">
        <f>D24+E24</f>
        <v>124.96755064850136</v>
      </c>
    </row>
    <row r="25" spans="1:6" x14ac:dyDescent="0.3">
      <c r="A25">
        <v>2</v>
      </c>
      <c r="B25">
        <f t="shared" ref="B25:B33" si="1">$B$24*A25</f>
        <v>240</v>
      </c>
      <c r="C25">
        <v>-9</v>
      </c>
      <c r="D25">
        <f t="shared" si="0"/>
        <v>134.67633923738347</v>
      </c>
      <c r="E25">
        <f t="shared" ref="E25:E33" si="2">20*LOG((12194^2*B25^4)/((B25^2+20.6^2)*SQRT((B25^2+107.7^2)*(B25^2+737.9^2))*(B25^2+12194^2)))+2</f>
        <v>-9.0563486381089415</v>
      </c>
      <c r="F25">
        <f t="shared" ref="F25:F33" si="3">D25+E25</f>
        <v>125.61999059927453</v>
      </c>
    </row>
    <row r="26" spans="1:6" x14ac:dyDescent="0.3">
      <c r="A26">
        <v>3</v>
      </c>
      <c r="B26">
        <f t="shared" si="1"/>
        <v>360</v>
      </c>
      <c r="C26">
        <v>-13</v>
      </c>
      <c r="D26">
        <f t="shared" si="0"/>
        <v>130.67633923738347</v>
      </c>
      <c r="E26">
        <f t="shared" si="2"/>
        <v>-5.5694069500787933</v>
      </c>
      <c r="F26">
        <f t="shared" si="3"/>
        <v>125.10693228730469</v>
      </c>
    </row>
    <row r="27" spans="1:6" x14ac:dyDescent="0.3">
      <c r="A27">
        <v>4</v>
      </c>
      <c r="B27">
        <f t="shared" si="1"/>
        <v>480</v>
      </c>
      <c r="C27">
        <v>-16</v>
      </c>
      <c r="D27">
        <f t="shared" si="0"/>
        <v>127.67633923738347</v>
      </c>
      <c r="E27">
        <f t="shared" si="2"/>
        <v>-3.5103595418012183</v>
      </c>
      <c r="F27">
        <f t="shared" si="3"/>
        <v>124.16597969558225</v>
      </c>
    </row>
    <row r="28" spans="1:6" x14ac:dyDescent="0.3">
      <c r="A28">
        <v>5</v>
      </c>
      <c r="B28">
        <f t="shared" si="1"/>
        <v>600</v>
      </c>
      <c r="C28">
        <v>-18</v>
      </c>
      <c r="D28">
        <f t="shared" si="0"/>
        <v>125.67633923738347</v>
      </c>
      <c r="E28">
        <f t="shared" si="2"/>
        <v>-2.1700037836745878</v>
      </c>
      <c r="F28">
        <f t="shared" si="3"/>
        <v>123.50633545370889</v>
      </c>
    </row>
    <row r="29" spans="1:6" x14ac:dyDescent="0.3">
      <c r="A29">
        <v>6</v>
      </c>
      <c r="B29">
        <f t="shared" si="1"/>
        <v>720</v>
      </c>
      <c r="C29">
        <v>-19</v>
      </c>
      <c r="D29">
        <f t="shared" si="0"/>
        <v>124.67633923738347</v>
      </c>
      <c r="E29">
        <f t="shared" si="2"/>
        <v>-1.2516992457874556</v>
      </c>
      <c r="F29">
        <f t="shared" si="3"/>
        <v>123.42463999159602</v>
      </c>
    </row>
    <row r="30" spans="1:6" x14ac:dyDescent="0.3">
      <c r="A30">
        <v>7</v>
      </c>
      <c r="B30">
        <f t="shared" si="1"/>
        <v>840</v>
      </c>
      <c r="C30">
        <v>-20</v>
      </c>
      <c r="D30">
        <f t="shared" si="0"/>
        <v>123.67633923738347</v>
      </c>
      <c r="E30">
        <f t="shared" si="2"/>
        <v>-0.60100432461737086</v>
      </c>
      <c r="F30">
        <f t="shared" si="3"/>
        <v>123.0753349127661</v>
      </c>
    </row>
    <row r="31" spans="1:6" x14ac:dyDescent="0.3">
      <c r="A31">
        <v>8</v>
      </c>
      <c r="B31">
        <f t="shared" si="1"/>
        <v>960</v>
      </c>
      <c r="C31">
        <v>-20</v>
      </c>
      <c r="D31">
        <f t="shared" si="0"/>
        <v>123.67633923738347</v>
      </c>
      <c r="E31">
        <f t="shared" si="2"/>
        <v>-0.12818737507789324</v>
      </c>
      <c r="F31">
        <f t="shared" si="3"/>
        <v>123.54815186230557</v>
      </c>
    </row>
    <row r="32" spans="1:6" x14ac:dyDescent="0.3">
      <c r="A32">
        <v>9</v>
      </c>
      <c r="B32">
        <f t="shared" si="1"/>
        <v>1080</v>
      </c>
      <c r="C32">
        <v>-20</v>
      </c>
      <c r="D32">
        <f t="shared" si="0"/>
        <v>123.67633923738347</v>
      </c>
      <c r="E32">
        <f t="shared" si="2"/>
        <v>0.22223422970207096</v>
      </c>
      <c r="F32">
        <f t="shared" si="3"/>
        <v>123.89857346708554</v>
      </c>
    </row>
    <row r="33" spans="1:6" x14ac:dyDescent="0.3">
      <c r="A33">
        <v>10</v>
      </c>
      <c r="B33">
        <f t="shared" si="1"/>
        <v>1200</v>
      </c>
      <c r="C33">
        <v>-20</v>
      </c>
      <c r="D33">
        <f t="shared" si="0"/>
        <v>123.67633923738347</v>
      </c>
      <c r="E33">
        <f t="shared" si="2"/>
        <v>0.48600746288850472</v>
      </c>
      <c r="F33">
        <f t="shared" si="3"/>
        <v>124.16234670027198</v>
      </c>
    </row>
    <row r="35" spans="1:6" x14ac:dyDescent="0.3">
      <c r="A35" t="s">
        <v>34</v>
      </c>
      <c r="B35" t="s">
        <v>35</v>
      </c>
      <c r="C35" t="s">
        <v>36</v>
      </c>
      <c r="D35" t="s">
        <v>47</v>
      </c>
    </row>
    <row r="36" spans="1:6" x14ac:dyDescent="0.3">
      <c r="A36" t="s">
        <v>37</v>
      </c>
      <c r="B36" t="s">
        <v>45</v>
      </c>
    </row>
    <row r="37" spans="1:6" x14ac:dyDescent="0.3">
      <c r="A37" t="s">
        <v>38</v>
      </c>
      <c r="B37">
        <v>120</v>
      </c>
      <c r="C37">
        <f>F24</f>
        <v>124.96755064850136</v>
      </c>
      <c r="D37">
        <f>C37</f>
        <v>124.96755064850136</v>
      </c>
    </row>
    <row r="38" spans="1:6" x14ac:dyDescent="0.3">
      <c r="A38" t="s">
        <v>39</v>
      </c>
      <c r="B38">
        <v>240</v>
      </c>
      <c r="C38">
        <f>F25</f>
        <v>125.61999059927453</v>
      </c>
      <c r="D38">
        <f>C38</f>
        <v>125.61999059927453</v>
      </c>
    </row>
    <row r="39" spans="1:6" x14ac:dyDescent="0.3">
      <c r="A39" t="s">
        <v>40</v>
      </c>
      <c r="B39" t="s">
        <v>159</v>
      </c>
      <c r="C39" t="s">
        <v>58</v>
      </c>
      <c r="D39">
        <f>10*LOG10(10^(F26/10)+10^(F27/10)+10^(F28/10))</f>
        <v>129.08100936864759</v>
      </c>
    </row>
    <row r="40" spans="1:6" x14ac:dyDescent="0.3">
      <c r="A40" t="s">
        <v>41</v>
      </c>
      <c r="B40" t="s">
        <v>160</v>
      </c>
      <c r="C40" t="s">
        <v>59</v>
      </c>
      <c r="D40">
        <f>10*LOG10(10^(F29/10)+10^(F30/10)+10^(F31/10)+10^(F32/10)+10^(F33/10))</f>
        <v>130.62789872792851</v>
      </c>
    </row>
    <row r="41" spans="1:6" x14ac:dyDescent="0.3">
      <c r="A41" t="s">
        <v>42</v>
      </c>
    </row>
    <row r="42" spans="1:6" x14ac:dyDescent="0.3">
      <c r="A42" t="s">
        <v>43</v>
      </c>
    </row>
    <row r="43" spans="1:6" x14ac:dyDescent="0.3">
      <c r="A43" t="s">
        <v>44</v>
      </c>
    </row>
    <row r="44" spans="1:6" x14ac:dyDescent="0.3">
      <c r="A44" t="s">
        <v>46</v>
      </c>
      <c r="D44">
        <f>10*LOG10(10^(D37/10)+10^(D38/10)+10^(D39/10)+10^(D40/10))</f>
        <v>134.22173389451973</v>
      </c>
    </row>
    <row r="46" spans="1:6" x14ac:dyDescent="0.3">
      <c r="A46" t="s">
        <v>48</v>
      </c>
    </row>
    <row r="47" spans="1:6" x14ac:dyDescent="0.3">
      <c r="A47" t="s">
        <v>18</v>
      </c>
      <c r="B47">
        <f>B15</f>
        <v>136</v>
      </c>
      <c r="C47" t="s">
        <v>19</v>
      </c>
    </row>
    <row r="48" spans="1:6" x14ac:dyDescent="0.3">
      <c r="A48" t="s">
        <v>20</v>
      </c>
      <c r="B48">
        <f>B16</f>
        <v>-3.5218251811136252</v>
      </c>
      <c r="C48" t="s">
        <v>19</v>
      </c>
    </row>
    <row r="49" spans="1:6" x14ac:dyDescent="0.3">
      <c r="A49" t="s">
        <v>21</v>
      </c>
      <c r="B49">
        <f>B17</f>
        <v>3.1981644184971074</v>
      </c>
      <c r="C49" t="s">
        <v>19</v>
      </c>
    </row>
    <row r="50" spans="1:6" x14ac:dyDescent="0.3">
      <c r="A50" t="s">
        <v>22</v>
      </c>
      <c r="B50">
        <f>B18</f>
        <v>4</v>
      </c>
      <c r="C50" t="s">
        <v>19</v>
      </c>
    </row>
    <row r="51" spans="1:6" x14ac:dyDescent="0.3">
      <c r="A51" t="s">
        <v>50</v>
      </c>
      <c r="B51">
        <v>8</v>
      </c>
      <c r="C51" t="s">
        <v>19</v>
      </c>
    </row>
    <row r="52" spans="1:6" x14ac:dyDescent="0.3">
      <c r="A52" t="s">
        <v>51</v>
      </c>
      <c r="B52">
        <f>-20*LOG10((B12/0.3048)-1)</f>
        <v>-63.378065786215778</v>
      </c>
      <c r="C52" t="s">
        <v>19</v>
      </c>
    </row>
    <row r="53" spans="1:6" x14ac:dyDescent="0.3">
      <c r="A53" t="s">
        <v>52</v>
      </c>
      <c r="B53">
        <f>SUM(B47:B52)</f>
        <v>84.298273451167688</v>
      </c>
      <c r="C53" t="s">
        <v>19</v>
      </c>
    </row>
    <row r="54" spans="1:6" x14ac:dyDescent="0.3">
      <c r="A54" t="s">
        <v>53</v>
      </c>
      <c r="B54">
        <f>B22</f>
        <v>120</v>
      </c>
    </row>
    <row r="55" spans="1:6" x14ac:dyDescent="0.3">
      <c r="A55" t="s">
        <v>29</v>
      </c>
      <c r="B55" t="s">
        <v>30</v>
      </c>
      <c r="C55" t="s">
        <v>32</v>
      </c>
      <c r="D55" t="s">
        <v>31</v>
      </c>
      <c r="E55" t="s">
        <v>62</v>
      </c>
      <c r="F55" t="s">
        <v>63</v>
      </c>
    </row>
    <row r="56" spans="1:6" x14ac:dyDescent="0.3">
      <c r="A56" t="s">
        <v>33</v>
      </c>
      <c r="B56">
        <f>B54</f>
        <v>120</v>
      </c>
      <c r="C56">
        <v>-2</v>
      </c>
      <c r="D56">
        <f>$B$53+C56</f>
        <v>82.298273451167688</v>
      </c>
      <c r="E56">
        <f>20*LOG((12194^2*B56^4)/((B56^2+20.6^2)*SQRT((B56^2+107.7^2)*(B56^2+737.9^2))*(B56^2+12194^2)))+2</f>
        <v>-16.708788588882115</v>
      </c>
      <c r="F56" s="1">
        <f>D56+E56</f>
        <v>65.589484862285573</v>
      </c>
    </row>
    <row r="57" spans="1:6" x14ac:dyDescent="0.3">
      <c r="A57">
        <v>2</v>
      </c>
      <c r="B57">
        <f t="shared" ref="B57:B65" si="4">$B$24*A57</f>
        <v>240</v>
      </c>
      <c r="C57">
        <v>-9</v>
      </c>
      <c r="D57">
        <f t="shared" ref="D57:D65" si="5">$B$53+C57</f>
        <v>75.298273451167688</v>
      </c>
      <c r="E57">
        <f>20*LOG((12194^2*B57^4)/((B57^2+20.6^2)*SQRT((B57^2+107.7^2)*(B57^2+737.9^2))*(B57^2+12194^2)))+2</f>
        <v>-9.0563486381089415</v>
      </c>
      <c r="F57" s="1">
        <f t="shared" ref="F57:F65" si="6">D57+E57</f>
        <v>66.241924813058745</v>
      </c>
    </row>
    <row r="58" spans="1:6" x14ac:dyDescent="0.3">
      <c r="A58">
        <v>3</v>
      </c>
      <c r="B58">
        <f t="shared" si="4"/>
        <v>360</v>
      </c>
      <c r="C58">
        <v>-13</v>
      </c>
      <c r="D58">
        <f t="shared" si="5"/>
        <v>71.298273451167688</v>
      </c>
      <c r="E58">
        <f t="shared" ref="E58:E65" si="7">20*LOG((12194^2*B58^4)/((B58^2+20.6^2)*SQRT((B58^2+107.7^2)*(B58^2+737.9^2))*(B58^2+12194^2)))+2</f>
        <v>-5.5694069500787933</v>
      </c>
      <c r="F58" s="1">
        <f t="shared" si="6"/>
        <v>65.728866501088902</v>
      </c>
    </row>
    <row r="59" spans="1:6" x14ac:dyDescent="0.3">
      <c r="A59">
        <v>4</v>
      </c>
      <c r="B59">
        <f t="shared" si="4"/>
        <v>480</v>
      </c>
      <c r="C59">
        <v>-16</v>
      </c>
      <c r="D59">
        <f t="shared" si="5"/>
        <v>68.298273451167688</v>
      </c>
      <c r="E59">
        <f t="shared" si="7"/>
        <v>-3.5103595418012183</v>
      </c>
      <c r="F59" s="1">
        <f t="shared" si="6"/>
        <v>64.787913909366466</v>
      </c>
    </row>
    <row r="60" spans="1:6" x14ac:dyDescent="0.3">
      <c r="A60">
        <v>5</v>
      </c>
      <c r="B60">
        <f t="shared" si="4"/>
        <v>600</v>
      </c>
      <c r="C60">
        <v>-18</v>
      </c>
      <c r="D60">
        <f t="shared" si="5"/>
        <v>66.298273451167688</v>
      </c>
      <c r="E60">
        <f t="shared" si="7"/>
        <v>-2.1700037836745878</v>
      </c>
      <c r="F60" s="1">
        <f t="shared" si="6"/>
        <v>64.1282696674931</v>
      </c>
    </row>
    <row r="61" spans="1:6" x14ac:dyDescent="0.3">
      <c r="A61">
        <v>6</v>
      </c>
      <c r="B61">
        <f t="shared" si="4"/>
        <v>720</v>
      </c>
      <c r="C61">
        <v>-19</v>
      </c>
      <c r="D61">
        <f t="shared" si="5"/>
        <v>65.298273451167688</v>
      </c>
      <c r="E61">
        <f t="shared" si="7"/>
        <v>-1.2516992457874556</v>
      </c>
      <c r="F61" s="1">
        <f t="shared" si="6"/>
        <v>64.046574205380239</v>
      </c>
    </row>
    <row r="62" spans="1:6" x14ac:dyDescent="0.3">
      <c r="A62">
        <v>7</v>
      </c>
      <c r="B62">
        <f t="shared" si="4"/>
        <v>840</v>
      </c>
      <c r="C62">
        <v>-20</v>
      </c>
      <c r="D62">
        <f t="shared" si="5"/>
        <v>64.298273451167688</v>
      </c>
      <c r="E62">
        <f t="shared" si="7"/>
        <v>-0.60100432461737086</v>
      </c>
      <c r="F62" s="1">
        <f t="shared" si="6"/>
        <v>63.697269126550317</v>
      </c>
    </row>
    <row r="63" spans="1:6" x14ac:dyDescent="0.3">
      <c r="A63">
        <v>8</v>
      </c>
      <c r="B63">
        <f t="shared" si="4"/>
        <v>960</v>
      </c>
      <c r="C63">
        <v>-20</v>
      </c>
      <c r="D63">
        <f t="shared" si="5"/>
        <v>64.298273451167688</v>
      </c>
      <c r="E63">
        <f t="shared" si="7"/>
        <v>-0.12818737507789324</v>
      </c>
      <c r="F63" s="1">
        <f t="shared" si="6"/>
        <v>64.170086076089788</v>
      </c>
    </row>
    <row r="64" spans="1:6" x14ac:dyDescent="0.3">
      <c r="A64">
        <v>9</v>
      </c>
      <c r="B64">
        <f t="shared" si="4"/>
        <v>1080</v>
      </c>
      <c r="C64">
        <v>-20</v>
      </c>
      <c r="D64">
        <f t="shared" si="5"/>
        <v>64.298273451167688</v>
      </c>
      <c r="E64">
        <f t="shared" si="7"/>
        <v>0.22223422970207096</v>
      </c>
      <c r="F64" s="1">
        <f t="shared" si="6"/>
        <v>64.520507680869756</v>
      </c>
    </row>
    <row r="65" spans="1:6" x14ac:dyDescent="0.3">
      <c r="A65">
        <v>10</v>
      </c>
      <c r="B65">
        <f t="shared" si="4"/>
        <v>1200</v>
      </c>
      <c r="C65">
        <v>-20</v>
      </c>
      <c r="D65">
        <f t="shared" si="5"/>
        <v>64.298273451167688</v>
      </c>
      <c r="E65">
        <f t="shared" si="7"/>
        <v>0.48600746288850472</v>
      </c>
      <c r="F65" s="1">
        <f t="shared" si="6"/>
        <v>64.784280914056197</v>
      </c>
    </row>
    <row r="67" spans="1:6" x14ac:dyDescent="0.3">
      <c r="A67" t="s">
        <v>34</v>
      </c>
      <c r="B67" t="s">
        <v>35</v>
      </c>
      <c r="C67" t="s">
        <v>36</v>
      </c>
      <c r="D67" t="s">
        <v>54</v>
      </c>
      <c r="E67" t="s">
        <v>47</v>
      </c>
      <c r="F67" t="s">
        <v>55</v>
      </c>
    </row>
    <row r="68" spans="1:6" x14ac:dyDescent="0.3">
      <c r="A68" t="s">
        <v>37</v>
      </c>
      <c r="B68" t="s">
        <v>45</v>
      </c>
      <c r="D68">
        <v>0</v>
      </c>
    </row>
    <row r="69" spans="1:6" x14ac:dyDescent="0.3">
      <c r="A69" t="s">
        <v>38</v>
      </c>
      <c r="B69">
        <f>B37</f>
        <v>120</v>
      </c>
      <c r="C69">
        <f>F56</f>
        <v>65.589484862285573</v>
      </c>
      <c r="D69">
        <f>-0.2*(B12/0.3048/1000)</f>
        <v>-0.29527559055118108</v>
      </c>
      <c r="E69">
        <f>C69</f>
        <v>65.589484862285573</v>
      </c>
      <c r="F69">
        <f>E69+D69</f>
        <v>65.294209271734388</v>
      </c>
    </row>
    <row r="70" spans="1:6" x14ac:dyDescent="0.3">
      <c r="A70" t="s">
        <v>39</v>
      </c>
      <c r="B70">
        <f>B38</f>
        <v>240</v>
      </c>
      <c r="C70">
        <f>F57</f>
        <v>66.241924813058745</v>
      </c>
      <c r="D70">
        <f>-0.7*(B12/0.3048/1000)</f>
        <v>-1.0334645669291336</v>
      </c>
      <c r="E70">
        <f>C70</f>
        <v>66.241924813058745</v>
      </c>
      <c r="F70">
        <f t="shared" ref="F70:F72" si="8">E70+D70</f>
        <v>65.208460246129604</v>
      </c>
    </row>
    <row r="71" spans="1:6" x14ac:dyDescent="0.3">
      <c r="A71" t="s">
        <v>40</v>
      </c>
      <c r="B71" t="s">
        <v>56</v>
      </c>
      <c r="C71" t="s">
        <v>60</v>
      </c>
      <c r="D71">
        <f>-1*(B12/0.3048/1000)</f>
        <v>-1.4763779527559053</v>
      </c>
      <c r="E71">
        <f>10*LOG10(10^(F58/10)+10^(F59/10)+10^(F60/10))</f>
        <v>69.702943582431786</v>
      </c>
      <c r="F71">
        <f t="shared" si="8"/>
        <v>68.226565629675875</v>
      </c>
    </row>
    <row r="72" spans="1:6" x14ac:dyDescent="0.3">
      <c r="A72" t="s">
        <v>41</v>
      </c>
      <c r="B72" t="s">
        <v>57</v>
      </c>
      <c r="C72" t="s">
        <v>61</v>
      </c>
      <c r="D72">
        <f>-1.9*(B12/0.3048/1000)</f>
        <v>-2.8051181102362199</v>
      </c>
      <c r="E72">
        <f>10*LOG10(10^(F61/10)+10^(F62/10)+10^(F63/10)+10^(F64/10)+10^(F65/10))</f>
        <v>71.249832941712711</v>
      </c>
      <c r="F72">
        <f t="shared" si="8"/>
        <v>68.444714831476489</v>
      </c>
    </row>
    <row r="73" spans="1:6" x14ac:dyDescent="0.3">
      <c r="A73" t="s">
        <v>42</v>
      </c>
      <c r="D73">
        <f>-3.4*(B12/0.3048/1000)</f>
        <v>-5.0196850393700778</v>
      </c>
    </row>
    <row r="74" spans="1:6" x14ac:dyDescent="0.3">
      <c r="A74" t="s">
        <v>43</v>
      </c>
      <c r="D74">
        <f>-6*(B12/0.3048/1000)</f>
        <v>-8.8582677165354315</v>
      </c>
    </row>
    <row r="75" spans="1:6" x14ac:dyDescent="0.3">
      <c r="A75" t="s">
        <v>44</v>
      </c>
      <c r="D75">
        <f>-11.7*(B12/0.3048/1000)</f>
        <v>-17.273622047244093</v>
      </c>
    </row>
    <row r="76" spans="1:6" x14ac:dyDescent="0.3">
      <c r="A76" t="s">
        <v>46</v>
      </c>
      <c r="E76">
        <f>10*LOG10(10^(E69/10)+10^(E70/10)+10^(E71/10)+10^(E72/10))</f>
        <v>74.843668108303902</v>
      </c>
      <c r="F76">
        <f>10*LOG10(10^(F69/10)+10^(F70/10)+10^(F71/10)+10^(F72/10))</f>
        <v>73.083312129622726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6"/>
  <sheetViews>
    <sheetView topLeftCell="A29" zoomScale="40" zoomScaleNormal="40" workbookViewId="0">
      <selection activeCell="D99" sqref="D99"/>
    </sheetView>
  </sheetViews>
  <sheetFormatPr defaultRowHeight="14.4" x14ac:dyDescent="0.3"/>
  <cols>
    <col min="1" max="1" width="35.109375" bestFit="1" customWidth="1"/>
    <col min="2" max="2" width="30" bestFit="1" customWidth="1"/>
    <col min="3" max="3" width="26.109375" bestFit="1" customWidth="1"/>
    <col min="4" max="4" width="20.109375" bestFit="1" customWidth="1"/>
    <col min="5" max="5" width="28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4</v>
      </c>
      <c r="B3">
        <v>1900</v>
      </c>
      <c r="C3" t="s">
        <v>5</v>
      </c>
    </row>
    <row r="4" spans="1:3" x14ac:dyDescent="0.3">
      <c r="A4" t="s">
        <v>6</v>
      </c>
      <c r="B4">
        <v>3.93</v>
      </c>
      <c r="C4" t="s">
        <v>7</v>
      </c>
    </row>
    <row r="5" spans="1:3" x14ac:dyDescent="0.3">
      <c r="A5" t="s">
        <v>9</v>
      </c>
      <c r="B5">
        <f>16*60</f>
        <v>960</v>
      </c>
      <c r="C5" t="s">
        <v>8</v>
      </c>
    </row>
    <row r="6" spans="1:3" x14ac:dyDescent="0.3">
      <c r="A6" t="s">
        <v>10</v>
      </c>
      <c r="B6">
        <v>322</v>
      </c>
      <c r="C6" t="s">
        <v>11</v>
      </c>
    </row>
    <row r="7" spans="1:3" x14ac:dyDescent="0.3">
      <c r="A7" t="s">
        <v>12</v>
      </c>
      <c r="B7">
        <f>1*0.3048</f>
        <v>0.30480000000000002</v>
      </c>
      <c r="C7" t="s">
        <v>7</v>
      </c>
    </row>
    <row r="8" spans="1:3" x14ac:dyDescent="0.3">
      <c r="A8" t="s">
        <v>13</v>
      </c>
      <c r="B8">
        <v>2</v>
      </c>
      <c r="C8" t="s">
        <v>14</v>
      </c>
    </row>
    <row r="9" spans="1:3" x14ac:dyDescent="0.3">
      <c r="A9" t="s">
        <v>15</v>
      </c>
      <c r="B9">
        <v>8</v>
      </c>
      <c r="C9" t="s">
        <v>14</v>
      </c>
    </row>
    <row r="10" spans="1:3" x14ac:dyDescent="0.3">
      <c r="A10" t="s">
        <v>16</v>
      </c>
      <c r="B10">
        <f>(PI()*B4*B5)/(B6*60)</f>
        <v>0.61348865235318706</v>
      </c>
      <c r="C10" t="s">
        <v>14</v>
      </c>
    </row>
    <row r="11" spans="1:3" x14ac:dyDescent="0.3">
      <c r="A11" t="s">
        <v>17</v>
      </c>
      <c r="B11">
        <f>83.4+15.3*LOG10(B3)-20*LOG10(B10)-3*(B9-2)+10*LOG10(B8)</f>
        <v>122.81909937062503</v>
      </c>
    </row>
    <row r="12" spans="1:3" x14ac:dyDescent="0.3">
      <c r="A12" t="s">
        <v>49</v>
      </c>
      <c r="B12">
        <v>450</v>
      </c>
      <c r="C12" t="s">
        <v>7</v>
      </c>
    </row>
    <row r="14" spans="1:3" x14ac:dyDescent="0.3">
      <c r="A14" t="s">
        <v>26</v>
      </c>
    </row>
    <row r="15" spans="1:3" x14ac:dyDescent="0.3">
      <c r="A15" t="s">
        <v>18</v>
      </c>
      <c r="B15">
        <v>136</v>
      </c>
      <c r="C15" t="s">
        <v>19</v>
      </c>
    </row>
    <row r="16" spans="1:3" x14ac:dyDescent="0.3">
      <c r="A16" t="s">
        <v>20</v>
      </c>
      <c r="B16">
        <f>20*LOG10(4/B9)</f>
        <v>-6.0205999132796242</v>
      </c>
      <c r="C16" t="s">
        <v>19</v>
      </c>
    </row>
    <row r="17" spans="1:6" x14ac:dyDescent="0.3">
      <c r="A17" t="s">
        <v>21</v>
      </c>
      <c r="B17">
        <f>40*LOG10(15.5/(B4/0.3048))</f>
        <v>3.1981644184971074</v>
      </c>
      <c r="C17" t="s">
        <v>19</v>
      </c>
    </row>
    <row r="18" spans="1:6" x14ac:dyDescent="0.3">
      <c r="A18" t="s">
        <v>22</v>
      </c>
      <c r="B18">
        <v>-2</v>
      </c>
      <c r="C18" t="s">
        <v>19</v>
      </c>
    </row>
    <row r="19" spans="1:6" x14ac:dyDescent="0.3">
      <c r="A19" t="s">
        <v>23</v>
      </c>
      <c r="B19">
        <v>0</v>
      </c>
      <c r="C19" t="s">
        <v>19</v>
      </c>
    </row>
    <row r="20" spans="1:6" x14ac:dyDescent="0.3">
      <c r="A20" t="s">
        <v>24</v>
      </c>
      <c r="B20">
        <v>4</v>
      </c>
      <c r="C20" t="s">
        <v>19</v>
      </c>
    </row>
    <row r="21" spans="1:6" x14ac:dyDescent="0.3">
      <c r="A21" t="s">
        <v>25</v>
      </c>
      <c r="B21">
        <f>SUM(B15:B20)</f>
        <v>135.17756450521748</v>
      </c>
      <c r="C21" t="s">
        <v>19</v>
      </c>
    </row>
    <row r="22" spans="1:6" x14ac:dyDescent="0.3">
      <c r="A22" t="s">
        <v>28</v>
      </c>
      <c r="B22">
        <f>B9*B5/60</f>
        <v>128</v>
      </c>
      <c r="C22" t="s">
        <v>27</v>
      </c>
    </row>
    <row r="23" spans="1:6" x14ac:dyDescent="0.3">
      <c r="A23" t="s">
        <v>29</v>
      </c>
      <c r="B23" t="s">
        <v>30</v>
      </c>
      <c r="C23" t="s">
        <v>32</v>
      </c>
      <c r="D23" t="s">
        <v>31</v>
      </c>
      <c r="E23" t="s">
        <v>62</v>
      </c>
      <c r="F23" t="s">
        <v>63</v>
      </c>
    </row>
    <row r="24" spans="1:6" x14ac:dyDescent="0.3">
      <c r="A24" t="s">
        <v>33</v>
      </c>
      <c r="B24">
        <f>B22</f>
        <v>128</v>
      </c>
      <c r="C24">
        <v>-2</v>
      </c>
      <c r="D24">
        <f t="shared" ref="D24:D33" si="0">$B$21+C24</f>
        <v>133.17756450521748</v>
      </c>
      <c r="E24">
        <f>20*LOG((12194^2*B24^4)/((B24^2+20.6^2)*SQRT((B24^2+107.7^2)*(B24^2+737.9^2))*(B24^2+12194^2)))+2</f>
        <v>-15.892356712994378</v>
      </c>
      <c r="F24">
        <f>D24+E24</f>
        <v>117.2852077922231</v>
      </c>
    </row>
    <row r="25" spans="1:6" x14ac:dyDescent="0.3">
      <c r="A25">
        <v>2</v>
      </c>
      <c r="B25">
        <f t="shared" ref="B25:B33" si="1">$B$24*A25</f>
        <v>256</v>
      </c>
      <c r="C25">
        <v>-9</v>
      </c>
      <c r="D25">
        <f t="shared" si="0"/>
        <v>126.17756450521748</v>
      </c>
      <c r="E25">
        <f t="shared" ref="E25:E33" si="2">20*LOG((12194^2*B25^4)/((B25^2+20.6^2)*SQRT((B25^2+107.7^2)*(B25^2+737.9^2))*(B25^2+12194^2)))+2</f>
        <v>-8.4563507971768317</v>
      </c>
      <c r="F25">
        <f t="shared" ref="F25:F33" si="3">D25+E25</f>
        <v>117.72121370804064</v>
      </c>
    </row>
    <row r="26" spans="1:6" x14ac:dyDescent="0.3">
      <c r="A26">
        <v>3</v>
      </c>
      <c r="B26">
        <f t="shared" si="1"/>
        <v>384</v>
      </c>
      <c r="C26">
        <v>-13</v>
      </c>
      <c r="D26">
        <f t="shared" si="0"/>
        <v>122.17756450521748</v>
      </c>
      <c r="E26">
        <f t="shared" si="2"/>
        <v>-5.0765647999854542</v>
      </c>
      <c r="F26">
        <f t="shared" si="3"/>
        <v>117.10099970523203</v>
      </c>
    </row>
    <row r="27" spans="1:6" x14ac:dyDescent="0.3">
      <c r="A27">
        <v>4</v>
      </c>
      <c r="B27">
        <f t="shared" si="1"/>
        <v>512</v>
      </c>
      <c r="C27">
        <v>-16</v>
      </c>
      <c r="D27">
        <f t="shared" si="0"/>
        <v>119.17756450521748</v>
      </c>
      <c r="E27">
        <f t="shared" si="2"/>
        <v>-3.0987851008171141</v>
      </c>
      <c r="F27">
        <f t="shared" si="3"/>
        <v>116.07877940440036</v>
      </c>
    </row>
    <row r="28" spans="1:6" x14ac:dyDescent="0.3">
      <c r="A28">
        <v>5</v>
      </c>
      <c r="B28">
        <f t="shared" si="1"/>
        <v>640</v>
      </c>
      <c r="C28">
        <v>-18</v>
      </c>
      <c r="D28">
        <f t="shared" si="0"/>
        <v>117.17756450521748</v>
      </c>
      <c r="E28">
        <f t="shared" si="2"/>
        <v>-1.8264879451909604</v>
      </c>
      <c r="F28">
        <f t="shared" si="3"/>
        <v>115.35107656002651</v>
      </c>
    </row>
    <row r="29" spans="1:6" x14ac:dyDescent="0.3">
      <c r="A29">
        <v>6</v>
      </c>
      <c r="B29">
        <f t="shared" si="1"/>
        <v>768</v>
      </c>
      <c r="C29">
        <v>-19</v>
      </c>
      <c r="D29">
        <f t="shared" si="0"/>
        <v>116.17756450521748</v>
      </c>
      <c r="E29">
        <f t="shared" si="2"/>
        <v>-0.96534428338692324</v>
      </c>
      <c r="F29">
        <f t="shared" si="3"/>
        <v>115.21222022183055</v>
      </c>
    </row>
    <row r="30" spans="1:6" x14ac:dyDescent="0.3">
      <c r="A30">
        <v>7</v>
      </c>
      <c r="B30">
        <f t="shared" si="1"/>
        <v>896</v>
      </c>
      <c r="C30">
        <v>-20</v>
      </c>
      <c r="D30">
        <f t="shared" si="0"/>
        <v>115.17756450521748</v>
      </c>
      <c r="E30">
        <f t="shared" si="2"/>
        <v>-0.36218204194424786</v>
      </c>
      <c r="F30">
        <f t="shared" si="3"/>
        <v>114.81538246327322</v>
      </c>
    </row>
    <row r="31" spans="1:6" x14ac:dyDescent="0.3">
      <c r="A31">
        <v>8</v>
      </c>
      <c r="B31">
        <f t="shared" si="1"/>
        <v>1024</v>
      </c>
      <c r="C31">
        <v>-20</v>
      </c>
      <c r="D31">
        <f t="shared" si="0"/>
        <v>115.17756450521748</v>
      </c>
      <c r="E31">
        <f t="shared" si="2"/>
        <v>7.1314589046723498E-2</v>
      </c>
      <c r="F31">
        <f t="shared" si="3"/>
        <v>115.2488790942642</v>
      </c>
    </row>
    <row r="32" spans="1:6" x14ac:dyDescent="0.3">
      <c r="A32">
        <v>9</v>
      </c>
      <c r="B32">
        <f t="shared" si="1"/>
        <v>1152</v>
      </c>
      <c r="C32">
        <v>-20</v>
      </c>
      <c r="D32">
        <f t="shared" si="0"/>
        <v>115.17756450521748</v>
      </c>
      <c r="E32">
        <f t="shared" si="2"/>
        <v>0.38916910981118269</v>
      </c>
      <c r="F32">
        <f t="shared" si="3"/>
        <v>115.56673361502865</v>
      </c>
    </row>
    <row r="33" spans="1:6" x14ac:dyDescent="0.3">
      <c r="A33">
        <v>10</v>
      </c>
      <c r="B33">
        <f t="shared" si="1"/>
        <v>1280</v>
      </c>
      <c r="C33">
        <v>-20</v>
      </c>
      <c r="D33">
        <f t="shared" si="0"/>
        <v>115.17756450521748</v>
      </c>
      <c r="E33">
        <f t="shared" si="2"/>
        <v>0.62579735717715734</v>
      </c>
      <c r="F33">
        <f t="shared" si="3"/>
        <v>115.80336186239464</v>
      </c>
    </row>
    <row r="35" spans="1:6" x14ac:dyDescent="0.3">
      <c r="A35" t="s">
        <v>34</v>
      </c>
      <c r="B35" t="s">
        <v>35</v>
      </c>
      <c r="C35" t="s">
        <v>36</v>
      </c>
      <c r="D35" t="s">
        <v>47</v>
      </c>
    </row>
    <row r="36" spans="1:6" x14ac:dyDescent="0.3">
      <c r="A36" t="s">
        <v>37</v>
      </c>
      <c r="B36" t="s">
        <v>45</v>
      </c>
    </row>
    <row r="37" spans="1:6" x14ac:dyDescent="0.3">
      <c r="A37" t="s">
        <v>38</v>
      </c>
      <c r="B37">
        <v>128</v>
      </c>
      <c r="C37">
        <f>F24</f>
        <v>117.2852077922231</v>
      </c>
      <c r="D37">
        <f>C37</f>
        <v>117.2852077922231</v>
      </c>
    </row>
    <row r="38" spans="1:6" x14ac:dyDescent="0.3">
      <c r="A38" t="s">
        <v>39</v>
      </c>
      <c r="B38">
        <v>256</v>
      </c>
      <c r="C38">
        <f>F25</f>
        <v>117.72121370804064</v>
      </c>
      <c r="D38">
        <f>C38</f>
        <v>117.72121370804064</v>
      </c>
    </row>
    <row r="39" spans="1:6" x14ac:dyDescent="0.3">
      <c r="A39" t="s">
        <v>40</v>
      </c>
      <c r="B39" t="s">
        <v>64</v>
      </c>
      <c r="C39" t="s">
        <v>58</v>
      </c>
      <c r="D39">
        <f>10*LOG10(10^(F26/10)+10^(F27/10)+10^(F28/10))</f>
        <v>121.00793190744994</v>
      </c>
    </row>
    <row r="40" spans="1:6" x14ac:dyDescent="0.3">
      <c r="A40" t="s">
        <v>41</v>
      </c>
      <c r="B40" t="s">
        <v>65</v>
      </c>
      <c r="C40" t="s">
        <v>59</v>
      </c>
      <c r="D40">
        <f>10*LOG10(10^(F29/10)+10^(F30/10)+10^(F31/10)+10^(F32/10)+10^(F33/10))</f>
        <v>122.33199559246671</v>
      </c>
    </row>
    <row r="41" spans="1:6" x14ac:dyDescent="0.3">
      <c r="A41" t="s">
        <v>42</v>
      </c>
    </row>
    <row r="42" spans="1:6" x14ac:dyDescent="0.3">
      <c r="A42" t="s">
        <v>43</v>
      </c>
    </row>
    <row r="43" spans="1:6" x14ac:dyDescent="0.3">
      <c r="A43" t="s">
        <v>44</v>
      </c>
    </row>
    <row r="44" spans="1:6" x14ac:dyDescent="0.3">
      <c r="A44" t="s">
        <v>46</v>
      </c>
      <c r="D44">
        <f>10*LOG10(10^(D37/10)+10^(D38/10)+10^(D39/10)+10^(D40/10))</f>
        <v>126.12673764099425</v>
      </c>
    </row>
    <row r="46" spans="1:6" x14ac:dyDescent="0.3">
      <c r="A46" t="s">
        <v>48</v>
      </c>
    </row>
    <row r="47" spans="1:6" x14ac:dyDescent="0.3">
      <c r="A47" t="s">
        <v>18</v>
      </c>
      <c r="B47">
        <f>B15</f>
        <v>136</v>
      </c>
      <c r="C47" t="s">
        <v>19</v>
      </c>
    </row>
    <row r="48" spans="1:6" x14ac:dyDescent="0.3">
      <c r="A48" t="s">
        <v>20</v>
      </c>
      <c r="B48">
        <f>B16</f>
        <v>-6.0205999132796242</v>
      </c>
      <c r="C48" t="s">
        <v>19</v>
      </c>
    </row>
    <row r="49" spans="1:6" x14ac:dyDescent="0.3">
      <c r="A49" t="s">
        <v>21</v>
      </c>
      <c r="B49">
        <f>B17</f>
        <v>3.1981644184971074</v>
      </c>
      <c r="C49" t="s">
        <v>19</v>
      </c>
    </row>
    <row r="50" spans="1:6" x14ac:dyDescent="0.3">
      <c r="A50" t="s">
        <v>22</v>
      </c>
      <c r="B50">
        <f>B18</f>
        <v>-2</v>
      </c>
      <c r="C50" t="s">
        <v>19</v>
      </c>
    </row>
    <row r="51" spans="1:6" x14ac:dyDescent="0.3">
      <c r="A51" t="s">
        <v>50</v>
      </c>
      <c r="B51">
        <v>6</v>
      </c>
      <c r="C51" t="s">
        <v>19</v>
      </c>
    </row>
    <row r="52" spans="1:6" x14ac:dyDescent="0.3">
      <c r="A52" t="s">
        <v>51</v>
      </c>
      <c r="B52">
        <f>-20*LOG10((B12/0.3048)-1)</f>
        <v>-63.378065786215778</v>
      </c>
      <c r="C52" t="s">
        <v>19</v>
      </c>
    </row>
    <row r="53" spans="1:6" x14ac:dyDescent="0.3">
      <c r="A53" t="s">
        <v>52</v>
      </c>
      <c r="B53">
        <f>SUM(B47:B52)</f>
        <v>73.79949871900169</v>
      </c>
      <c r="C53" t="s">
        <v>19</v>
      </c>
    </row>
    <row r="54" spans="1:6" x14ac:dyDescent="0.3">
      <c r="A54" t="s">
        <v>53</v>
      </c>
      <c r="B54">
        <f>B22</f>
        <v>128</v>
      </c>
    </row>
    <row r="55" spans="1:6" x14ac:dyDescent="0.3">
      <c r="A55" t="s">
        <v>29</v>
      </c>
      <c r="B55" t="s">
        <v>30</v>
      </c>
      <c r="C55" t="s">
        <v>32</v>
      </c>
      <c r="D55" t="s">
        <v>31</v>
      </c>
      <c r="E55" t="s">
        <v>62</v>
      </c>
      <c r="F55" t="s">
        <v>63</v>
      </c>
    </row>
    <row r="56" spans="1:6" x14ac:dyDescent="0.3">
      <c r="A56" t="s">
        <v>33</v>
      </c>
      <c r="B56">
        <f>B54</f>
        <v>128</v>
      </c>
      <c r="C56">
        <v>-2</v>
      </c>
      <c r="D56">
        <f>$B$53+C56</f>
        <v>71.79949871900169</v>
      </c>
      <c r="E56">
        <f>20*LOG((12194^2*B56^4)/((B56^2+20.6^2)*SQRT((B56^2+107.7^2)*(B56^2+737.9^2))*(B56^2+12194^2)))+2</f>
        <v>-15.892356712994378</v>
      </c>
      <c r="F56">
        <f>D56+E56</f>
        <v>55.907142006007312</v>
      </c>
    </row>
    <row r="57" spans="1:6" x14ac:dyDescent="0.3">
      <c r="A57">
        <v>2</v>
      </c>
      <c r="B57">
        <f t="shared" ref="B57:B65" si="4">$B$24*A57</f>
        <v>256</v>
      </c>
      <c r="C57">
        <v>-9</v>
      </c>
      <c r="D57">
        <f t="shared" ref="D57:D65" si="5">$B$53+C57</f>
        <v>64.79949871900169</v>
      </c>
      <c r="E57">
        <f t="shared" ref="E57:E65" si="6">20*LOG((12194^2*B57^4)/((B57^2+20.6^2)*SQRT((B57^2+107.7^2)*(B57^2+737.9^2))*(B57^2+12194^2)))+2</f>
        <v>-8.4563507971768317</v>
      </c>
      <c r="F57">
        <f t="shared" ref="F57:F65" si="7">D57+E57</f>
        <v>56.343147921824858</v>
      </c>
    </row>
    <row r="58" spans="1:6" x14ac:dyDescent="0.3">
      <c r="A58">
        <v>3</v>
      </c>
      <c r="B58">
        <f t="shared" si="4"/>
        <v>384</v>
      </c>
      <c r="C58">
        <v>-13</v>
      </c>
      <c r="D58">
        <f t="shared" si="5"/>
        <v>60.79949871900169</v>
      </c>
      <c r="E58">
        <f t="shared" si="6"/>
        <v>-5.0765647999854542</v>
      </c>
      <c r="F58">
        <f t="shared" si="7"/>
        <v>55.722933919016235</v>
      </c>
    </row>
    <row r="59" spans="1:6" x14ac:dyDescent="0.3">
      <c r="A59">
        <v>4</v>
      </c>
      <c r="B59">
        <f t="shared" si="4"/>
        <v>512</v>
      </c>
      <c r="C59">
        <v>-16</v>
      </c>
      <c r="D59">
        <f t="shared" si="5"/>
        <v>57.79949871900169</v>
      </c>
      <c r="E59">
        <f t="shared" si="6"/>
        <v>-3.0987851008171141</v>
      </c>
      <c r="F59">
        <f t="shared" si="7"/>
        <v>54.700713618184579</v>
      </c>
    </row>
    <row r="60" spans="1:6" x14ac:dyDescent="0.3">
      <c r="A60">
        <v>5</v>
      </c>
      <c r="B60">
        <f t="shared" si="4"/>
        <v>640</v>
      </c>
      <c r="C60">
        <v>-18</v>
      </c>
      <c r="D60">
        <f t="shared" si="5"/>
        <v>55.79949871900169</v>
      </c>
      <c r="E60">
        <f t="shared" si="6"/>
        <v>-1.8264879451909604</v>
      </c>
      <c r="F60">
        <f t="shared" si="7"/>
        <v>53.973010773810728</v>
      </c>
    </row>
    <row r="61" spans="1:6" x14ac:dyDescent="0.3">
      <c r="A61">
        <v>6</v>
      </c>
      <c r="B61">
        <f t="shared" si="4"/>
        <v>768</v>
      </c>
      <c r="C61">
        <v>-19</v>
      </c>
      <c r="D61">
        <f t="shared" si="5"/>
        <v>54.79949871900169</v>
      </c>
      <c r="E61">
        <f t="shared" si="6"/>
        <v>-0.96534428338692324</v>
      </c>
      <c r="F61">
        <f t="shared" si="7"/>
        <v>53.834154435614764</v>
      </c>
    </row>
    <row r="62" spans="1:6" x14ac:dyDescent="0.3">
      <c r="A62">
        <v>7</v>
      </c>
      <c r="B62">
        <f t="shared" si="4"/>
        <v>896</v>
      </c>
      <c r="C62">
        <v>-20</v>
      </c>
      <c r="D62">
        <f t="shared" si="5"/>
        <v>53.79949871900169</v>
      </c>
      <c r="E62">
        <f t="shared" si="6"/>
        <v>-0.36218204194424786</v>
      </c>
      <c r="F62">
        <f t="shared" si="7"/>
        <v>53.437316677057439</v>
      </c>
    </row>
    <row r="63" spans="1:6" x14ac:dyDescent="0.3">
      <c r="A63">
        <v>8</v>
      </c>
      <c r="B63">
        <f t="shared" si="4"/>
        <v>1024</v>
      </c>
      <c r="C63">
        <v>-20</v>
      </c>
      <c r="D63">
        <f t="shared" si="5"/>
        <v>53.79949871900169</v>
      </c>
      <c r="E63">
        <f t="shared" si="6"/>
        <v>7.1314589046723498E-2</v>
      </c>
      <c r="F63">
        <f t="shared" si="7"/>
        <v>53.870813308048412</v>
      </c>
    </row>
    <row r="64" spans="1:6" x14ac:dyDescent="0.3">
      <c r="A64">
        <v>9</v>
      </c>
      <c r="B64">
        <f t="shared" si="4"/>
        <v>1152</v>
      </c>
      <c r="C64">
        <v>-20</v>
      </c>
      <c r="D64">
        <f t="shared" si="5"/>
        <v>53.79949871900169</v>
      </c>
      <c r="E64">
        <f t="shared" si="6"/>
        <v>0.38916910981118269</v>
      </c>
      <c r="F64">
        <f t="shared" si="7"/>
        <v>54.188667828812875</v>
      </c>
    </row>
    <row r="65" spans="1:6" x14ac:dyDescent="0.3">
      <c r="A65">
        <v>10</v>
      </c>
      <c r="B65">
        <f t="shared" si="4"/>
        <v>1280</v>
      </c>
      <c r="C65">
        <v>-20</v>
      </c>
      <c r="D65">
        <f t="shared" si="5"/>
        <v>53.79949871900169</v>
      </c>
      <c r="E65">
        <f t="shared" si="6"/>
        <v>0.62579735717715734</v>
      </c>
      <c r="F65">
        <f t="shared" si="7"/>
        <v>54.425296076178846</v>
      </c>
    </row>
    <row r="67" spans="1:6" x14ac:dyDescent="0.3">
      <c r="A67" t="s">
        <v>34</v>
      </c>
      <c r="B67" t="s">
        <v>35</v>
      </c>
      <c r="C67" t="s">
        <v>36</v>
      </c>
      <c r="D67" t="s">
        <v>54</v>
      </c>
      <c r="E67" t="s">
        <v>47</v>
      </c>
      <c r="F67" t="s">
        <v>55</v>
      </c>
    </row>
    <row r="68" spans="1:6" x14ac:dyDescent="0.3">
      <c r="A68" t="s">
        <v>37</v>
      </c>
      <c r="B68" t="s">
        <v>45</v>
      </c>
      <c r="D68">
        <v>0</v>
      </c>
    </row>
    <row r="69" spans="1:6" x14ac:dyDescent="0.3">
      <c r="A69" t="s">
        <v>38</v>
      </c>
      <c r="B69">
        <f>B37</f>
        <v>128</v>
      </c>
      <c r="C69">
        <f>F56</f>
        <v>55.907142006007312</v>
      </c>
      <c r="D69">
        <f>-0.2*(B12/0.3048/1000)</f>
        <v>-0.29527559055118108</v>
      </c>
      <c r="E69">
        <f>C69</f>
        <v>55.907142006007312</v>
      </c>
      <c r="F69">
        <f>E69+D69</f>
        <v>55.611866415456134</v>
      </c>
    </row>
    <row r="70" spans="1:6" x14ac:dyDescent="0.3">
      <c r="A70" t="s">
        <v>39</v>
      </c>
      <c r="B70">
        <f>B38</f>
        <v>256</v>
      </c>
      <c r="C70">
        <f>F57</f>
        <v>56.343147921824858</v>
      </c>
      <c r="D70">
        <f>-0.7*(B12/0.3048/1000)</f>
        <v>-1.0334645669291336</v>
      </c>
      <c r="E70">
        <f>C70</f>
        <v>56.343147921824858</v>
      </c>
      <c r="F70">
        <f t="shared" ref="F70:F72" si="8">E70+D70</f>
        <v>55.309683354895725</v>
      </c>
    </row>
    <row r="71" spans="1:6" x14ac:dyDescent="0.3">
      <c r="A71" t="s">
        <v>40</v>
      </c>
      <c r="B71" t="s">
        <v>56</v>
      </c>
      <c r="C71" t="s">
        <v>60</v>
      </c>
      <c r="D71">
        <f>-1*(B12/0.3048/1000)</f>
        <v>-1.4763779527559053</v>
      </c>
      <c r="E71">
        <f>10*LOG10(10^(F58/10)+10^(F59/10)+10^(F60/10))</f>
        <v>59.629866121234151</v>
      </c>
      <c r="F71">
        <f t="shared" si="8"/>
        <v>58.153488168478248</v>
      </c>
    </row>
    <row r="72" spans="1:6" x14ac:dyDescent="0.3">
      <c r="A72" t="s">
        <v>41</v>
      </c>
      <c r="B72" t="s">
        <v>57</v>
      </c>
      <c r="C72" t="s">
        <v>61</v>
      </c>
      <c r="D72">
        <f>-1.9*(B12/0.3048/1000)</f>
        <v>-2.8051181102362199</v>
      </c>
      <c r="E72">
        <f>10*LOG10(10^(F61/10)+10^(F62/10)+10^(F63/10)+10^(F64/10)+10^(F65/10))</f>
        <v>60.953929806250926</v>
      </c>
      <c r="F72">
        <f t="shared" si="8"/>
        <v>58.148811696014704</v>
      </c>
    </row>
    <row r="73" spans="1:6" x14ac:dyDescent="0.3">
      <c r="A73" t="s">
        <v>42</v>
      </c>
      <c r="D73">
        <f>-3.4*(B12/0.3048/1000)</f>
        <v>-5.0196850393700778</v>
      </c>
    </row>
    <row r="74" spans="1:6" x14ac:dyDescent="0.3">
      <c r="A74" t="s">
        <v>43</v>
      </c>
      <c r="D74">
        <f>-6*(B12/0.3048/1000)</f>
        <v>-8.8582677165354315</v>
      </c>
    </row>
    <row r="75" spans="1:6" x14ac:dyDescent="0.3">
      <c r="A75" t="s">
        <v>44</v>
      </c>
      <c r="D75">
        <f>-11.7*(B12/0.3048/1000)</f>
        <v>-17.273622047244093</v>
      </c>
    </row>
    <row r="76" spans="1:6" x14ac:dyDescent="0.3">
      <c r="A76" t="s">
        <v>46</v>
      </c>
      <c r="E76">
        <f>10*LOG10(10^(E69/10)+10^(E70/10)+10^(E71/10)+10^(E72/10))</f>
        <v>64.748671854778451</v>
      </c>
      <c r="F76">
        <f>10*LOG10(10^(F69/10)+10^(F70/10)+10^(F71/10)+10^(F72/10))</f>
        <v>63.032563771602305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8"/>
  <sheetViews>
    <sheetView topLeftCell="I1" zoomScale="85" zoomScaleNormal="85" workbookViewId="0">
      <selection activeCell="M6" sqref="M6:AB34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0.2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3.6285761848920237E-3</v>
      </c>
      <c r="O7" s="1">
        <f>10*LOG10((($B$12*$B$9*$F$11*$F$14*(0.613*(10*N7)^4*((10*N7)^1.5+0.5)^-4))/(4*PI()*$B$15^2*(1-$B$7*COS($B$14))))/$B$17^2)</f>
        <v>19.902671250617097</v>
      </c>
      <c r="P7">
        <f>(M7*$H$10)*(1-$B$7*COS($B$14))/($B$7*$B$9)</f>
        <v>2.2581231851290877E-4</v>
      </c>
      <c r="Q7" s="1">
        <f>10*LOG10((($B$12*$B$9*$H$16*$H$15*(0.613*(10*P7)^4*((10*P7)^1.5+0.5)^-4))/(4*PI()*$B$15^2*(1-$B$7*COS($B$14))^4))/$B$17^2)</f>
        <v>-33.859435580867448</v>
      </c>
      <c r="R7">
        <f>(M7*$J$10)*(1-$B$7*COS($B$14))/($B$7*$B$9)</f>
        <v>7.5302604444975048E-5</v>
      </c>
      <c r="S7" s="1">
        <f>10*LOG10((($B$12*$B$9*$J$16*$J$15*(0.613*(10*R7)^4*((10*R7)^1.5+0.5)^-4))/(4*PI()*$B$15^2*(1-$B$7*COS($B$14))^4))/$B$17^2)</f>
        <v>-94.505571081600721</v>
      </c>
      <c r="T7">
        <f>(M7*$F$25)*(1-$B$7*COS($B$14))/($B$7*$B$9)</f>
        <v>0.20008912655971484</v>
      </c>
      <c r="U7" s="1">
        <f>10*LOG10((($B$12*$B$9*$F$32*$F$31*(0.1406*T7^-0.55))/(4*PI()*$B$15^2*(1-$B$7*COS($B$14))^2))/$B$17^2)</f>
        <v>69.969242155307441</v>
      </c>
      <c r="V7">
        <f>(M7*$F$25)*(1-$B$7*COS($B$14))/($B$7*$B$9)</f>
        <v>0.20008912655971484</v>
      </c>
      <c r="W7" s="1">
        <f>10*LOG10((($B$12*$B$9*$H$31*$H$30*(13.59*V7^2*(V7^2+12.5)^-2.25))/(4*PI()*$B$15^2*(1-$B$7*COS($B$14))^4))/$B$17^2)</f>
        <v>11.306776932967043</v>
      </c>
      <c r="X7">
        <f>(M7*$J$27)*(1-$B$7*COS($B$14))/($B$7*$B$9)</f>
        <v>8.8235294117647065E-2</v>
      </c>
      <c r="Y7" s="1">
        <f>10*LOG10((($B$12*$B$9*$F$32*$F$31*(13.59*X7^2*(X7^2+12.5)^-2.25))/(4*PI()*$B$15^2*(1-$B$7*COS($B$14))^2))/$B$17^2)</f>
        <v>40.204599923773017</v>
      </c>
      <c r="Z7">
        <f>(M7*$F$42)*(1-$B$7*COS($B$14))/($B$7*$B$9)</f>
        <v>1.4705882352941176E-2</v>
      </c>
      <c r="AA7">
        <f>10*LOG10((($B$12*$B$9*$F$46*$F$45*(5.325*(30+Z7^8)^-1))/(4*PI()*$B$15^2*(1-$B$7*COS($B$14))^2))/$B$17^2)</f>
        <v>10.739930490368717</v>
      </c>
      <c r="AB7" s="1">
        <f>10*LOG10(10^(O7/10)+10^(Q7/10)+10^(S7/10)+10^(U7/10)+10^(W7/10)+10^(Y7/10)+10^(AA7/10))</f>
        <v>69.973878341134466</v>
      </c>
      <c r="AC7">
        <f>20*LOG((12194^2*M7^4)/((M7^2+20.6^2)*SQRT((M7^2+107.7^2)*(M7^2+737.9^2))*(M7^2+12194^2)))+2</f>
        <v>-70.434939741819917</v>
      </c>
      <c r="AD7">
        <f>AB7+AC7</f>
        <v>-0.46106140068545187</v>
      </c>
    </row>
    <row r="8" spans="1:30" x14ac:dyDescent="0.3">
      <c r="A8" t="s">
        <v>73</v>
      </c>
      <c r="B8">
        <v>49.29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7.2571523697840474E-3</v>
      </c>
      <c r="O8" s="1">
        <f t="shared" ref="O8:O37" si="1">10*LOG10((($B$12*$B$9*$F$11*$F$14*(0.613*(10*N8)^4*((10*N8)^1.5+0.5)^-4))/(4*PI()*$B$15^2*(1-$B$7*COS($B$14))))/$B$17^2)</f>
        <v>31.516076436844319</v>
      </c>
      <c r="P8">
        <f t="shared" ref="P8:P37" si="2">(M8*$H$10)*(1-$B$7*COS($B$14))/($B$7*$B$9)</f>
        <v>4.5162463702581754E-4</v>
      </c>
      <c r="Q8" s="1">
        <f t="shared" ref="Q8:Q33" si="3">10*LOG10((($B$12*$B$9*$H$16*$H$15*(0.613*(10*P8)^4*((10*P8)^1.5+0.5)^-4))/(4*PI()*$B$15^2*(1-$B$7*COS($B$14))^4))/$B$17^2)</f>
        <v>-21.825049642890114</v>
      </c>
      <c r="R8">
        <f t="shared" ref="R8:R37" si="4">(M8*$J$10)*(1-$B$7*COS($B$14))/($B$7*$B$9)</f>
        <v>1.506052088899501E-4</v>
      </c>
      <c r="S8" s="1">
        <f t="shared" ref="S8:S37" si="5">10*LOG10((($B$12*$B$9*$J$16*$J$15*(0.613*(10*R8)^4*((10*R8)^1.5+0.5)^-4))/(4*PI()*$B$15^2*(1-$B$7*COS($B$14))^4))/$B$17^2)</f>
        <v>-82.465683855626978</v>
      </c>
      <c r="T8">
        <f t="shared" ref="T8:T37" si="6">(M8*$F$25)*(1-$B$7*COS($B$14))/($B$7*$B$9)</f>
        <v>0.40017825311942967</v>
      </c>
      <c r="U8" s="1">
        <f t="shared" ref="U8:U37" si="7">10*LOG10((($B$12*$B$9*$F$32*$F$31*(0.1406*T8^-0.55))/(4*PI()*$B$15^2*(1-$B$7*COS($B$14))^2))/$B$17^2)</f>
        <v>68.313577179155544</v>
      </c>
      <c r="V8">
        <f t="shared" ref="V8:V37" si="8">(M8*$F$25)*(1-$B$7*COS($B$14))/($B$7*$B$9)</f>
        <v>0.40017825311942967</v>
      </c>
      <c r="W8" s="1">
        <f t="shared" ref="W8:W37" si="9">10*LOG10((($B$12*$B$9*$H$31*$H$30*(13.59*V8^2*(V8^2+12.5)^-2.25))/(4*PI()*$B$15^2*(1-$B$7*COS($B$14))^4))/$B$17^2)</f>
        <v>17.234230734269978</v>
      </c>
      <c r="X8">
        <f t="shared" ref="X8:X37" si="10">(M8*$J$27)*(1-$B$7*COS($B$14))/($B$7*$B$9)</f>
        <v>0.17647058823529413</v>
      </c>
      <c r="Y8" s="1">
        <f t="shared" ref="Y8:Y37" si="11">10*LOG10((($B$12*$B$9*$F$32*$F$31*(13.59*X8^2*(X8^2+12.5)^-2.25))/(4*PI()*$B$15^2*(1-$B$7*COS($B$14))^2))/$B$17^2)</f>
        <v>46.206969816373508</v>
      </c>
      <c r="Z8">
        <f t="shared" ref="Z8:Z37" si="12">(M8*$F$42)*(1-$B$7*COS($B$14))/($B$7*$B$9)</f>
        <v>2.9411764705882353E-2</v>
      </c>
      <c r="AA8">
        <f t="shared" ref="AA8:AA37" si="13">10*LOG10((($B$12*$B$9*$F$46*$F$45*(5.325*(30+Z8^8)^-1))/(4*PI()*$B$15^2*(1-$B$7*COS($B$14))^2))/$B$17^2)</f>
        <v>10.739930490368636</v>
      </c>
      <c r="AB8" s="1">
        <f t="shared" ref="AB8:AB37" si="14">10*LOG10(10^(O8/10)+10^(Q8/10)+10^(S8/10)+10^(U8/10)+10^(W8/10)+10^(Y8/10)+10^(AA8/10))</f>
        <v>68.341176330723158</v>
      </c>
      <c r="AC8">
        <f t="shared" ref="AC8:AC37" si="15">20*LOG((12194^2*M8^4)/((M8^2+20.6^2)*SQRT((M8^2+107.7^2)*(M8^2+737.9^2))*(M8^2+12194^2)))+2</f>
        <v>-50.394656885439417</v>
      </c>
      <c r="AD8">
        <f t="shared" ref="AD8:AD37" si="16">AB8+AC8</f>
        <v>17.946519445283741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7.8650765195925545E-4</v>
      </c>
      <c r="G9" t="s">
        <v>89</v>
      </c>
      <c r="H9">
        <f>0.37*(H12/H11^2)*((B12*B7*B9*H12)/(B11*H11))^-0.2*(H11/B10)^2</f>
        <v>2.0891479807997004E-4</v>
      </c>
      <c r="I9" t="s">
        <v>89</v>
      </c>
      <c r="J9">
        <f>0.37*(J12/J11^2)*((B12*B7*B9*J12)/(B11*J11))^-0.2*(J11/B10)^2</f>
        <v>1.4547094040506545E-4</v>
      </c>
      <c r="M9">
        <v>30</v>
      </c>
      <c r="N9">
        <f t="shared" si="0"/>
        <v>1.0885728554676071E-2</v>
      </c>
      <c r="O9" s="1">
        <f t="shared" si="1"/>
        <v>38.020960337690973</v>
      </c>
      <c r="P9">
        <f t="shared" si="2"/>
        <v>6.7743695553872628E-4</v>
      </c>
      <c r="Q9" s="1">
        <f t="shared" si="3"/>
        <v>-14.790218969539694</v>
      </c>
      <c r="R9">
        <f t="shared" si="4"/>
        <v>2.259078133349252E-4</v>
      </c>
      <c r="S9" s="1">
        <f t="shared" si="5"/>
        <v>-75.423733100747356</v>
      </c>
      <c r="T9">
        <f t="shared" si="6"/>
        <v>0.60026737967914456</v>
      </c>
      <c r="U9" s="1">
        <f t="shared" si="7"/>
        <v>67.345075254349297</v>
      </c>
      <c r="V9">
        <f t="shared" si="8"/>
        <v>0.60026737967914456</v>
      </c>
      <c r="W9" s="1">
        <f t="shared" si="9"/>
        <v>20.602758739382043</v>
      </c>
      <c r="X9">
        <f t="shared" si="10"/>
        <v>0.26470588235294118</v>
      </c>
      <c r="Y9" s="1">
        <f t="shared" si="11"/>
        <v>49.698487004555886</v>
      </c>
      <c r="Z9">
        <f t="shared" si="12"/>
        <v>4.4117647058823532E-2</v>
      </c>
      <c r="AA9">
        <f t="shared" si="13"/>
        <v>10.739930490366641</v>
      </c>
      <c r="AB9" s="1">
        <f t="shared" si="14"/>
        <v>67.424192379499473</v>
      </c>
      <c r="AC9">
        <f t="shared" si="15"/>
        <v>-40.606449491877584</v>
      </c>
      <c r="AD9">
        <f t="shared" si="16"/>
        <v>26.81774288762189</v>
      </c>
    </row>
    <row r="10" spans="1:30" x14ac:dyDescent="0.3">
      <c r="A10" t="s">
        <v>74</v>
      </c>
      <c r="B10">
        <v>31.372</v>
      </c>
      <c r="C10" t="s">
        <v>7</v>
      </c>
      <c r="E10" t="s">
        <v>83</v>
      </c>
      <c r="F10">
        <f>F9*B10</f>
        <v>2.4674318057265762E-2</v>
      </c>
      <c r="G10" t="s">
        <v>83</v>
      </c>
      <c r="H10">
        <f>H9*H11</f>
        <v>1.5355237658877796E-3</v>
      </c>
      <c r="I10" t="s">
        <v>83</v>
      </c>
      <c r="J10">
        <f>J9*J11</f>
        <v>5.1205771022583041E-4</v>
      </c>
      <c r="M10">
        <v>40</v>
      </c>
      <c r="N10">
        <f t="shared" si="0"/>
        <v>1.4514304739568095E-2</v>
      </c>
      <c r="O10" s="1">
        <f t="shared" si="1"/>
        <v>42.401389793300403</v>
      </c>
      <c r="P10">
        <f t="shared" si="2"/>
        <v>9.0324927405163508E-4</v>
      </c>
      <c r="Q10" s="1">
        <f t="shared" si="3"/>
        <v>-9.8031079457832409</v>
      </c>
      <c r="R10">
        <f t="shared" si="4"/>
        <v>3.0121041777990019E-4</v>
      </c>
      <c r="S10" s="1">
        <f t="shared" si="5"/>
        <v>-70.42819608728</v>
      </c>
      <c r="T10">
        <f t="shared" si="6"/>
        <v>0.80035650623885934</v>
      </c>
      <c r="U10" s="1">
        <f t="shared" si="7"/>
        <v>66.657912203003647</v>
      </c>
      <c r="V10">
        <f t="shared" si="8"/>
        <v>0.80035650623885934</v>
      </c>
      <c r="W10" s="1">
        <f t="shared" si="9"/>
        <v>22.890879126037209</v>
      </c>
      <c r="X10">
        <f t="shared" si="10"/>
        <v>0.35294117647058826</v>
      </c>
      <c r="Y10" s="1">
        <f t="shared" si="11"/>
        <v>52.154987855984217</v>
      </c>
      <c r="Z10">
        <f t="shared" si="12"/>
        <v>5.8823529411764705E-2</v>
      </c>
      <c r="AA10">
        <f t="shared" si="13"/>
        <v>10.739930490347966</v>
      </c>
      <c r="AB10" s="1">
        <f t="shared" si="14"/>
        <v>66.825132493902416</v>
      </c>
      <c r="AC10">
        <f t="shared" si="15"/>
        <v>-34.539248027007993</v>
      </c>
      <c r="AD10">
        <f t="shared" si="16"/>
        <v>32.285884466894423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0.53239549141229037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1.814288092446012E-2</v>
      </c>
      <c r="O11" s="1">
        <f t="shared" si="1"/>
        <v>45.603355638629935</v>
      </c>
      <c r="P11">
        <f t="shared" si="2"/>
        <v>1.1290615925645439E-3</v>
      </c>
      <c r="Q11" s="1">
        <f t="shared" si="3"/>
        <v>-5.9385399215591175</v>
      </c>
      <c r="R11">
        <f t="shared" si="4"/>
        <v>3.7651302222487535E-4</v>
      </c>
      <c r="S11" s="1">
        <f t="shared" si="5"/>
        <v>-66.554077961579338</v>
      </c>
      <c r="T11">
        <f t="shared" si="6"/>
        <v>1.0004456327985742</v>
      </c>
      <c r="U11" s="1">
        <f t="shared" si="7"/>
        <v>66.124907131459338</v>
      </c>
      <c r="V11">
        <f t="shared" si="8"/>
        <v>1.0004456327985742</v>
      </c>
      <c r="W11" s="1">
        <f t="shared" si="9"/>
        <v>24.564744344108004</v>
      </c>
      <c r="X11">
        <f t="shared" si="10"/>
        <v>0.44117647058823528</v>
      </c>
      <c r="Y11" s="1">
        <f t="shared" si="11"/>
        <v>54.039103336077766</v>
      </c>
      <c r="Z11">
        <f t="shared" si="12"/>
        <v>7.3529411764705885E-2</v>
      </c>
      <c r="AA11">
        <f t="shared" si="13"/>
        <v>10.739930490245023</v>
      </c>
      <c r="AB11" s="1">
        <f t="shared" si="14"/>
        <v>66.422001101088711</v>
      </c>
      <c r="AC11">
        <f t="shared" si="15"/>
        <v>-30.274979580572094</v>
      </c>
      <c r="AD11">
        <f t="shared" si="16"/>
        <v>36.147021520516617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0.29028609479136191</v>
      </c>
      <c r="G12" t="s">
        <v>98</v>
      </c>
      <c r="H12">
        <v>13.51</v>
      </c>
      <c r="I12" t="s">
        <v>101</v>
      </c>
      <c r="J12">
        <v>10.33</v>
      </c>
      <c r="M12">
        <v>60</v>
      </c>
      <c r="N12">
        <f t="shared" si="0"/>
        <v>2.1771457109352143E-2</v>
      </c>
      <c r="O12" s="1">
        <f t="shared" si="1"/>
        <v>48.05413333892767</v>
      </c>
      <c r="P12">
        <f t="shared" si="2"/>
        <v>1.3548739110774526E-3</v>
      </c>
      <c r="Q12" s="1">
        <f t="shared" si="3"/>
        <v>-2.7843642546491632</v>
      </c>
      <c r="R12">
        <f t="shared" si="4"/>
        <v>4.5181562666985039E-4</v>
      </c>
      <c r="S12" s="1">
        <f t="shared" si="5"/>
        <v>-63.389351483786392</v>
      </c>
      <c r="T12">
        <f t="shared" si="6"/>
        <v>1.2005347593582891</v>
      </c>
      <c r="U12" s="1">
        <f t="shared" si="7"/>
        <v>65.689410278197414</v>
      </c>
      <c r="V12">
        <f t="shared" si="8"/>
        <v>1.2005347593582891</v>
      </c>
      <c r="W12" s="1">
        <f t="shared" si="9"/>
        <v>25.8347120792967</v>
      </c>
      <c r="X12">
        <f t="shared" si="10"/>
        <v>0.52941176470588236</v>
      </c>
      <c r="Y12" s="1">
        <f t="shared" si="11"/>
        <v>55.557028599810664</v>
      </c>
      <c r="Z12">
        <f t="shared" si="12"/>
        <v>8.8235294117647065E-2</v>
      </c>
      <c r="AA12">
        <f t="shared" si="13"/>
        <v>10.739930489836851</v>
      </c>
      <c r="AB12" s="1">
        <f t="shared" si="14"/>
        <v>66.159595093566963</v>
      </c>
      <c r="AC12">
        <f t="shared" si="15"/>
        <v>-27.048849321682884</v>
      </c>
      <c r="AD12">
        <f t="shared" si="16"/>
        <v>39.110745771884083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4.9488978231220462E-2</v>
      </c>
      <c r="G13" t="s">
        <v>102</v>
      </c>
      <c r="H13">
        <f>(B13*H10)*(1-B7*COS(B14))/(B7*B9)</f>
        <v>1.8064985481032702E-2</v>
      </c>
      <c r="I13" t="s">
        <v>105</v>
      </c>
      <c r="J13">
        <f>(B13*J10)*(1-B7*COS(B14))/(B7*B9)</f>
        <v>6.0242083555980055E-3</v>
      </c>
      <c r="M13">
        <v>70</v>
      </c>
      <c r="N13">
        <f t="shared" si="0"/>
        <v>2.5400033294244166E-2</v>
      </c>
      <c r="O13" s="1">
        <f t="shared" si="1"/>
        <v>49.985172317896172</v>
      </c>
      <c r="P13">
        <f t="shared" si="2"/>
        <v>1.5806862295903615E-3</v>
      </c>
      <c r="Q13" s="1">
        <f t="shared" si="3"/>
        <v>-0.12069603475830783</v>
      </c>
      <c r="R13">
        <f t="shared" si="4"/>
        <v>5.2711823111482544E-4</v>
      </c>
      <c r="S13" s="1">
        <f t="shared" si="5"/>
        <v>-60.71422293784665</v>
      </c>
      <c r="T13">
        <f t="shared" si="6"/>
        <v>1.4006238859180038</v>
      </c>
      <c r="U13" s="1">
        <f t="shared" si="7"/>
        <v>65.321202935229039</v>
      </c>
      <c r="V13">
        <f t="shared" si="8"/>
        <v>1.4006238859180038</v>
      </c>
      <c r="W13" s="1">
        <f t="shared" si="9"/>
        <v>26.815492819060989</v>
      </c>
      <c r="X13">
        <f t="shared" si="10"/>
        <v>0.61764705882352944</v>
      </c>
      <c r="Y13" s="1">
        <f t="shared" si="11"/>
        <v>56.818884591192436</v>
      </c>
      <c r="Z13">
        <f t="shared" si="12"/>
        <v>0.10294117647058823</v>
      </c>
      <c r="AA13">
        <f t="shared" si="13"/>
        <v>10.739930488543244</v>
      </c>
      <c r="AB13" s="1">
        <f t="shared" si="14"/>
        <v>66.005256483315833</v>
      </c>
      <c r="AC13">
        <f t="shared" si="15"/>
        <v>-24.49130199968733</v>
      </c>
      <c r="AD13">
        <f t="shared" si="16"/>
        <v>41.513954483628503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5.8988281253888547E-3</v>
      </c>
      <c r="I14" t="s">
        <v>106</v>
      </c>
      <c r="J14">
        <f>0.613*(10*J13)^4*((10*J13)^1.5+0.5)^-4</f>
        <v>1.1496180784344401E-4</v>
      </c>
      <c r="M14">
        <v>80</v>
      </c>
      <c r="N14">
        <f t="shared" si="0"/>
        <v>2.9028609479136189E-2</v>
      </c>
      <c r="O14" s="1">
        <f t="shared" si="1"/>
        <v>51.536806289724396</v>
      </c>
      <c r="P14">
        <f t="shared" si="2"/>
        <v>1.8064985481032702E-3</v>
      </c>
      <c r="Q14" s="1">
        <f t="shared" si="3"/>
        <v>2.1837369712394601</v>
      </c>
      <c r="R14">
        <f t="shared" si="4"/>
        <v>6.0242083555980038E-4</v>
      </c>
      <c r="S14" s="1">
        <f t="shared" si="5"/>
        <v>-58.397491254312797</v>
      </c>
      <c r="T14">
        <f t="shared" si="6"/>
        <v>1.6007130124777187</v>
      </c>
      <c r="U14" s="1">
        <f t="shared" si="7"/>
        <v>65.002247226851765</v>
      </c>
      <c r="V14">
        <f t="shared" si="8"/>
        <v>1.6007130124777187</v>
      </c>
      <c r="W14" s="1">
        <f t="shared" si="9"/>
        <v>27.577756512007227</v>
      </c>
      <c r="X14">
        <f t="shared" si="10"/>
        <v>0.70588235294117652</v>
      </c>
      <c r="Y14" s="1">
        <f t="shared" si="11"/>
        <v>57.89053431105431</v>
      </c>
      <c r="Z14">
        <f t="shared" si="12"/>
        <v>0.11764705882352941</v>
      </c>
      <c r="AA14">
        <f t="shared" si="13"/>
        <v>10.739930485056062</v>
      </c>
      <c r="AB14" s="1">
        <f t="shared" si="14"/>
        <v>65.935307227630389</v>
      </c>
      <c r="AC14">
        <f t="shared" si="15"/>
        <v>-22.397666626519193</v>
      </c>
      <c r="AD14">
        <f t="shared" si="16"/>
        <v>43.537640601111192</v>
      </c>
    </row>
    <row r="15" spans="1:30" x14ac:dyDescent="0.3">
      <c r="A15" t="s">
        <v>12</v>
      </c>
      <c r="B15">
        <v>120.5</v>
      </c>
      <c r="C15" t="s">
        <v>7</v>
      </c>
      <c r="E15" t="s">
        <v>91</v>
      </c>
      <c r="F15">
        <f>(B12*B9*F11*F14*F13)/(4*PI()*B15^2*(1-B7*COS(B14)))</f>
        <v>1.2027087475052877E-4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3.2657185664028213E-2</v>
      </c>
      <c r="O15" s="1">
        <f t="shared" si="1"/>
        <v>52.800908736594877</v>
      </c>
      <c r="P15">
        <f t="shared" si="2"/>
        <v>2.0323108666161788E-3</v>
      </c>
      <c r="Q15" s="1">
        <f t="shared" si="3"/>
        <v>4.2136224854333362</v>
      </c>
      <c r="R15">
        <f t="shared" si="4"/>
        <v>6.7772344000477554E-4</v>
      </c>
      <c r="S15" s="1">
        <f t="shared" si="5"/>
        <v>-56.354526400909663</v>
      </c>
      <c r="T15">
        <f t="shared" si="6"/>
        <v>1.8008021390374334</v>
      </c>
      <c r="U15" s="1">
        <f t="shared" si="7"/>
        <v>64.720908353391152</v>
      </c>
      <c r="V15">
        <f t="shared" si="8"/>
        <v>1.8008021390374334</v>
      </c>
      <c r="W15" s="1">
        <f t="shared" si="9"/>
        <v>28.168950136443751</v>
      </c>
      <c r="X15">
        <f t="shared" si="10"/>
        <v>0.79411764705882348</v>
      </c>
      <c r="Y15" s="1">
        <f t="shared" si="11"/>
        <v>58.814589789569354</v>
      </c>
      <c r="Z15">
        <f t="shared" si="12"/>
        <v>0.13235294117647059</v>
      </c>
      <c r="AA15">
        <f t="shared" si="13"/>
        <v>10.739930476737589</v>
      </c>
      <c r="AB15" s="1">
        <f t="shared" si="14"/>
        <v>65.930465008206596</v>
      </c>
      <c r="AC15">
        <f t="shared" si="15"/>
        <v>-20.642894369008943</v>
      </c>
      <c r="AD15">
        <f t="shared" si="16"/>
        <v>45.287570639197654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54.781004783513438</v>
      </c>
      <c r="G16" t="s">
        <v>90</v>
      </c>
      <c r="H16">
        <f>H7*B7^H8*H9*(B12*B9^3*B10^2)</f>
        <v>0.14141667447228731</v>
      </c>
      <c r="I16" t="s">
        <v>90</v>
      </c>
      <c r="J16">
        <f>J7*B7^J8*J9*(B12*B9^3*B10^2)</f>
        <v>9.8470844638616398E-2</v>
      </c>
      <c r="M16">
        <v>100</v>
      </c>
      <c r="N16">
        <f t="shared" si="0"/>
        <v>3.6285761848920239E-2</v>
      </c>
      <c r="O16" s="1">
        <f t="shared" si="1"/>
        <v>53.841043118587038</v>
      </c>
      <c r="P16">
        <f t="shared" si="2"/>
        <v>2.2581231851290877E-3</v>
      </c>
      <c r="Q16" s="1">
        <f t="shared" si="3"/>
        <v>6.0267953445710898</v>
      </c>
      <c r="R16">
        <f t="shared" si="4"/>
        <v>7.5302604444975069E-4</v>
      </c>
      <c r="S16" s="1">
        <f t="shared" si="5"/>
        <v>-54.527541647887602</v>
      </c>
      <c r="T16">
        <f t="shared" si="6"/>
        <v>2.0008912655971485</v>
      </c>
      <c r="U16" s="1">
        <f t="shared" si="7"/>
        <v>64.469242155307441</v>
      </c>
      <c r="V16">
        <f t="shared" si="8"/>
        <v>2.0008912655971485</v>
      </c>
      <c r="W16" s="1">
        <f t="shared" si="9"/>
        <v>28.622999003078291</v>
      </c>
      <c r="X16">
        <f t="shared" si="10"/>
        <v>0.88235294117647056</v>
      </c>
      <c r="Y16" s="1">
        <f t="shared" si="11"/>
        <v>59.620272176752437</v>
      </c>
      <c r="Z16">
        <f t="shared" si="12"/>
        <v>0.14705882352941177</v>
      </c>
      <c r="AA16">
        <f t="shared" si="13"/>
        <v>10.739930458702824</v>
      </c>
      <c r="AB16" s="1">
        <f t="shared" si="14"/>
        <v>65.974402437748935</v>
      </c>
      <c r="AC16">
        <f t="shared" si="15"/>
        <v>-19.144954291317543</v>
      </c>
      <c r="AD16">
        <f t="shared" si="16"/>
        <v>46.829448146431389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3.807886331946545E-6</v>
      </c>
      <c r="I17" t="s">
        <v>91</v>
      </c>
      <c r="J17">
        <f>(B12*B9*J16*J15*J14)/(4*PI()*B15^2*(1-B7*COS(B14))^4)</f>
        <v>5.1678251941100579E-12</v>
      </c>
      <c r="M17">
        <v>200</v>
      </c>
      <c r="N17">
        <f t="shared" si="0"/>
        <v>7.2571523697840479E-2</v>
      </c>
      <c r="O17" s="1">
        <f t="shared" si="1"/>
        <v>58.199944517458135</v>
      </c>
      <c r="P17">
        <f t="shared" si="2"/>
        <v>4.5162463702581755E-3</v>
      </c>
      <c r="Q17" s="1">
        <f t="shared" si="3"/>
        <v>17.855194373216516</v>
      </c>
      <c r="R17">
        <f t="shared" si="4"/>
        <v>1.5060520888995014E-3</v>
      </c>
      <c r="S17" s="1">
        <f t="shared" si="5"/>
        <v>-42.527749609878725</v>
      </c>
      <c r="T17">
        <f t="shared" si="6"/>
        <v>4.0017825311942969</v>
      </c>
      <c r="U17" s="1">
        <f t="shared" si="7"/>
        <v>62.813577179155551</v>
      </c>
      <c r="V17">
        <f t="shared" si="8"/>
        <v>4.0017825311942969</v>
      </c>
      <c r="W17" s="1">
        <f t="shared" si="9"/>
        <v>29.300200660404457</v>
      </c>
      <c r="X17">
        <f t="shared" si="10"/>
        <v>1.7647058823529411</v>
      </c>
      <c r="Y17" s="1">
        <f t="shared" si="11"/>
        <v>64.057573495391452</v>
      </c>
      <c r="Z17">
        <f t="shared" si="12"/>
        <v>0.29411764705882354</v>
      </c>
      <c r="AA17">
        <f t="shared" si="13"/>
        <v>10.739922383907397</v>
      </c>
      <c r="AB17" s="1">
        <f t="shared" si="14"/>
        <v>67.091379350959841</v>
      </c>
      <c r="AC17">
        <f t="shared" si="15"/>
        <v>-10.847055415577483</v>
      </c>
      <c r="AD17">
        <f t="shared" si="16"/>
        <v>56.244323935382354</v>
      </c>
    </row>
    <row r="18" spans="1:30" x14ac:dyDescent="0.3">
      <c r="A18" t="s">
        <v>154</v>
      </c>
      <c r="B18">
        <v>120.5</v>
      </c>
      <c r="G18" t="s">
        <v>85</v>
      </c>
      <c r="H18">
        <f>10*LOG10(H17/B17^2)</f>
        <v>39.786239845858468</v>
      </c>
      <c r="I18" t="s">
        <v>85</v>
      </c>
      <c r="J18">
        <f>10*LOG10(J17/B17^2)</f>
        <v>-18.887521764565257</v>
      </c>
      <c r="M18">
        <v>300</v>
      </c>
      <c r="N18">
        <f t="shared" si="0"/>
        <v>0.10885728554676072</v>
      </c>
      <c r="O18" s="1">
        <f t="shared" si="1"/>
        <v>58.63605016434478</v>
      </c>
      <c r="P18">
        <f t="shared" si="2"/>
        <v>6.7743695553872628E-3</v>
      </c>
      <c r="Q18" s="1">
        <f t="shared" si="3"/>
        <v>24.627095504994521</v>
      </c>
      <c r="R18">
        <f t="shared" si="4"/>
        <v>2.2590781333492516E-3</v>
      </c>
      <c r="S18" s="1">
        <f t="shared" si="5"/>
        <v>-35.537574100015256</v>
      </c>
      <c r="T18">
        <f t="shared" si="6"/>
        <v>6.002673796791445</v>
      </c>
      <c r="U18" s="1">
        <f t="shared" si="7"/>
        <v>61.845075254349304</v>
      </c>
      <c r="V18">
        <f t="shared" si="8"/>
        <v>6.002673796791445</v>
      </c>
      <c r="W18" s="1">
        <f t="shared" si="9"/>
        <v>27.6252714673452</v>
      </c>
      <c r="X18">
        <f t="shared" si="10"/>
        <v>2.6470588235294117</v>
      </c>
      <c r="Y18" s="1">
        <f t="shared" si="11"/>
        <v>65.404338527128274</v>
      </c>
      <c r="Z18">
        <f t="shared" si="12"/>
        <v>0.44117647058823528</v>
      </c>
      <c r="AA18">
        <f t="shared" si="13"/>
        <v>10.739722735406875</v>
      </c>
      <c r="AB18" s="1">
        <f t="shared" si="14"/>
        <v>67.582714499581428</v>
      </c>
      <c r="AC18">
        <f t="shared" si="15"/>
        <v>-7.0544626466411682</v>
      </c>
      <c r="AD18">
        <f t="shared" si="16"/>
        <v>60.528251852940258</v>
      </c>
    </row>
    <row r="19" spans="1:30" x14ac:dyDescent="0.3">
      <c r="M19">
        <v>400</v>
      </c>
      <c r="N19">
        <f t="shared" si="0"/>
        <v>0.14514304739568096</v>
      </c>
      <c r="O19" s="1">
        <f t="shared" si="1"/>
        <v>58.105765146522053</v>
      </c>
      <c r="P19">
        <f t="shared" si="2"/>
        <v>9.032492740516351E-3</v>
      </c>
      <c r="Q19" s="1">
        <f t="shared" si="3"/>
        <v>29.308243890429672</v>
      </c>
      <c r="R19">
        <f t="shared" si="4"/>
        <v>3.0121041777990028E-3</v>
      </c>
      <c r="S19" s="1">
        <f t="shared" si="5"/>
        <v>-30.603137119389189</v>
      </c>
      <c r="T19">
        <f t="shared" si="6"/>
        <v>8.0035650623885939</v>
      </c>
      <c r="U19" s="1">
        <f t="shared" si="7"/>
        <v>61.157912203003654</v>
      </c>
      <c r="V19">
        <f t="shared" si="8"/>
        <v>8.0035650623885939</v>
      </c>
      <c r="W19" s="1">
        <f t="shared" si="9"/>
        <v>25.67003186278335</v>
      </c>
      <c r="X19">
        <f t="shared" si="10"/>
        <v>3.5294117647058822</v>
      </c>
      <c r="Y19" s="1">
        <f t="shared" si="11"/>
        <v>65.495629655544434</v>
      </c>
      <c r="Z19">
        <f t="shared" si="12"/>
        <v>0.58823529411764708</v>
      </c>
      <c r="AA19">
        <f t="shared" si="13"/>
        <v>10.737855730001275</v>
      </c>
      <c r="AB19" s="1">
        <f t="shared" si="14"/>
        <v>67.401931840037577</v>
      </c>
      <c r="AC19">
        <f t="shared" si="15"/>
        <v>-4.7738910332852953</v>
      </c>
      <c r="AD19">
        <f t="shared" si="16"/>
        <v>62.628040806752281</v>
      </c>
    </row>
    <row r="20" spans="1:30" x14ac:dyDescent="0.3">
      <c r="M20">
        <v>500</v>
      </c>
      <c r="N20">
        <f t="shared" si="0"/>
        <v>0.1814288092446012</v>
      </c>
      <c r="O20" s="1">
        <f t="shared" si="1"/>
        <v>57.302651330649546</v>
      </c>
      <c r="P20">
        <f t="shared" si="2"/>
        <v>1.1290615925645439E-2</v>
      </c>
      <c r="Q20" s="1">
        <f t="shared" si="3"/>
        <v>32.832597881389731</v>
      </c>
      <c r="R20">
        <f t="shared" si="4"/>
        <v>3.7651302222487535E-3</v>
      </c>
      <c r="S20" s="1">
        <f t="shared" si="5"/>
        <v>-26.79804719278993</v>
      </c>
      <c r="T20">
        <f t="shared" si="6"/>
        <v>10.004456327985741</v>
      </c>
      <c r="U20" s="1">
        <f t="shared" si="7"/>
        <v>60.624907131459345</v>
      </c>
      <c r="V20">
        <f t="shared" si="8"/>
        <v>10.004456327985741</v>
      </c>
      <c r="W20" s="1">
        <f t="shared" si="9"/>
        <v>23.839227528905468</v>
      </c>
      <c r="X20">
        <f t="shared" si="10"/>
        <v>4.4117647058823533</v>
      </c>
      <c r="Y20" s="1">
        <f t="shared" si="11"/>
        <v>65.015785847825939</v>
      </c>
      <c r="Z20">
        <f t="shared" si="12"/>
        <v>0.73529411764705888</v>
      </c>
      <c r="AA20">
        <f t="shared" si="13"/>
        <v>10.727578582380961</v>
      </c>
      <c r="AB20" s="1">
        <f t="shared" si="14"/>
        <v>66.873580320374543</v>
      </c>
      <c r="AC20">
        <f t="shared" si="15"/>
        <v>-3.2478075093781307</v>
      </c>
      <c r="AD20">
        <f t="shared" si="16"/>
        <v>63.625772810996409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0.21771457109352144</v>
      </c>
      <c r="O21" s="1">
        <f t="shared" si="1"/>
        <v>56.439777626016301</v>
      </c>
      <c r="P21">
        <f t="shared" si="2"/>
        <v>1.3548739110774526E-2</v>
      </c>
      <c r="Q21" s="1">
        <f t="shared" si="3"/>
        <v>35.618708864078229</v>
      </c>
      <c r="R21">
        <f t="shared" si="4"/>
        <v>4.5181562666985033E-3</v>
      </c>
      <c r="S21" s="1">
        <f t="shared" si="5"/>
        <v>-23.709308345045457</v>
      </c>
      <c r="T21">
        <f t="shared" si="6"/>
        <v>12.00534759358289</v>
      </c>
      <c r="U21" s="1">
        <f t="shared" si="7"/>
        <v>60.1894102781974</v>
      </c>
      <c r="V21">
        <f t="shared" si="8"/>
        <v>12.00534759358289</v>
      </c>
      <c r="W21" s="1">
        <f t="shared" si="9"/>
        <v>22.196939607997692</v>
      </c>
      <c r="X21">
        <f t="shared" si="10"/>
        <v>5.2941176470588234</v>
      </c>
      <c r="Y21" s="1">
        <f t="shared" si="11"/>
        <v>64.279769837686999</v>
      </c>
      <c r="Z21">
        <f t="shared" si="12"/>
        <v>0.88235294117647056</v>
      </c>
      <c r="AA21">
        <f t="shared" si="13"/>
        <v>10.687066991789489</v>
      </c>
      <c r="AB21" s="1">
        <f t="shared" si="14"/>
        <v>66.199236497542202</v>
      </c>
      <c r="AC21">
        <f t="shared" si="15"/>
        <v>-2.1700037836745878</v>
      </c>
      <c r="AD21">
        <f t="shared" si="16"/>
        <v>64.029232713867614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0.25400033294244162</v>
      </c>
      <c r="O22" s="1">
        <f t="shared" si="1"/>
        <v>55.590688893190283</v>
      </c>
      <c r="P22">
        <f t="shared" si="2"/>
        <v>1.5806862295903615E-2</v>
      </c>
      <c r="Q22" s="1">
        <f t="shared" si="3"/>
        <v>37.891471407632878</v>
      </c>
      <c r="R22">
        <f t="shared" si="4"/>
        <v>5.271182311148254E-3</v>
      </c>
      <c r="S22" s="1">
        <f t="shared" si="5"/>
        <v>-21.116394897680316</v>
      </c>
      <c r="T22">
        <f t="shared" si="6"/>
        <v>14.006238859180039</v>
      </c>
      <c r="U22" s="1">
        <f t="shared" si="7"/>
        <v>59.821202935229032</v>
      </c>
      <c r="V22">
        <f t="shared" si="8"/>
        <v>14.006238859180039</v>
      </c>
      <c r="W22" s="1">
        <f t="shared" si="9"/>
        <v>20.732388376601278</v>
      </c>
      <c r="X22">
        <f t="shared" si="10"/>
        <v>6.1764705882352944</v>
      </c>
      <c r="Y22" s="1">
        <f t="shared" si="11"/>
        <v>63.4403162861461</v>
      </c>
      <c r="Z22">
        <f t="shared" si="12"/>
        <v>1.0294117647058822</v>
      </c>
      <c r="AA22">
        <f t="shared" si="13"/>
        <v>10.561115207406855</v>
      </c>
      <c r="AB22" s="1">
        <f t="shared" si="14"/>
        <v>65.485633497717004</v>
      </c>
      <c r="AC22">
        <f t="shared" si="15"/>
        <v>-1.3830326182040067</v>
      </c>
      <c r="AD22">
        <f t="shared" si="16"/>
        <v>64.102600879512991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0.29028609479136191</v>
      </c>
      <c r="O23" s="1">
        <f t="shared" si="1"/>
        <v>54.781004783513438</v>
      </c>
      <c r="P23">
        <f t="shared" si="2"/>
        <v>1.8064985481032702E-2</v>
      </c>
      <c r="Q23" s="1">
        <f t="shared" si="3"/>
        <v>39.786239845858468</v>
      </c>
      <c r="R23">
        <f t="shared" si="4"/>
        <v>6.0242083555980055E-3</v>
      </c>
      <c r="S23" s="1">
        <f t="shared" si="5"/>
        <v>-18.887521764565257</v>
      </c>
      <c r="T23">
        <f t="shared" si="6"/>
        <v>16.007130124777188</v>
      </c>
      <c r="U23" s="1">
        <f t="shared" si="7"/>
        <v>59.502247226851765</v>
      </c>
      <c r="V23">
        <f t="shared" si="8"/>
        <v>16.007130124777188</v>
      </c>
      <c r="W23" s="1">
        <f t="shared" si="9"/>
        <v>19.420750520338849</v>
      </c>
      <c r="X23">
        <f t="shared" si="10"/>
        <v>7.0588235294117645</v>
      </c>
      <c r="Y23" s="1">
        <f t="shared" si="11"/>
        <v>62.57274579651326</v>
      </c>
      <c r="Z23">
        <f t="shared" si="12"/>
        <v>1.1764705882352942</v>
      </c>
      <c r="AA23">
        <f t="shared" si="13"/>
        <v>10.238730915450965</v>
      </c>
      <c r="AB23" s="1">
        <f t="shared" si="14"/>
        <v>64.786132820026609</v>
      </c>
      <c r="AC23">
        <f t="shared" si="15"/>
        <v>-0.79460657411842606</v>
      </c>
      <c r="AD23">
        <f t="shared" si="16"/>
        <v>63.991526245908183</v>
      </c>
    </row>
    <row r="24" spans="1:30" x14ac:dyDescent="0.3">
      <c r="E24" t="s">
        <v>89</v>
      </c>
      <c r="F24">
        <f>(F27/B10^2)*SIN(F26)^2</f>
        <v>3.0029055401845015E-3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0.32657185664028215</v>
      </c>
      <c r="O24" s="1">
        <f t="shared" si="1"/>
        <v>54.01819389024017</v>
      </c>
      <c r="P24">
        <f t="shared" si="2"/>
        <v>2.0323108666161792E-2</v>
      </c>
      <c r="Q24" s="1">
        <f t="shared" si="3"/>
        <v>41.391110314725708</v>
      </c>
      <c r="R24">
        <f t="shared" si="4"/>
        <v>6.7772344000477554E-3</v>
      </c>
      <c r="S24" s="1">
        <f t="shared" si="5"/>
        <v>-16.937575047489531</v>
      </c>
      <c r="T24">
        <f t="shared" si="6"/>
        <v>18.008021390374335</v>
      </c>
      <c r="U24" s="1">
        <f t="shared" si="7"/>
        <v>59.22090835339116</v>
      </c>
      <c r="V24">
        <f t="shared" si="8"/>
        <v>18.008021390374335</v>
      </c>
      <c r="W24" s="1">
        <f t="shared" si="9"/>
        <v>18.237801570287491</v>
      </c>
      <c r="X24">
        <f t="shared" si="10"/>
        <v>7.9411764705882355</v>
      </c>
      <c r="Y24" s="1">
        <f t="shared" si="11"/>
        <v>61.714145451659689</v>
      </c>
      <c r="Z24">
        <f t="shared" si="12"/>
        <v>1.3235294117647058</v>
      </c>
      <c r="AA24">
        <f t="shared" si="13"/>
        <v>9.5544119930638711</v>
      </c>
      <c r="AB24" s="1">
        <f t="shared" si="14"/>
        <v>64.125959611335077</v>
      </c>
      <c r="AC24">
        <f t="shared" si="15"/>
        <v>-0.34641558835306263</v>
      </c>
      <c r="AD24">
        <f t="shared" si="16"/>
        <v>63.779544022982016</v>
      </c>
    </row>
    <row r="25" spans="1:30" x14ac:dyDescent="0.3">
      <c r="E25" t="s">
        <v>83</v>
      </c>
      <c r="F25">
        <f>F27/F28</f>
        <v>1.3606060606060608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0.36285761848920239</v>
      </c>
      <c r="O25" s="1">
        <f t="shared" si="1"/>
        <v>53.302534216371285</v>
      </c>
      <c r="P25">
        <f t="shared" si="2"/>
        <v>2.2581231851290878E-2</v>
      </c>
      <c r="Q25" s="1">
        <f t="shared" si="3"/>
        <v>42.766807592010736</v>
      </c>
      <c r="R25">
        <f t="shared" si="4"/>
        <v>7.5302604444975069E-3</v>
      </c>
      <c r="S25" s="1">
        <f t="shared" si="5"/>
        <v>-15.208355958301766</v>
      </c>
      <c r="T25">
        <f t="shared" si="6"/>
        <v>20.008912655971482</v>
      </c>
      <c r="U25" s="1">
        <f t="shared" si="7"/>
        <v>58.969242155307448</v>
      </c>
      <c r="V25">
        <f t="shared" si="8"/>
        <v>20.008912655971482</v>
      </c>
      <c r="W25" s="1">
        <f t="shared" si="9"/>
        <v>17.163016916392838</v>
      </c>
      <c r="X25">
        <f t="shared" si="10"/>
        <v>8.8235294117647065</v>
      </c>
      <c r="Y25" s="1">
        <f t="shared" si="11"/>
        <v>60.8822707254322</v>
      </c>
      <c r="Z25">
        <f t="shared" si="12"/>
        <v>1.4705882352941178</v>
      </c>
      <c r="AA25">
        <f t="shared" si="13"/>
        <v>8.3616435919676046</v>
      </c>
      <c r="AB25" s="1">
        <f t="shared" si="14"/>
        <v>63.515776731927559</v>
      </c>
      <c r="AC25">
        <f t="shared" si="15"/>
        <v>1.415276948792954E-4</v>
      </c>
      <c r="AD25">
        <f t="shared" si="16"/>
        <v>63.515918259622438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2.2129594841542265E-4</v>
      </c>
      <c r="I26" t="s">
        <v>89</v>
      </c>
      <c r="J26">
        <f>J25*(J24/B10)^2</f>
        <v>1.4631137085317199E-3</v>
      </c>
      <c r="M26">
        <v>2000</v>
      </c>
      <c r="N26">
        <f t="shared" si="0"/>
        <v>0.72571523697840479</v>
      </c>
      <c r="O26" s="1">
        <f t="shared" si="1"/>
        <v>48.056497810086384</v>
      </c>
      <c r="P26">
        <f t="shared" si="2"/>
        <v>4.5162463702581757E-2</v>
      </c>
      <c r="Q26" s="1">
        <f t="shared" si="3"/>
        <v>49.944739958365531</v>
      </c>
      <c r="R26">
        <f t="shared" si="4"/>
        <v>1.5060520888995014E-2</v>
      </c>
      <c r="S26" s="1">
        <f t="shared" si="5"/>
        <v>-4.3841222866110447</v>
      </c>
      <c r="T26">
        <f t="shared" si="6"/>
        <v>40.017825311942964</v>
      </c>
      <c r="U26" s="1">
        <f t="shared" si="7"/>
        <v>57.313577179155544</v>
      </c>
      <c r="V26">
        <f t="shared" si="8"/>
        <v>40.017825311942964</v>
      </c>
      <c r="W26" s="1">
        <f t="shared" si="9"/>
        <v>9.8617157230385271</v>
      </c>
      <c r="X26">
        <f t="shared" si="10"/>
        <v>17.647058823529413</v>
      </c>
      <c r="Y26" s="1">
        <f t="shared" si="11"/>
        <v>54.426949350072462</v>
      </c>
      <c r="Z26">
        <f t="shared" si="12"/>
        <v>2.9411764705882355</v>
      </c>
      <c r="AA26">
        <f t="shared" si="13"/>
        <v>-11.993748309323131</v>
      </c>
      <c r="AB26" s="1">
        <f t="shared" si="14"/>
        <v>59.905689417032278</v>
      </c>
      <c r="AC26">
        <f t="shared" si="15"/>
        <v>1.201674176077685</v>
      </c>
      <c r="AD26">
        <f t="shared" si="16"/>
        <v>61.107363593109966</v>
      </c>
    </row>
    <row r="27" spans="1:30" x14ac:dyDescent="0.3">
      <c r="E27" t="s">
        <v>110</v>
      </c>
      <c r="F27">
        <v>8.98</v>
      </c>
      <c r="G27" t="s">
        <v>83</v>
      </c>
      <c r="H27">
        <f>H24</f>
        <v>0.33</v>
      </c>
      <c r="I27" t="s">
        <v>83</v>
      </c>
      <c r="J27">
        <f>J24</f>
        <v>0.6</v>
      </c>
      <c r="M27">
        <v>3000</v>
      </c>
      <c r="N27">
        <f t="shared" si="0"/>
        <v>1.0885728554676071</v>
      </c>
      <c r="O27" s="1">
        <f t="shared" si="1"/>
        <v>44.733202603968834</v>
      </c>
      <c r="P27">
        <f t="shared" si="2"/>
        <v>6.7743695553872635E-2</v>
      </c>
      <c r="Q27" s="1">
        <f t="shared" si="3"/>
        <v>52.215494799127065</v>
      </c>
      <c r="R27">
        <f t="shared" si="4"/>
        <v>2.2590781333492519E-2</v>
      </c>
      <c r="S27" s="1">
        <f t="shared" si="5"/>
        <v>1.2005652677904934</v>
      </c>
      <c r="T27">
        <f t="shared" si="6"/>
        <v>60.02673796791445</v>
      </c>
      <c r="U27" s="1">
        <f t="shared" si="7"/>
        <v>56.345075254349304</v>
      </c>
      <c r="V27">
        <f t="shared" si="8"/>
        <v>60.02673796791445</v>
      </c>
      <c r="W27" s="1">
        <f t="shared" si="9"/>
        <v>5.501570571477493</v>
      </c>
      <c r="X27">
        <f t="shared" si="10"/>
        <v>26.470588235294116</v>
      </c>
      <c r="Y27" s="1">
        <f t="shared" si="11"/>
        <v>50.236438564236039</v>
      </c>
      <c r="Z27">
        <f t="shared" si="12"/>
        <v>4.4117647058823533</v>
      </c>
      <c r="AA27">
        <f t="shared" si="13"/>
        <v>-26.05875206344367</v>
      </c>
      <c r="AB27" s="1">
        <f t="shared" si="14"/>
        <v>58.650568447111723</v>
      </c>
      <c r="AC27">
        <f t="shared" si="15"/>
        <v>1.2284560262974789</v>
      </c>
      <c r="AD27">
        <f t="shared" si="16"/>
        <v>59.879024473409203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3.8823529411764706</v>
      </c>
      <c r="I28" t="s">
        <v>81</v>
      </c>
      <c r="J28">
        <f>(B13*J27)*(1-B7*COS(B14))/(B7*B9)</f>
        <v>7.0588235294117645</v>
      </c>
      <c r="M28">
        <v>4000</v>
      </c>
      <c r="N28">
        <f t="shared" si="0"/>
        <v>1.4514304739568096</v>
      </c>
      <c r="O28" s="1">
        <f t="shared" si="1"/>
        <v>42.31822617534565</v>
      </c>
      <c r="P28">
        <f t="shared" si="2"/>
        <v>9.0324927405163513E-2</v>
      </c>
      <c r="Q28" s="1">
        <f t="shared" si="3"/>
        <v>52.863836011311854</v>
      </c>
      <c r="R28">
        <f t="shared" si="4"/>
        <v>3.0121041777990028E-2</v>
      </c>
      <c r="S28" s="1">
        <f t="shared" si="5"/>
        <v>4.6153264140314594</v>
      </c>
      <c r="T28">
        <f t="shared" si="6"/>
        <v>80.035650623885928</v>
      </c>
      <c r="U28" s="1">
        <f t="shared" si="7"/>
        <v>55.657912203003654</v>
      </c>
      <c r="V28">
        <f t="shared" si="8"/>
        <v>80.035650623885928</v>
      </c>
      <c r="W28" s="1">
        <f t="shared" si="9"/>
        <v>2.3928929008968018</v>
      </c>
      <c r="X28">
        <f t="shared" si="10"/>
        <v>35.294117647058826</v>
      </c>
      <c r="Y28" s="1">
        <f t="shared" si="11"/>
        <v>47.188187639398855</v>
      </c>
      <c r="Z28">
        <f t="shared" si="12"/>
        <v>5.882352941176471</v>
      </c>
      <c r="AA28">
        <f t="shared" si="13"/>
        <v>-36.053034137210673</v>
      </c>
      <c r="AB28" s="1">
        <f t="shared" si="14"/>
        <v>57.998340421595444</v>
      </c>
      <c r="AC28">
        <f t="shared" si="15"/>
        <v>0.96359790524507294</v>
      </c>
      <c r="AD28">
        <f t="shared" si="16"/>
        <v>58.961938326840517</v>
      </c>
    </row>
    <row r="29" spans="1:30" x14ac:dyDescent="0.3">
      <c r="E29" t="s">
        <v>113</v>
      </c>
      <c r="F29">
        <f>(B13*F25)*(1-B7*COS(B14))/(B7*B9)</f>
        <v>16.007130124777188</v>
      </c>
      <c r="G29" t="s">
        <v>125</v>
      </c>
      <c r="H29">
        <f>13.59*H28^2*(H28^2+12.5)^-2.25</f>
        <v>0.11757969601966349</v>
      </c>
      <c r="I29" t="s">
        <v>125</v>
      </c>
      <c r="J29">
        <f>13.59*J28^2*(J28^2+12.5)^-2.25</f>
        <v>6.2038711060980668E-2</v>
      </c>
      <c r="M29">
        <v>5000</v>
      </c>
      <c r="N29">
        <f t="shared" si="0"/>
        <v>1.8142880924460119</v>
      </c>
      <c r="O29" s="1">
        <f t="shared" si="1"/>
        <v>40.424364645616279</v>
      </c>
      <c r="P29">
        <f t="shared" si="2"/>
        <v>0.11290615925645438</v>
      </c>
      <c r="Q29" s="1">
        <f t="shared" si="3"/>
        <v>52.846894486610303</v>
      </c>
      <c r="R29">
        <f t="shared" si="4"/>
        <v>3.7651302222487526E-2</v>
      </c>
      <c r="S29" s="1">
        <f t="shared" si="5"/>
        <v>6.8553186657140852</v>
      </c>
      <c r="T29">
        <f t="shared" si="6"/>
        <v>100.04456327985741</v>
      </c>
      <c r="U29" s="1">
        <f t="shared" si="7"/>
        <v>55.124907131459338</v>
      </c>
      <c r="V29">
        <f t="shared" si="8"/>
        <v>100.04456327985741</v>
      </c>
      <c r="W29" s="1">
        <f t="shared" si="9"/>
        <v>-2.3003835781301087E-2</v>
      </c>
      <c r="X29">
        <f t="shared" si="10"/>
        <v>44.117647058823529</v>
      </c>
      <c r="Y29" s="1">
        <f t="shared" si="11"/>
        <v>44.800449255533145</v>
      </c>
      <c r="Z29">
        <f t="shared" si="12"/>
        <v>7.3529411764705879</v>
      </c>
      <c r="AA29">
        <f t="shared" si="13"/>
        <v>-43.805759540929159</v>
      </c>
      <c r="AB29" s="1">
        <f t="shared" si="14"/>
        <v>57.476483024656389</v>
      </c>
      <c r="AC29">
        <f t="shared" si="15"/>
        <v>0.55443415814925312</v>
      </c>
      <c r="AD29">
        <f t="shared" si="16"/>
        <v>58.030917182805645</v>
      </c>
    </row>
    <row r="30" spans="1:30" x14ac:dyDescent="0.3">
      <c r="E30" t="s">
        <v>114</v>
      </c>
      <c r="F30">
        <f>0.1406*F29^-0.55</f>
        <v>3.0592354925307153E-2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2.1771457109352141</v>
      </c>
      <c r="O30" s="1">
        <f t="shared" si="1"/>
        <v>38.867481128382245</v>
      </c>
      <c r="P30">
        <f t="shared" si="2"/>
        <v>0.13548739110774527</v>
      </c>
      <c r="Q30" s="1">
        <f t="shared" si="3"/>
        <v>52.5311775390172</v>
      </c>
      <c r="R30">
        <f t="shared" si="4"/>
        <v>4.5181562666985038E-2</v>
      </c>
      <c r="S30" s="1">
        <f t="shared" si="5"/>
        <v>8.3762824467317341</v>
      </c>
      <c r="T30">
        <f t="shared" si="6"/>
        <v>120.0534759358289</v>
      </c>
      <c r="U30" s="1">
        <f t="shared" si="7"/>
        <v>54.6894102781974</v>
      </c>
      <c r="V30">
        <f t="shared" si="8"/>
        <v>120.0534759358289</v>
      </c>
      <c r="W30" s="1">
        <f t="shared" si="9"/>
        <v>-1.9988100342132999</v>
      </c>
      <c r="X30">
        <f t="shared" si="10"/>
        <v>52.941176470588232</v>
      </c>
      <c r="Y30" s="1">
        <f t="shared" si="11"/>
        <v>42.839989648962977</v>
      </c>
      <c r="Z30">
        <f t="shared" si="12"/>
        <v>8.8235294117647065</v>
      </c>
      <c r="AA30">
        <f t="shared" si="13"/>
        <v>-50.14024752285551</v>
      </c>
      <c r="AB30" s="1">
        <f t="shared" si="14"/>
        <v>56.99364402984078</v>
      </c>
      <c r="AC30">
        <f t="shared" si="15"/>
        <v>5.0112726333026991E-2</v>
      </c>
      <c r="AD30">
        <f t="shared" si="16"/>
        <v>57.043756756173806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8.5846220570880052E-4</v>
      </c>
      <c r="I31" t="s">
        <v>90</v>
      </c>
      <c r="J31">
        <f>J22*B7^J23*J26*(B12*B9^2*B10^2)</f>
        <v>5.6757831782400028E-3</v>
      </c>
      <c r="M31">
        <v>7000</v>
      </c>
      <c r="N31">
        <f t="shared" si="0"/>
        <v>2.5400033294244166</v>
      </c>
      <c r="O31" s="1">
        <f t="shared" si="1"/>
        <v>37.5461190696739</v>
      </c>
      <c r="P31">
        <f t="shared" si="2"/>
        <v>0.15806862295903615</v>
      </c>
      <c r="Q31" s="1">
        <f t="shared" si="3"/>
        <v>52.077725062878699</v>
      </c>
      <c r="R31">
        <f t="shared" si="4"/>
        <v>5.2711823111482536E-2</v>
      </c>
      <c r="S31" s="1">
        <f t="shared" si="5"/>
        <v>9.4252812364194334</v>
      </c>
      <c r="T31">
        <f t="shared" si="6"/>
        <v>140.06238859180039</v>
      </c>
      <c r="U31" s="1">
        <f t="shared" si="7"/>
        <v>54.321202935229032</v>
      </c>
      <c r="V31">
        <f t="shared" si="8"/>
        <v>140.06238859180039</v>
      </c>
      <c r="W31" s="1">
        <f t="shared" si="9"/>
        <v>-3.6702330595359274</v>
      </c>
      <c r="X31">
        <f t="shared" si="10"/>
        <v>61.764705882352942</v>
      </c>
      <c r="Y31" s="1">
        <f t="shared" si="11"/>
        <v>41.177837462424762</v>
      </c>
      <c r="Z31">
        <f t="shared" si="12"/>
        <v>10.294117647058824</v>
      </c>
      <c r="AA31">
        <f t="shared" si="13"/>
        <v>-55.495988180295569</v>
      </c>
      <c r="AB31" s="1">
        <f t="shared" si="14"/>
        <v>56.538202563888824</v>
      </c>
      <c r="AC31">
        <f t="shared" si="15"/>
        <v>-0.5231027020581247</v>
      </c>
      <c r="AD31">
        <f t="shared" si="16"/>
        <v>56.015099861830699</v>
      </c>
    </row>
    <row r="32" spans="1:30" x14ac:dyDescent="0.3">
      <c r="E32" t="s">
        <v>90</v>
      </c>
      <c r="F32">
        <f>F22*B7^F23*F24*(B12*B9^3*B10^2)</f>
        <v>2.538141711991535</v>
      </c>
      <c r="G32" t="s">
        <v>91</v>
      </c>
      <c r="H32">
        <f>(B12*B9*H31*H30*H29)/(4*PI()*B15^2*(1-B7*COS(B14))^4)</f>
        <v>3.456016600422831E-7</v>
      </c>
      <c r="I32" t="s">
        <v>91</v>
      </c>
      <c r="J32">
        <f>(B12*B9*J31*J30*J29)/(4*PI()*B15^2*(1-B7*COS(B14))^4)</f>
        <v>1.2056211820155381E-6</v>
      </c>
      <c r="M32">
        <v>8000</v>
      </c>
      <c r="N32">
        <f t="shared" si="0"/>
        <v>2.9028609479136191</v>
      </c>
      <c r="O32" s="1">
        <f t="shared" si="1"/>
        <v>36.398552535382564</v>
      </c>
      <c r="P32">
        <f t="shared" si="2"/>
        <v>0.18064985481032703</v>
      </c>
      <c r="Q32" s="1">
        <f t="shared" si="3"/>
        <v>51.563592119897024</v>
      </c>
      <c r="R32">
        <f t="shared" si="4"/>
        <v>6.0242083555980055E-2</v>
      </c>
      <c r="S32" s="1">
        <f t="shared" si="5"/>
        <v>10.150186204765223</v>
      </c>
      <c r="T32">
        <f t="shared" si="6"/>
        <v>160.07130124777186</v>
      </c>
      <c r="U32" s="1">
        <f t="shared" si="7"/>
        <v>54.00224722685175</v>
      </c>
      <c r="V32">
        <f t="shared" si="8"/>
        <v>160.07130124777186</v>
      </c>
      <c r="W32" s="1">
        <f t="shared" si="9"/>
        <v>-5.1185732527551568</v>
      </c>
      <c r="X32">
        <f t="shared" si="10"/>
        <v>70.588235294117652</v>
      </c>
      <c r="Y32" s="1">
        <f t="shared" si="11"/>
        <v>39.735521395045559</v>
      </c>
      <c r="Z32">
        <f t="shared" si="12"/>
        <v>11.764705882352942</v>
      </c>
      <c r="AA32">
        <f t="shared" si="13"/>
        <v>-60.13534326031462</v>
      </c>
      <c r="AB32" s="1">
        <f t="shared" si="14"/>
        <v>56.111277372051305</v>
      </c>
      <c r="AC32">
        <f t="shared" si="15"/>
        <v>-1.1468793432843185</v>
      </c>
      <c r="AD32">
        <f t="shared" si="16"/>
        <v>54.964398028766986</v>
      </c>
    </row>
    <row r="33" spans="5:30" x14ac:dyDescent="0.3">
      <c r="E33" t="s">
        <v>91</v>
      </c>
      <c r="F33">
        <f>(B12*B9*F32*F31*F30)/(4*PI()*B15^2*(1-B7*COS(B14))^2)</f>
        <v>3.566848916488341E-4</v>
      </c>
      <c r="G33" t="s">
        <v>85</v>
      </c>
      <c r="H33">
        <f>10*LOG10(H32/B17^2)</f>
        <v>29.365158285479666</v>
      </c>
      <c r="I33" t="s">
        <v>85</v>
      </c>
      <c r="J33">
        <f>10*LOG10(J32/B17^2)</f>
        <v>34.791508783300159</v>
      </c>
      <c r="M33">
        <v>9000</v>
      </c>
      <c r="N33">
        <f t="shared" si="0"/>
        <v>3.2657185664028212</v>
      </c>
      <c r="O33" s="1">
        <f t="shared" si="1"/>
        <v>35.384469664355265</v>
      </c>
      <c r="P33">
        <f t="shared" si="2"/>
        <v>0.20323108666161788</v>
      </c>
      <c r="Q33" s="1">
        <f t="shared" si="3"/>
        <v>51.027718461657372</v>
      </c>
      <c r="R33">
        <f t="shared" si="4"/>
        <v>6.7772344000477547E-2</v>
      </c>
      <c r="S33" s="1">
        <f t="shared" si="5"/>
        <v>10.645390218538004</v>
      </c>
      <c r="T33">
        <f t="shared" si="6"/>
        <v>180.08021390374336</v>
      </c>
      <c r="U33" s="1">
        <f t="shared" si="7"/>
        <v>53.72090835339116</v>
      </c>
      <c r="V33">
        <f t="shared" si="8"/>
        <v>180.08021390374336</v>
      </c>
      <c r="W33" s="1">
        <f t="shared" si="9"/>
        <v>-6.3963862582154505</v>
      </c>
      <c r="X33">
        <f t="shared" si="10"/>
        <v>79.411764705882348</v>
      </c>
      <c r="Y33" s="1">
        <f t="shared" si="11"/>
        <v>38.461841697423061</v>
      </c>
      <c r="Z33">
        <f t="shared" si="12"/>
        <v>13.235294117647058</v>
      </c>
      <c r="AA33">
        <f t="shared" si="13"/>
        <v>-64.227544839450104</v>
      </c>
      <c r="AB33" s="1">
        <f t="shared" si="14"/>
        <v>55.714026810136012</v>
      </c>
      <c r="AC33">
        <f t="shared" si="15"/>
        <v>-1.8068953612431837</v>
      </c>
      <c r="AD33">
        <f t="shared" si="16"/>
        <v>53.907131448892827</v>
      </c>
    </row>
    <row r="34" spans="5:30" x14ac:dyDescent="0.3">
      <c r="E34" t="s">
        <v>85</v>
      </c>
      <c r="F34">
        <f>10*LOG10(F33/B17^2)</f>
        <v>59.502247226851765</v>
      </c>
      <c r="M34">
        <v>10000</v>
      </c>
      <c r="N34">
        <f t="shared" si="0"/>
        <v>3.6285761848920237</v>
      </c>
      <c r="O34" s="1">
        <f t="shared" si="1"/>
        <v>34.476106760433993</v>
      </c>
      <c r="P34">
        <f t="shared" si="2"/>
        <v>0.22581231851290876</v>
      </c>
      <c r="Q34" s="1">
        <f>10*LOG10((($B$12*$B$9*$H$16*$H$15*(0.613*(10*P34)^4*((10*P34)^1.5+0.5)^-4))/(4*PI()*$B$15^2*(1-$B$7*COS($B$14))^4))/$B$17^2)</f>
        <v>50.490405891649857</v>
      </c>
      <c r="R34">
        <f t="shared" si="4"/>
        <v>7.5302604444975052E-2</v>
      </c>
      <c r="S34" s="1">
        <f t="shared" si="5"/>
        <v>10.973936408985219</v>
      </c>
      <c r="T34">
        <f t="shared" si="6"/>
        <v>200.08912655971483</v>
      </c>
      <c r="U34" s="1">
        <f t="shared" si="7"/>
        <v>53.469242155307448</v>
      </c>
      <c r="V34">
        <f t="shared" si="8"/>
        <v>200.08912655971483</v>
      </c>
      <c r="W34" s="1">
        <f t="shared" si="9"/>
        <v>-7.5396081254625367</v>
      </c>
      <c r="X34">
        <f t="shared" si="10"/>
        <v>88.235294117647058</v>
      </c>
      <c r="Y34" s="1">
        <f t="shared" si="11"/>
        <v>37.321577953231987</v>
      </c>
      <c r="Z34">
        <f t="shared" si="12"/>
        <v>14.705882352941176</v>
      </c>
      <c r="AA34">
        <f t="shared" si="13"/>
        <v>-67.888144005498788</v>
      </c>
      <c r="AB34" s="1">
        <f t="shared" si="14"/>
        <v>55.346087408590378</v>
      </c>
      <c r="AC34">
        <f t="shared" si="15"/>
        <v>-2.4915694246069107</v>
      </c>
      <c r="AD34">
        <f t="shared" si="16"/>
        <v>52.85451798398347</v>
      </c>
    </row>
    <row r="35" spans="5:30" x14ac:dyDescent="0.3">
      <c r="M35">
        <v>20000</v>
      </c>
      <c r="N35">
        <f t="shared" si="0"/>
        <v>7.2571523697840474</v>
      </c>
      <c r="O35">
        <f t="shared" si="1"/>
        <v>28.481155871453304</v>
      </c>
      <c r="P35">
        <f t="shared" si="2"/>
        <v>0.45162463702581751</v>
      </c>
      <c r="Q35">
        <f>10*LOG10((($B$12*$B$9*$H$16*$H$15*(0.613*(10*P35)^4*((10*P35)^1.5+0.5)^-4))/(4*PI()*$B$15^2*(1-$B$7*COS($B$14))^4))/$B$17^2)</f>
        <v>45.975421489752136</v>
      </c>
      <c r="R35">
        <f t="shared" si="4"/>
        <v>0.1506052088899501</v>
      </c>
      <c r="S35">
        <f t="shared" si="5"/>
        <v>10.665396451316866</v>
      </c>
      <c r="T35">
        <f t="shared" si="6"/>
        <v>400.17825311942966</v>
      </c>
      <c r="U35">
        <f t="shared" si="7"/>
        <v>51.813577179155544</v>
      </c>
      <c r="V35">
        <f t="shared" si="8"/>
        <v>400.17825311942966</v>
      </c>
      <c r="W35">
        <f t="shared" si="9"/>
        <v>-15.063070278505615</v>
      </c>
      <c r="X35">
        <f t="shared" si="10"/>
        <v>176.47058823529412</v>
      </c>
      <c r="Y35">
        <f t="shared" si="11"/>
        <v>29.807582933483133</v>
      </c>
      <c r="Z35">
        <f t="shared" si="12"/>
        <v>29.411764705882351</v>
      </c>
      <c r="AA35">
        <f t="shared" si="13"/>
        <v>-91.970543599286913</v>
      </c>
      <c r="AB35">
        <f t="shared" si="14"/>
        <v>52.857582558852343</v>
      </c>
      <c r="AC35">
        <f t="shared" si="15"/>
        <v>-9.3467937594815851</v>
      </c>
      <c r="AD35">
        <f t="shared" si="16"/>
        <v>43.510788799370758</v>
      </c>
    </row>
    <row r="36" spans="5:30" x14ac:dyDescent="0.3">
      <c r="E36" t="s">
        <v>116</v>
      </c>
      <c r="M36">
        <v>30000</v>
      </c>
      <c r="N36">
        <f t="shared" si="0"/>
        <v>10.885728554676072</v>
      </c>
      <c r="O36">
        <f t="shared" si="1"/>
        <v>24.965728675824977</v>
      </c>
      <c r="P36">
        <f t="shared" si="2"/>
        <v>0.6774369555387264</v>
      </c>
      <c r="Q36">
        <f>10*LOG10((($B$12*$B$9*$H$16*$H$15*(0.613*(10*P36)^4*((10*P36)^1.5+0.5)^-4))/(4*PI()*$B$15^2*(1-$B$7*COS($B$14))^4))/$B$17^2)</f>
        <v>42.850046077868853</v>
      </c>
      <c r="R36">
        <f t="shared" si="4"/>
        <v>0.22590781333492518</v>
      </c>
      <c r="S36">
        <f t="shared" si="5"/>
        <v>8.9165079359239598</v>
      </c>
      <c r="T36">
        <f t="shared" si="6"/>
        <v>600.26737967914448</v>
      </c>
      <c r="U36">
        <f t="shared" si="7"/>
        <v>50.845075254349304</v>
      </c>
      <c r="V36">
        <f t="shared" si="8"/>
        <v>600.26737967914448</v>
      </c>
      <c r="W36">
        <f t="shared" si="9"/>
        <v>-19.464928040825995</v>
      </c>
      <c r="X36">
        <f t="shared" si="10"/>
        <v>264.70588235294116</v>
      </c>
      <c r="Y36">
        <f t="shared" si="11"/>
        <v>25.407479837849301</v>
      </c>
      <c r="Z36">
        <f t="shared" si="12"/>
        <v>44.117647058823529</v>
      </c>
      <c r="AA36">
        <f t="shared" si="13"/>
        <v>-106.05784432351783</v>
      </c>
      <c r="AB36">
        <f t="shared" si="14"/>
        <v>51.505264967215808</v>
      </c>
      <c r="AC36">
        <f t="shared" si="15"/>
        <v>-14.969811759715991</v>
      </c>
      <c r="AD36">
        <f t="shared" si="16"/>
        <v>36.535453207499813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14.514304739568095</v>
      </c>
      <c r="O37">
        <f t="shared" si="1"/>
        <v>22.469633326751573</v>
      </c>
      <c r="P37">
        <f t="shared" si="2"/>
        <v>0.90324927405163502</v>
      </c>
      <c r="Q37">
        <f>10*LOG10((($B$12*$B$9*$H$16*$H$15*(0.613*(10*P37)^4*((10*P37)^1.5+0.5)^-4))/(4*PI()*$B$15^2*(1-$B$7*COS($B$14))^4))/$B$17^2)</f>
        <v>40.519980429057796</v>
      </c>
      <c r="R37">
        <f t="shared" si="4"/>
        <v>0.30121041777990021</v>
      </c>
      <c r="S37">
        <f t="shared" si="5"/>
        <v>7.2173433146707833</v>
      </c>
      <c r="T37">
        <f t="shared" si="6"/>
        <v>800.35650623885931</v>
      </c>
      <c r="U37">
        <f t="shared" si="7"/>
        <v>50.157912203003654</v>
      </c>
      <c r="V37">
        <f t="shared" si="8"/>
        <v>800.35650623885931</v>
      </c>
      <c r="W37">
        <f t="shared" si="9"/>
        <v>-22.588248151767701</v>
      </c>
      <c r="X37">
        <f t="shared" si="10"/>
        <v>352.94117647058823</v>
      </c>
      <c r="Y37">
        <f t="shared" si="11"/>
        <v>22.284773970650495</v>
      </c>
      <c r="Z37">
        <f t="shared" si="12"/>
        <v>58.823529411764703</v>
      </c>
      <c r="AA37">
        <f t="shared" si="13"/>
        <v>-116.05294325217365</v>
      </c>
      <c r="AB37">
        <f t="shared" si="14"/>
        <v>50.619272042069348</v>
      </c>
      <c r="AC37">
        <f t="shared" si="15"/>
        <v>-19.409938448212671</v>
      </c>
      <c r="AD37">
        <f t="shared" si="16"/>
        <v>31.209333593856677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67.067844136864295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61.549898484442458</v>
      </c>
      <c r="S38">
        <f t="shared" si="17"/>
        <v>17.825614120515237</v>
      </c>
      <c r="U38">
        <f t="shared" si="17"/>
        <v>77.800663301562992</v>
      </c>
      <c r="W38">
        <f t="shared" si="17"/>
        <v>37.804940607202461</v>
      </c>
      <c r="Y38">
        <f t="shared" si="17"/>
        <v>74.208607258865982</v>
      </c>
      <c r="AA38">
        <f t="shared" si="17"/>
        <v>23.356016673418875</v>
      </c>
      <c r="AB38">
        <f t="shared" si="17"/>
        <v>79.691640612620958</v>
      </c>
      <c r="AD38">
        <f t="shared" si="17"/>
        <v>73.693280702837981</v>
      </c>
    </row>
    <row r="39" spans="5:30" x14ac:dyDescent="0.3">
      <c r="E39" t="s">
        <v>117</v>
      </c>
      <c r="F39">
        <v>0.1</v>
      </c>
      <c r="AA39" t="s">
        <v>161</v>
      </c>
      <c r="AB39">
        <f>'6 bladed propeller ATR-72'!F76+20*LOG10(450/B18)</f>
        <v>84.52782146691186</v>
      </c>
    </row>
    <row r="40" spans="5:30" x14ac:dyDescent="0.3">
      <c r="E40" t="s">
        <v>118</v>
      </c>
      <c r="F40">
        <v>0.46</v>
      </c>
      <c r="M40" t="s">
        <v>153</v>
      </c>
      <c r="O40">
        <f>O38-20*LOG10($B$18-1)</f>
        <v>25.520486031181171</v>
      </c>
      <c r="Q40">
        <f>Q38-20*LOG10($B$18-1)</f>
        <v>20.002540378759335</v>
      </c>
      <c r="S40">
        <f>S38-20*LOG10($B$18-1)</f>
        <v>-23.721743985167887</v>
      </c>
      <c r="U40">
        <f>U38-20*LOG10($B$18-1)</f>
        <v>36.253305195879868</v>
      </c>
      <c r="W40">
        <f>W38-20*LOG10($B$18-1)</f>
        <v>-3.7424174984806626</v>
      </c>
      <c r="Y40">
        <f>Y38-20*LOG10($B$18-1)</f>
        <v>32.661249153182858</v>
      </c>
      <c r="AA40">
        <f>AA38-20*LOG10($B$18-1)</f>
        <v>-18.191341432264249</v>
      </c>
      <c r="AB40">
        <f>10*LOG10(10^((AB38)/10)+10^(AB39/10))</f>
        <v>85.761057643878488</v>
      </c>
      <c r="AD40">
        <f>AD38-20*LOG10($B$18-1)</f>
        <v>32.145922597154858</v>
      </c>
    </row>
    <row r="41" spans="5:30" x14ac:dyDescent="0.3">
      <c r="E41" t="s">
        <v>89</v>
      </c>
      <c r="F41">
        <f>(F39/B10)^2*(F40/F39)</f>
        <v>4.6738354578096612E-5</v>
      </c>
    </row>
    <row r="42" spans="5:30" x14ac:dyDescent="0.3">
      <c r="E42" t="s">
        <v>83</v>
      </c>
      <c r="F42">
        <f>F39</f>
        <v>0.1</v>
      </c>
    </row>
    <row r="43" spans="5:30" x14ac:dyDescent="0.3">
      <c r="E43" t="s">
        <v>81</v>
      </c>
      <c r="F43">
        <f>(B13*F42)*(1-B7*COS(B14))/(B7*B9)</f>
        <v>1.1764705882352942</v>
      </c>
    </row>
    <row r="44" spans="5:30" x14ac:dyDescent="0.3">
      <c r="E44" t="s">
        <v>125</v>
      </c>
      <c r="F44">
        <f>5.325*(30+F43^8)^-1</f>
        <v>0.1581533515790581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3.9022658823680022E-2</v>
      </c>
    </row>
    <row r="47" spans="5:30" x14ac:dyDescent="0.3">
      <c r="E47" t="s">
        <v>91</v>
      </c>
      <c r="F47">
        <f>(B12*B9*F46*F45*F44)/(4*PI()*B15^2*(1-B7*COS(B14))^2)</f>
        <v>4.226034934971152E-9</v>
      </c>
    </row>
    <row r="48" spans="5:30" x14ac:dyDescent="0.3">
      <c r="E48" t="s">
        <v>85</v>
      </c>
      <c r="F48">
        <f>10*LOG10(F47/B17^2)</f>
        <v>10.238730915450965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C501-FB24-4370-918C-8C8676D006B6}">
  <dimension ref="A1:Q29"/>
  <sheetViews>
    <sheetView zoomScale="87" workbookViewId="0">
      <selection activeCell="T17" sqref="T17"/>
    </sheetView>
  </sheetViews>
  <sheetFormatPr defaultRowHeight="14.4" x14ac:dyDescent="0.3"/>
  <cols>
    <col min="2" max="6" width="9" bestFit="1" customWidth="1"/>
    <col min="7" max="7" width="13" bestFit="1" customWidth="1"/>
    <col min="8" max="14" width="9" bestFit="1" customWidth="1"/>
    <col min="15" max="15" width="3.77734375" customWidth="1"/>
    <col min="16" max="16" width="25.44140625" customWidth="1"/>
    <col min="17" max="17" width="9" bestFit="1" customWidth="1"/>
  </cols>
  <sheetData>
    <row r="1" spans="1:17" x14ac:dyDescent="0.3">
      <c r="A1" t="s">
        <v>128</v>
      </c>
      <c r="B1" t="s">
        <v>130</v>
      </c>
      <c r="C1" t="s">
        <v>131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148</v>
      </c>
      <c r="Q1" t="s">
        <v>162</v>
      </c>
    </row>
    <row r="2" spans="1:17" x14ac:dyDescent="0.3">
      <c r="A2">
        <v>10</v>
      </c>
      <c r="B2">
        <v>3.6285761848920237E-3</v>
      </c>
      <c r="C2" s="1">
        <v>19.902671250617097</v>
      </c>
      <c r="D2">
        <v>2.2581231851290877E-4</v>
      </c>
      <c r="E2" s="1">
        <v>-33.859435580867448</v>
      </c>
      <c r="F2">
        <v>7.5302604444975048E-5</v>
      </c>
      <c r="G2" s="1">
        <v>-94.505571081600721</v>
      </c>
      <c r="H2">
        <v>0.20008912655971484</v>
      </c>
      <c r="I2" s="1">
        <v>69.969242155307441</v>
      </c>
      <c r="J2">
        <v>0.20008912655971484</v>
      </c>
      <c r="K2" s="1">
        <v>11.306776932967043</v>
      </c>
      <c r="L2">
        <v>8.8235294117647065E-2</v>
      </c>
      <c r="M2" s="1">
        <v>40.204599923773017</v>
      </c>
      <c r="N2">
        <v>1.4705882352941176E-2</v>
      </c>
      <c r="O2">
        <v>10.739930490368717</v>
      </c>
      <c r="P2" s="1">
        <v>69.973878341134466</v>
      </c>
      <c r="Q2" s="1">
        <v>77.646215897437884</v>
      </c>
    </row>
    <row r="3" spans="1:17" x14ac:dyDescent="0.3">
      <c r="A3">
        <v>20</v>
      </c>
      <c r="B3">
        <v>7.2571523697840474E-3</v>
      </c>
      <c r="C3" s="1">
        <v>31.516076436844319</v>
      </c>
      <c r="D3">
        <v>4.5162463702581754E-4</v>
      </c>
      <c r="E3" s="1">
        <v>-21.825049642890114</v>
      </c>
      <c r="F3">
        <v>1.506052088899501E-4</v>
      </c>
      <c r="G3" s="1">
        <v>-82.465683855626978</v>
      </c>
      <c r="H3">
        <v>0.40017825311942967</v>
      </c>
      <c r="I3" s="1">
        <v>68.313577179155544</v>
      </c>
      <c r="J3">
        <v>0.40017825311942967</v>
      </c>
      <c r="K3" s="1">
        <v>17.234230734269978</v>
      </c>
      <c r="L3">
        <v>0.17647058823529413</v>
      </c>
      <c r="M3" s="1">
        <v>46.206969816373508</v>
      </c>
      <c r="N3">
        <v>2.9411764705882353E-2</v>
      </c>
      <c r="O3">
        <v>10.739930490368636</v>
      </c>
      <c r="P3" s="1">
        <v>68.341176330723158</v>
      </c>
      <c r="Q3" s="1">
        <v>76.007475073098263</v>
      </c>
    </row>
    <row r="4" spans="1:17" x14ac:dyDescent="0.3">
      <c r="A4">
        <v>30</v>
      </c>
      <c r="B4">
        <v>1.0885728554676071E-2</v>
      </c>
      <c r="C4" s="1">
        <v>38.020960337690973</v>
      </c>
      <c r="D4">
        <v>6.7743695553872628E-4</v>
      </c>
      <c r="E4" s="1">
        <v>-14.790218969539694</v>
      </c>
      <c r="F4">
        <v>2.259078133349252E-4</v>
      </c>
      <c r="G4" s="1">
        <v>-75.423733100747356</v>
      </c>
      <c r="H4">
        <v>0.60026737967914456</v>
      </c>
      <c r="I4" s="1">
        <v>67.345075254349297</v>
      </c>
      <c r="J4">
        <v>0.60026737967914456</v>
      </c>
      <c r="K4" s="1">
        <v>20.602758739382043</v>
      </c>
      <c r="L4">
        <v>0.26470588235294118</v>
      </c>
      <c r="M4" s="1">
        <v>49.698487004555886</v>
      </c>
      <c r="N4">
        <v>4.4117647058823532E-2</v>
      </c>
      <c r="O4">
        <v>10.739930490366641</v>
      </c>
      <c r="P4" s="1">
        <v>67.424192379499473</v>
      </c>
      <c r="Q4" s="1">
        <v>75.076865918435672</v>
      </c>
    </row>
    <row r="5" spans="1:17" x14ac:dyDescent="0.3">
      <c r="A5">
        <v>40</v>
      </c>
      <c r="B5">
        <v>1.4514304739568095E-2</v>
      </c>
      <c r="C5" s="1">
        <v>42.401389793300403</v>
      </c>
      <c r="D5">
        <v>9.0324927405163508E-4</v>
      </c>
      <c r="E5" s="1">
        <v>-9.8031079457832409</v>
      </c>
      <c r="F5">
        <v>3.0121041777990019E-4</v>
      </c>
      <c r="G5" s="1">
        <v>-70.42819608728</v>
      </c>
      <c r="H5">
        <v>0.80035650623885934</v>
      </c>
      <c r="I5" s="1">
        <v>66.657912203003647</v>
      </c>
      <c r="J5">
        <v>0.80035650623885934</v>
      </c>
      <c r="K5" s="1">
        <v>22.890879126037209</v>
      </c>
      <c r="L5">
        <v>0.35294117647058826</v>
      </c>
      <c r="M5" s="1">
        <v>52.154987855984217</v>
      </c>
      <c r="N5">
        <v>5.8823529411764705E-2</v>
      </c>
      <c r="O5">
        <v>10.739930490347966</v>
      </c>
      <c r="P5" s="1">
        <v>66.825132493902416</v>
      </c>
      <c r="Q5" s="1">
        <v>74.454564701877615</v>
      </c>
    </row>
    <row r="6" spans="1:17" x14ac:dyDescent="0.3">
      <c r="A6">
        <v>50</v>
      </c>
      <c r="B6">
        <v>1.814288092446012E-2</v>
      </c>
      <c r="C6" s="1">
        <v>45.603355638629935</v>
      </c>
      <c r="D6">
        <v>1.1290615925645439E-3</v>
      </c>
      <c r="E6" s="1">
        <v>-5.9385399215591175</v>
      </c>
      <c r="F6">
        <v>3.7651302222487535E-4</v>
      </c>
      <c r="G6" s="1">
        <v>-66.554077961579338</v>
      </c>
      <c r="H6">
        <v>1.0004456327985742</v>
      </c>
      <c r="I6" s="1">
        <v>66.124907131459338</v>
      </c>
      <c r="J6">
        <v>1.0004456327985742</v>
      </c>
      <c r="K6" s="1">
        <v>24.564744344108004</v>
      </c>
      <c r="L6">
        <v>0.44117647058823528</v>
      </c>
      <c r="M6" s="1">
        <v>54.039103336077766</v>
      </c>
      <c r="N6">
        <v>7.3529411764705885E-2</v>
      </c>
      <c r="O6">
        <v>10.739930490245023</v>
      </c>
      <c r="P6" s="1">
        <v>66.422001101088711</v>
      </c>
      <c r="Q6" s="1">
        <v>74.017669890114377</v>
      </c>
    </row>
    <row r="7" spans="1:17" x14ac:dyDescent="0.3">
      <c r="A7">
        <v>60</v>
      </c>
      <c r="B7">
        <v>2.1771457109352143E-2</v>
      </c>
      <c r="C7" s="1">
        <v>48.05413333892767</v>
      </c>
      <c r="D7">
        <v>1.3548739110774526E-3</v>
      </c>
      <c r="E7" s="1">
        <v>-2.7843642546491632</v>
      </c>
      <c r="F7">
        <v>4.5181562666985039E-4</v>
      </c>
      <c r="G7" s="1">
        <v>-63.389351483786392</v>
      </c>
      <c r="H7">
        <v>1.2005347593582891</v>
      </c>
      <c r="I7" s="1">
        <v>65.689410278197414</v>
      </c>
      <c r="J7">
        <v>1.2005347593582891</v>
      </c>
      <c r="K7" s="1">
        <v>25.8347120792967</v>
      </c>
      <c r="L7">
        <v>0.52941176470588236</v>
      </c>
      <c r="M7" s="1">
        <v>55.557028599810664</v>
      </c>
      <c r="N7">
        <v>8.8235294117647065E-2</v>
      </c>
      <c r="O7">
        <v>10.739930489836851</v>
      </c>
      <c r="P7" s="1">
        <v>66.159595093566963</v>
      </c>
      <c r="Q7" s="1">
        <v>73.711519204958392</v>
      </c>
    </row>
    <row r="8" spans="1:17" x14ac:dyDescent="0.3">
      <c r="A8">
        <v>70</v>
      </c>
      <c r="B8">
        <v>2.5400033294244166E-2</v>
      </c>
      <c r="C8" s="1">
        <v>49.985172317896172</v>
      </c>
      <c r="D8">
        <v>1.5806862295903615E-3</v>
      </c>
      <c r="E8" s="1">
        <v>-0.12069603475830783</v>
      </c>
      <c r="F8">
        <v>5.2711823111482544E-4</v>
      </c>
      <c r="G8" s="1">
        <v>-60.71422293784665</v>
      </c>
      <c r="H8">
        <v>1.4006238859180038</v>
      </c>
      <c r="I8" s="1">
        <v>65.321202935229039</v>
      </c>
      <c r="J8">
        <v>1.4006238859180038</v>
      </c>
      <c r="K8" s="1">
        <v>26.815492819060989</v>
      </c>
      <c r="L8">
        <v>0.61764705882352944</v>
      </c>
      <c r="M8" s="1">
        <v>56.818884591192436</v>
      </c>
      <c r="N8">
        <v>0.10294117647058823</v>
      </c>
      <c r="O8">
        <v>10.739930488543244</v>
      </c>
      <c r="P8" s="1">
        <v>66.005256483315833</v>
      </c>
      <c r="Q8" s="1">
        <v>73.505367227331035</v>
      </c>
    </row>
    <row r="9" spans="1:17" x14ac:dyDescent="0.3">
      <c r="A9">
        <v>80</v>
      </c>
      <c r="B9">
        <v>2.9028609479136189E-2</v>
      </c>
      <c r="C9" s="1">
        <v>51.536806289724396</v>
      </c>
      <c r="D9">
        <v>1.8064985481032702E-3</v>
      </c>
      <c r="E9" s="1">
        <v>2.1837369712394601</v>
      </c>
      <c r="F9">
        <v>6.0242083555980038E-4</v>
      </c>
      <c r="G9" s="1">
        <v>-58.397491254312797</v>
      </c>
      <c r="H9">
        <v>1.6007130124777187</v>
      </c>
      <c r="I9" s="1">
        <v>65.002247226851765</v>
      </c>
      <c r="J9">
        <v>1.6007130124777187</v>
      </c>
      <c r="K9" s="1">
        <v>27.577756512007227</v>
      </c>
      <c r="L9">
        <v>0.70588235294117652</v>
      </c>
      <c r="M9" s="1">
        <v>57.89053431105431</v>
      </c>
      <c r="N9">
        <v>0.11764705882352941</v>
      </c>
      <c r="O9">
        <v>10.739930485056062</v>
      </c>
      <c r="P9" s="1">
        <v>65.935307227630389</v>
      </c>
      <c r="Q9" s="1">
        <v>73.378376583735275</v>
      </c>
    </row>
    <row r="10" spans="1:17" x14ac:dyDescent="0.3">
      <c r="A10">
        <v>90</v>
      </c>
      <c r="B10">
        <v>3.2657185664028213E-2</v>
      </c>
      <c r="C10" s="1">
        <v>52.800908736594877</v>
      </c>
      <c r="D10">
        <v>2.0323108666161788E-3</v>
      </c>
      <c r="E10" s="1">
        <v>4.2136224854333362</v>
      </c>
      <c r="F10">
        <v>6.7772344000477554E-4</v>
      </c>
      <c r="G10" s="1">
        <v>-56.354526400909663</v>
      </c>
      <c r="H10">
        <v>1.8008021390374334</v>
      </c>
      <c r="I10" s="1">
        <v>64.720908353391152</v>
      </c>
      <c r="J10">
        <v>1.8008021390374334</v>
      </c>
      <c r="K10" s="1">
        <v>28.168950136443751</v>
      </c>
      <c r="L10">
        <v>0.79411764705882348</v>
      </c>
      <c r="M10" s="1">
        <v>58.814589789569354</v>
      </c>
      <c r="N10">
        <v>0.13235294117647059</v>
      </c>
      <c r="O10">
        <v>10.739930476737589</v>
      </c>
      <c r="P10" s="1">
        <v>65.930465008206596</v>
      </c>
      <c r="Q10" s="1">
        <v>73.314428373365033</v>
      </c>
    </row>
    <row r="11" spans="1:17" x14ac:dyDescent="0.3">
      <c r="A11">
        <v>100</v>
      </c>
      <c r="B11">
        <v>3.6285761848920239E-2</v>
      </c>
      <c r="C11" s="1">
        <v>53.841043118587038</v>
      </c>
      <c r="D11">
        <v>2.2581231851290877E-3</v>
      </c>
      <c r="E11" s="1">
        <v>6.0267953445710898</v>
      </c>
      <c r="F11">
        <v>7.5302604444975069E-4</v>
      </c>
      <c r="G11" s="1">
        <v>-54.527541647887602</v>
      </c>
      <c r="H11">
        <v>2.0008912655971485</v>
      </c>
      <c r="I11" s="1">
        <v>64.469242155307441</v>
      </c>
      <c r="J11">
        <v>2.0008912655971485</v>
      </c>
      <c r="K11" s="1">
        <v>28.622999003078291</v>
      </c>
      <c r="L11">
        <v>0.88235294117647056</v>
      </c>
      <c r="M11" s="1">
        <v>59.620272176752437</v>
      </c>
      <c r="N11">
        <v>0.14705882352941177</v>
      </c>
      <c r="O11">
        <v>10.739930458702824</v>
      </c>
      <c r="P11" s="1">
        <v>65.974402437748935</v>
      </c>
      <c r="Q11" s="1">
        <v>73.300139480400631</v>
      </c>
    </row>
    <row r="12" spans="1:17" x14ac:dyDescent="0.3">
      <c r="A12">
        <v>200</v>
      </c>
      <c r="B12">
        <v>7.2571523697840479E-2</v>
      </c>
      <c r="C12" s="1">
        <v>58.199944517458135</v>
      </c>
      <c r="D12">
        <v>4.5162463702581755E-3</v>
      </c>
      <c r="E12" s="1">
        <v>17.855194373216516</v>
      </c>
      <c r="F12">
        <v>1.5060520888995014E-3</v>
      </c>
      <c r="G12" s="1">
        <v>-42.527749609878725</v>
      </c>
      <c r="H12">
        <v>4.0017825311942969</v>
      </c>
      <c r="I12" s="1">
        <v>62.813577179155551</v>
      </c>
      <c r="J12">
        <v>4.0017825311942969</v>
      </c>
      <c r="K12" s="1">
        <v>29.300200660404457</v>
      </c>
      <c r="L12">
        <v>1.7647058823529411</v>
      </c>
      <c r="M12" s="1">
        <v>64.057573495391452</v>
      </c>
      <c r="N12">
        <v>0.29411764705882354</v>
      </c>
      <c r="O12">
        <v>10.739922383907397</v>
      </c>
      <c r="P12" s="1">
        <v>67.091379350959841</v>
      </c>
      <c r="Q12" s="1">
        <v>74.127692799738497</v>
      </c>
    </row>
    <row r="13" spans="1:17" x14ac:dyDescent="0.3">
      <c r="A13">
        <v>300</v>
      </c>
      <c r="B13">
        <v>0.10885728554676072</v>
      </c>
      <c r="C13" s="1">
        <v>58.63605016434478</v>
      </c>
      <c r="D13">
        <v>6.7743695553872628E-3</v>
      </c>
      <c r="E13" s="1">
        <v>24.627095504994521</v>
      </c>
      <c r="F13">
        <v>2.2590781333492516E-3</v>
      </c>
      <c r="G13" s="1">
        <v>-35.537574100015256</v>
      </c>
      <c r="H13">
        <v>6.002673796791445</v>
      </c>
      <c r="I13" s="1">
        <v>61.845075254349304</v>
      </c>
      <c r="J13">
        <v>6.002673796791445</v>
      </c>
      <c r="K13" s="1">
        <v>27.6252714673452</v>
      </c>
      <c r="L13">
        <v>2.6470588235294117</v>
      </c>
      <c r="M13" s="1">
        <v>65.404338527128274</v>
      </c>
      <c r="N13">
        <v>0.44117647058823528</v>
      </c>
      <c r="O13">
        <v>10.739722735406875</v>
      </c>
      <c r="P13" s="1">
        <v>67.582714499581428</v>
      </c>
      <c r="Q13" s="1">
        <v>74.715085396838148</v>
      </c>
    </row>
    <row r="14" spans="1:17" x14ac:dyDescent="0.3">
      <c r="A14">
        <v>400</v>
      </c>
      <c r="B14">
        <v>0.14514304739568096</v>
      </c>
      <c r="C14" s="1">
        <v>58.105765146522053</v>
      </c>
      <c r="D14">
        <v>9.032492740516351E-3</v>
      </c>
      <c r="E14" s="1">
        <v>29.308243890429672</v>
      </c>
      <c r="F14">
        <v>3.0121041777990028E-3</v>
      </c>
      <c r="G14" s="1">
        <v>-30.603137119389189</v>
      </c>
      <c r="H14">
        <v>8.0035650623885939</v>
      </c>
      <c r="I14" s="1">
        <v>61.157912203003654</v>
      </c>
      <c r="J14">
        <v>8.0035650623885939</v>
      </c>
      <c r="K14" s="1">
        <v>25.67003186278335</v>
      </c>
      <c r="L14">
        <v>3.5294117647058822</v>
      </c>
      <c r="M14" s="1">
        <v>65.495629655544434</v>
      </c>
      <c r="N14">
        <v>0.58823529411764708</v>
      </c>
      <c r="O14">
        <v>10.737855730001275</v>
      </c>
      <c r="P14" s="1">
        <v>67.401931840037577</v>
      </c>
      <c r="Q14" s="1">
        <v>74.716164891705404</v>
      </c>
    </row>
    <row r="15" spans="1:17" x14ac:dyDescent="0.3">
      <c r="A15">
        <v>500</v>
      </c>
      <c r="B15">
        <v>0.1814288092446012</v>
      </c>
      <c r="C15" s="1">
        <v>57.302651330649546</v>
      </c>
      <c r="D15">
        <v>1.1290615925645439E-2</v>
      </c>
      <c r="E15" s="1">
        <v>32.832597881389731</v>
      </c>
      <c r="F15">
        <v>3.7651302222487535E-3</v>
      </c>
      <c r="G15" s="1">
        <v>-26.79804719278993</v>
      </c>
      <c r="H15">
        <v>10.004456327985741</v>
      </c>
      <c r="I15" s="1">
        <v>60.624907131459345</v>
      </c>
      <c r="J15">
        <v>10.004456327985741</v>
      </c>
      <c r="K15" s="1">
        <v>23.839227528905468</v>
      </c>
      <c r="L15">
        <v>4.4117647058823533</v>
      </c>
      <c r="M15" s="1">
        <v>65.015785847825939</v>
      </c>
      <c r="N15">
        <v>0.73529411764705888</v>
      </c>
      <c r="O15">
        <v>10.727578582380961</v>
      </c>
      <c r="P15" s="1">
        <v>66.873580320374543</v>
      </c>
      <c r="Q15" s="1">
        <v>74.353109146098291</v>
      </c>
    </row>
    <row r="16" spans="1:17" x14ac:dyDescent="0.3">
      <c r="A16">
        <v>600</v>
      </c>
      <c r="B16">
        <v>0.21771457109352144</v>
      </c>
      <c r="C16" s="1">
        <v>56.439777626016301</v>
      </c>
      <c r="D16">
        <v>1.3548739110774526E-2</v>
      </c>
      <c r="E16" s="1">
        <v>35.618708864078229</v>
      </c>
      <c r="F16">
        <v>4.5181562666985033E-3</v>
      </c>
      <c r="G16" s="1">
        <v>-23.709308345045457</v>
      </c>
      <c r="H16">
        <v>12.00534759358289</v>
      </c>
      <c r="I16" s="1">
        <v>60.1894102781974</v>
      </c>
      <c r="J16">
        <v>12.00534759358289</v>
      </c>
      <c r="K16" s="1">
        <v>22.196939607997692</v>
      </c>
      <c r="L16">
        <v>5.2941176470588234</v>
      </c>
      <c r="M16" s="1">
        <v>64.279769837686999</v>
      </c>
      <c r="N16">
        <v>0.88235294117647056</v>
      </c>
      <c r="O16">
        <v>10.687066991789489</v>
      </c>
      <c r="P16" s="1">
        <v>66.199236497542202</v>
      </c>
      <c r="Q16" s="1">
        <v>73.80554440380341</v>
      </c>
    </row>
    <row r="17" spans="1:17" x14ac:dyDescent="0.3">
      <c r="A17">
        <v>700</v>
      </c>
      <c r="B17">
        <v>0.25400033294244162</v>
      </c>
      <c r="C17" s="1">
        <v>55.590688893190283</v>
      </c>
      <c r="D17">
        <v>1.5806862295903615E-2</v>
      </c>
      <c r="E17" s="1">
        <v>37.891471407632878</v>
      </c>
      <c r="F17">
        <v>5.271182311148254E-3</v>
      </c>
      <c r="G17" s="1">
        <v>-21.116394897680316</v>
      </c>
      <c r="H17">
        <v>14.006238859180039</v>
      </c>
      <c r="I17" s="1">
        <v>59.821202935229032</v>
      </c>
      <c r="J17">
        <v>14.006238859180039</v>
      </c>
      <c r="K17" s="1">
        <v>20.732388376601278</v>
      </c>
      <c r="L17">
        <v>6.1764705882352944</v>
      </c>
      <c r="M17" s="1">
        <v>63.4403162861461</v>
      </c>
      <c r="N17">
        <v>1.0294117647058822</v>
      </c>
      <c r="O17">
        <v>10.561115207406855</v>
      </c>
      <c r="P17" s="1">
        <v>65.485633497717004</v>
      </c>
      <c r="Q17" s="1">
        <v>73.181888097993863</v>
      </c>
    </row>
    <row r="18" spans="1:17" x14ac:dyDescent="0.3">
      <c r="A18">
        <v>800</v>
      </c>
      <c r="B18">
        <v>0.29028609479136191</v>
      </c>
      <c r="C18" s="1">
        <v>54.781004783513438</v>
      </c>
      <c r="D18">
        <v>1.8064985481032702E-2</v>
      </c>
      <c r="E18" s="1">
        <v>39.786239845858468</v>
      </c>
      <c r="F18">
        <v>6.0242083555980055E-3</v>
      </c>
      <c r="G18" s="1">
        <v>-18.887521764565257</v>
      </c>
      <c r="H18">
        <v>16.007130124777188</v>
      </c>
      <c r="I18" s="1">
        <v>59.502247226851765</v>
      </c>
      <c r="J18">
        <v>16.007130124777188</v>
      </c>
      <c r="K18" s="1">
        <v>19.420750520338849</v>
      </c>
      <c r="L18">
        <v>7.0588235294117645</v>
      </c>
      <c r="M18" s="1">
        <v>62.57274579651326</v>
      </c>
      <c r="N18">
        <v>1.1764705882352942</v>
      </c>
      <c r="O18">
        <v>10.238730915450965</v>
      </c>
      <c r="P18" s="1">
        <v>64.786132820026609</v>
      </c>
      <c r="Q18" s="1">
        <v>72.54242881463945</v>
      </c>
    </row>
    <row r="19" spans="1:17" x14ac:dyDescent="0.3">
      <c r="A19">
        <v>900</v>
      </c>
      <c r="B19">
        <v>0.32657185664028215</v>
      </c>
      <c r="C19" s="1">
        <v>54.01819389024017</v>
      </c>
      <c r="D19">
        <v>2.0323108666161792E-2</v>
      </c>
      <c r="E19" s="1">
        <v>41.391110314725708</v>
      </c>
      <c r="F19">
        <v>6.7772344000477554E-3</v>
      </c>
      <c r="G19" s="1">
        <v>-16.937575047489531</v>
      </c>
      <c r="H19">
        <v>18.008021390374335</v>
      </c>
      <c r="I19" s="1">
        <v>59.22090835339116</v>
      </c>
      <c r="J19">
        <v>18.008021390374335</v>
      </c>
      <c r="K19" s="1">
        <v>18.237801570287491</v>
      </c>
      <c r="L19">
        <v>7.9411764705882355</v>
      </c>
      <c r="M19" s="1">
        <v>61.714145451659689</v>
      </c>
      <c r="N19">
        <v>1.3235294117647058</v>
      </c>
      <c r="O19">
        <v>9.5544119930638711</v>
      </c>
      <c r="P19" s="1">
        <v>64.125959611335077</v>
      </c>
      <c r="Q19" s="1">
        <v>71.919120760560119</v>
      </c>
    </row>
    <row r="20" spans="1:17" x14ac:dyDescent="0.3">
      <c r="A20">
        <v>1000</v>
      </c>
      <c r="B20">
        <v>0.36285761848920239</v>
      </c>
      <c r="C20" s="1">
        <v>53.302534216371285</v>
      </c>
      <c r="D20">
        <v>2.2581231851290878E-2</v>
      </c>
      <c r="E20" s="1">
        <v>42.766807592010736</v>
      </c>
      <c r="F20">
        <v>7.5302604444975069E-3</v>
      </c>
      <c r="G20" s="1">
        <v>-15.208355958301766</v>
      </c>
      <c r="H20">
        <v>20.008912655971482</v>
      </c>
      <c r="I20" s="1">
        <v>58.969242155307448</v>
      </c>
      <c r="J20">
        <v>20.008912655971482</v>
      </c>
      <c r="K20" s="1">
        <v>17.163016916392838</v>
      </c>
      <c r="L20">
        <v>8.8235294117647065</v>
      </c>
      <c r="M20" s="1">
        <v>60.8822707254322</v>
      </c>
      <c r="N20">
        <v>1.4705882352941178</v>
      </c>
      <c r="O20">
        <v>8.3616435919676046</v>
      </c>
      <c r="P20" s="1">
        <v>63.515776731927559</v>
      </c>
      <c r="Q20" s="1">
        <v>71.327944246047778</v>
      </c>
    </row>
    <row r="21" spans="1:17" x14ac:dyDescent="0.3">
      <c r="A21">
        <v>2000</v>
      </c>
      <c r="B21">
        <v>0.72571523697840479</v>
      </c>
      <c r="C21" s="1">
        <v>48.056497810086384</v>
      </c>
      <c r="D21">
        <v>4.5162463702581757E-2</v>
      </c>
      <c r="E21" s="1">
        <v>49.944739958365531</v>
      </c>
      <c r="F21">
        <v>1.5060520888995014E-2</v>
      </c>
      <c r="G21" s="1">
        <v>-4.3841222866110447</v>
      </c>
      <c r="H21">
        <v>40.017825311942964</v>
      </c>
      <c r="I21" s="1">
        <v>57.313577179155544</v>
      </c>
      <c r="J21">
        <v>40.017825311942964</v>
      </c>
      <c r="K21" s="1">
        <v>9.8617157230385271</v>
      </c>
      <c r="L21">
        <v>17.647058823529413</v>
      </c>
      <c r="M21" s="1">
        <v>54.426949350072462</v>
      </c>
      <c r="N21">
        <v>2.9411764705882355</v>
      </c>
      <c r="O21">
        <v>-11.993748309323131</v>
      </c>
      <c r="P21" s="1">
        <v>59.905689417032278</v>
      </c>
      <c r="Q21" s="1">
        <v>67.466290098260444</v>
      </c>
    </row>
    <row r="22" spans="1:17" x14ac:dyDescent="0.3">
      <c r="A22">
        <v>3000</v>
      </c>
      <c r="B22">
        <v>1.0885728554676071</v>
      </c>
      <c r="C22" s="1">
        <v>44.733202603968834</v>
      </c>
      <c r="D22">
        <v>6.7743695553872635E-2</v>
      </c>
      <c r="E22" s="1">
        <v>52.215494799127065</v>
      </c>
      <c r="F22">
        <v>2.2590781333492519E-2</v>
      </c>
      <c r="G22" s="1">
        <v>1.2005652677904934</v>
      </c>
      <c r="H22">
        <v>60.02673796791445</v>
      </c>
      <c r="I22" s="1">
        <v>56.345075254349304</v>
      </c>
      <c r="J22">
        <v>60.02673796791445</v>
      </c>
      <c r="K22" s="1">
        <v>5.501570571477493</v>
      </c>
      <c r="L22">
        <v>26.470588235294116</v>
      </c>
      <c r="M22" s="1">
        <v>50.236438564236039</v>
      </c>
      <c r="N22">
        <v>4.4117647058823533</v>
      </c>
      <c r="O22">
        <v>-26.05875206344367</v>
      </c>
      <c r="P22" s="1">
        <v>58.650568447111723</v>
      </c>
      <c r="Q22" s="1">
        <v>65.850979813422882</v>
      </c>
    </row>
    <row r="23" spans="1:17" x14ac:dyDescent="0.3">
      <c r="A23">
        <v>4000</v>
      </c>
      <c r="B23">
        <v>1.4514304739568096</v>
      </c>
      <c r="C23" s="1">
        <v>42.31822617534565</v>
      </c>
      <c r="D23">
        <v>9.0324927405163513E-2</v>
      </c>
      <c r="E23" s="1">
        <v>52.863836011311854</v>
      </c>
      <c r="F23">
        <v>3.0121041777990028E-2</v>
      </c>
      <c r="G23" s="1">
        <v>4.6153264140314594</v>
      </c>
      <c r="H23">
        <v>80.035650623885928</v>
      </c>
      <c r="I23" s="1">
        <v>55.657912203003654</v>
      </c>
      <c r="J23">
        <v>80.035650623885928</v>
      </c>
      <c r="K23" s="1">
        <v>2.3928929008968018</v>
      </c>
      <c r="L23">
        <v>35.294117647058826</v>
      </c>
      <c r="M23" s="1">
        <v>47.188187639398855</v>
      </c>
      <c r="N23">
        <v>5.882352941176471</v>
      </c>
      <c r="O23">
        <v>-36.053034137210673</v>
      </c>
      <c r="P23" s="1">
        <v>57.998340421595444</v>
      </c>
      <c r="Q23" s="1">
        <v>65.016387895908025</v>
      </c>
    </row>
    <row r="24" spans="1:17" x14ac:dyDescent="0.3">
      <c r="A24">
        <v>5000</v>
      </c>
      <c r="B24">
        <v>1.8142880924460119</v>
      </c>
      <c r="C24" s="1">
        <v>40.424364645616279</v>
      </c>
      <c r="D24">
        <v>0.11290615925645438</v>
      </c>
      <c r="E24" s="1">
        <v>52.846894486610303</v>
      </c>
      <c r="F24">
        <v>3.7651302222487526E-2</v>
      </c>
      <c r="G24" s="1">
        <v>6.8553186657140852</v>
      </c>
      <c r="H24">
        <v>100.04456327985741</v>
      </c>
      <c r="I24" s="1">
        <v>55.124907131459338</v>
      </c>
      <c r="J24">
        <v>100.04456327985741</v>
      </c>
      <c r="K24" s="1">
        <v>-2.3003835781301087E-2</v>
      </c>
      <c r="L24">
        <v>44.117647058823529</v>
      </c>
      <c r="M24" s="1">
        <v>44.800449255533145</v>
      </c>
      <c r="N24">
        <v>7.3529411764705879</v>
      </c>
      <c r="O24">
        <v>-43.805759540929159</v>
      </c>
      <c r="P24" s="1">
        <v>57.476483024656389</v>
      </c>
      <c r="Q24" s="1">
        <v>64.438445462226809</v>
      </c>
    </row>
    <row r="25" spans="1:17" x14ac:dyDescent="0.3">
      <c r="A25">
        <v>6000</v>
      </c>
      <c r="B25">
        <v>2.1771457109352141</v>
      </c>
      <c r="C25" s="1">
        <v>38.867481128382245</v>
      </c>
      <c r="D25">
        <v>0.13548739110774527</v>
      </c>
      <c r="E25" s="1">
        <v>52.5311775390172</v>
      </c>
      <c r="F25">
        <v>4.5181562666985038E-2</v>
      </c>
      <c r="G25" s="1">
        <v>8.3762824467317341</v>
      </c>
      <c r="H25">
        <v>120.0534759358289</v>
      </c>
      <c r="I25" s="1">
        <v>54.6894102781974</v>
      </c>
      <c r="J25">
        <v>120.0534759358289</v>
      </c>
      <c r="K25" s="1">
        <v>-1.9988100342132999</v>
      </c>
      <c r="L25">
        <v>52.941176470588232</v>
      </c>
      <c r="M25" s="1">
        <v>42.839989648962977</v>
      </c>
      <c r="N25">
        <v>8.8235294117647065</v>
      </c>
      <c r="O25">
        <v>-50.14024752285551</v>
      </c>
      <c r="P25" s="1">
        <v>56.99364402984078</v>
      </c>
      <c r="Q25" s="1">
        <v>63.95946239560719</v>
      </c>
    </row>
    <row r="26" spans="1:17" x14ac:dyDescent="0.3">
      <c r="A26">
        <v>7000</v>
      </c>
      <c r="B26">
        <v>2.5400033294244166</v>
      </c>
      <c r="C26" s="1">
        <v>37.5461190696739</v>
      </c>
      <c r="D26">
        <v>0.15806862295903615</v>
      </c>
      <c r="E26" s="1">
        <v>52.077725062878699</v>
      </c>
      <c r="F26">
        <v>5.2711823111482536E-2</v>
      </c>
      <c r="G26" s="1">
        <v>9.4252812364194334</v>
      </c>
      <c r="H26">
        <v>140.06238859180039</v>
      </c>
      <c r="I26" s="1">
        <v>54.321202935229032</v>
      </c>
      <c r="J26">
        <v>140.06238859180039</v>
      </c>
      <c r="K26" s="1">
        <v>-3.6702330595359274</v>
      </c>
      <c r="L26">
        <v>61.764705882352942</v>
      </c>
      <c r="M26" s="1">
        <v>41.177837462424762</v>
      </c>
      <c r="N26">
        <v>10.294117647058824</v>
      </c>
      <c r="O26">
        <v>-55.495988180295569</v>
      </c>
      <c r="P26" s="1">
        <v>56.538202563888824</v>
      </c>
      <c r="Q26" s="1">
        <v>63.532975211396334</v>
      </c>
    </row>
    <row r="27" spans="1:17" x14ac:dyDescent="0.3">
      <c r="A27">
        <v>8000</v>
      </c>
      <c r="B27">
        <v>2.9028609479136191</v>
      </c>
      <c r="C27" s="1">
        <v>36.398552535382564</v>
      </c>
      <c r="D27">
        <v>0.18064985481032703</v>
      </c>
      <c r="E27" s="1">
        <v>51.563592119897024</v>
      </c>
      <c r="F27">
        <v>6.0242083555980055E-2</v>
      </c>
      <c r="G27" s="1">
        <v>10.150186204765223</v>
      </c>
      <c r="H27">
        <v>160.07130124777186</v>
      </c>
      <c r="I27" s="1">
        <v>54.00224722685175</v>
      </c>
      <c r="J27">
        <v>160.07130124777186</v>
      </c>
      <c r="K27" s="1">
        <v>-5.1185732527551568</v>
      </c>
      <c r="L27">
        <v>70.588235294117652</v>
      </c>
      <c r="M27" s="1">
        <v>39.735521395045559</v>
      </c>
      <c r="N27">
        <v>11.764705882352942</v>
      </c>
      <c r="O27">
        <v>-60.13534326031462</v>
      </c>
      <c r="P27" s="1">
        <v>56.111277372051305</v>
      </c>
      <c r="Q27" s="1">
        <v>63.144170419366802</v>
      </c>
    </row>
    <row r="28" spans="1:17" x14ac:dyDescent="0.3">
      <c r="A28">
        <v>9000</v>
      </c>
      <c r="B28">
        <v>3.2657185664028212</v>
      </c>
      <c r="C28" s="1">
        <v>35.384469664355265</v>
      </c>
      <c r="D28">
        <v>0.20323108666161788</v>
      </c>
      <c r="E28" s="1">
        <v>51.027718461657372</v>
      </c>
      <c r="F28">
        <v>6.7772344000477547E-2</v>
      </c>
      <c r="G28" s="1">
        <v>10.645390218538004</v>
      </c>
      <c r="H28">
        <v>180.08021390374336</v>
      </c>
      <c r="I28" s="1">
        <v>53.72090835339116</v>
      </c>
      <c r="J28">
        <v>180.08021390374336</v>
      </c>
      <c r="K28" s="1">
        <v>-6.3963862582154505</v>
      </c>
      <c r="L28">
        <v>79.411764705882348</v>
      </c>
      <c r="M28" s="1">
        <v>38.461841697423061</v>
      </c>
      <c r="N28">
        <v>13.235294117647058</v>
      </c>
      <c r="O28">
        <v>-64.227544839450104</v>
      </c>
      <c r="P28" s="1">
        <v>55.714026810136012</v>
      </c>
      <c r="Q28" s="1">
        <v>62.787108254821092</v>
      </c>
    </row>
    <row r="29" spans="1:17" x14ac:dyDescent="0.3">
      <c r="A29">
        <v>10000</v>
      </c>
      <c r="B29">
        <v>3.6285761848920237</v>
      </c>
      <c r="C29" s="1">
        <v>34.476106760433993</v>
      </c>
      <c r="D29">
        <v>0.22581231851290876</v>
      </c>
      <c r="E29" s="1">
        <v>50.490405891649857</v>
      </c>
      <c r="F29">
        <v>7.5302604444975052E-2</v>
      </c>
      <c r="G29" s="1">
        <v>10.973936408985219</v>
      </c>
      <c r="H29">
        <v>200.08912655971483</v>
      </c>
      <c r="I29" s="1">
        <v>53.469242155307448</v>
      </c>
      <c r="J29">
        <v>200.08912655971483</v>
      </c>
      <c r="K29" s="1">
        <v>-7.5396081254625367</v>
      </c>
      <c r="L29">
        <v>88.235294117647058</v>
      </c>
      <c r="M29" s="1">
        <v>37.321577953231987</v>
      </c>
      <c r="N29">
        <v>14.705882352941176</v>
      </c>
      <c r="O29">
        <v>-67.888144005498788</v>
      </c>
      <c r="P29" s="1">
        <v>55.346087408590378</v>
      </c>
      <c r="Q29" s="1">
        <v>62.458316193489594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8"/>
  <sheetViews>
    <sheetView topLeftCell="E1" zoomScale="85" zoomScaleNormal="85" workbookViewId="0">
      <selection activeCell="AB34" sqref="M6:AB34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7" max="27" width="12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0.3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2.2306258716687463E-3</v>
      </c>
      <c r="O7" s="1">
        <f>10*LOG10((($B$12*$B$9*$F$11*$F$14*(0.613*(10*N7)^4*((10*N7)^1.5+0.5)^-4))/(4*PI()*$B$15^2*(1-$B$7*COS($B$14))))/$B$17^2)</f>
        <v>1.4565330095641476</v>
      </c>
      <c r="P7">
        <f>(M7*$H$10)*(1-$B$7*COS($B$14))/($B$7*$B$9)</f>
        <v>1.3881555027385668E-4</v>
      </c>
      <c r="Q7" s="1">
        <f>10*LOG10((($B$12*$B$9*$H$16*$H$15*(0.613*(10*P7)^4*((10*P7)^1.5+0.5)^-4))/(4*PI()*$B$15^2*(1-$B$7*COS($B$14))^4))/$B$17^2)</f>
        <v>-52.426781626695742</v>
      </c>
      <c r="R7">
        <f>(M7*$J$10)*(1-$B$7*COS($B$14))/($B$7*$B$9)</f>
        <v>4.6291418209260436E-5</v>
      </c>
      <c r="S7" s="1">
        <f>10*LOG10((($B$12*$B$9*$J$16*$J$15*(0.613*(10*R7)^4*((10*R7)^1.5+0.5)^-4))/(4*PI()*$B$15^2*(1-$B$7*COS($B$14))^4))/$B$17^2)</f>
        <v>-113.07447616783917</v>
      </c>
      <c r="T7">
        <f>(M7*$F$25)*(1-$B$7*COS($B$14))/($B$7*$B$9)</f>
        <v>0.13339275103980988</v>
      </c>
      <c r="U7" s="1">
        <f>10*LOG10((($B$12*$B$9*$F$32*$F$31*(0.1406*T7^-0.55))/(4*PI()*$B$15^2*(1-$B$7*COS($B$14))^2))/$B$17^2)</f>
        <v>62.933942645698423</v>
      </c>
      <c r="V7">
        <f>(M7*$F$25)*(1-$B$7*COS($B$14))/($B$7*$B$9)</f>
        <v>0.13339275103980988</v>
      </c>
      <c r="W7" s="1">
        <f>10*LOG10((($B$12*$B$9*$H$31*$H$30*(13.59*V7^2*(V7^2+12.5)^-2.25))/(4*PI()*$B$15^2*(1-$B$7*COS($B$14))^4))/$B$17^2)</f>
        <v>-0.20150253931561266</v>
      </c>
      <c r="X7">
        <f>(M7*$J$27)*(1-$B$7*COS($B$14))/($B$7*$B$9)</f>
        <v>5.8823529411764705E-2</v>
      </c>
      <c r="Y7" s="1">
        <f>10*LOG10((($B$12*$B$9*$F$32*$F$31*(13.59*X7^2*(X7^2+12.5)^-2.25))/(4*PI()*$B$15^2*(1-$B$7*COS($B$14))^2))/$B$17^2)</f>
        <v>28.682352973425971</v>
      </c>
      <c r="Z7">
        <f>(M7*$F$42)*(1-$B$7*COS($B$14))/($B$7*$B$9)</f>
        <v>9.8039215686274508E-3</v>
      </c>
      <c r="AA7" s="1">
        <f>10*LOG10((($B$12*$B$9*$F$46*$F$45*(5.325*(30+Z7^8)^-1))/(4*PI()*$B$15^2*(1-$B$7*COS($B$14))^2))/$B$17^2)</f>
        <v>2.7361290559534543</v>
      </c>
      <c r="AB7" s="1">
        <f>10*LOG10(10^(O7/10)+10^(Q7/10)+10^(S7/10)+10^(U7/10)+10^(W7/10)+10^(Y7/10)+10^(AA7/10))</f>
        <v>62.935583329486178</v>
      </c>
      <c r="AC7">
        <f>20*LOG((12194^2*M7^4)/((M7^2+20.6^2)*SQRT((M7^2+107.7^2)*(M7^2+737.9^2))*(M7^2+12194^2)))+2</f>
        <v>-70.434939741819917</v>
      </c>
      <c r="AD7">
        <f>AB7+AC7</f>
        <v>-7.4993564123337393</v>
      </c>
    </row>
    <row r="8" spans="1:30" x14ac:dyDescent="0.3">
      <c r="A8" t="s">
        <v>73</v>
      </c>
      <c r="B8">
        <v>49.29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0">(M8*$F$10*(1-$B$7*COS($B$14)))/($B$7*$B$9)</f>
        <v>4.4612517433374925E-3</v>
      </c>
      <c r="O8" s="1">
        <f t="shared" ref="O8:O37" si="1">10*LOG10((($B$12*$B$9*$F$11*$F$14*(0.613*(10*N8)^4*((10*N8)^1.5+0.5)^-4))/(4*PI()*$B$15^2*(1-$B$7*COS($B$14))))/$B$17^2)</f>
        <v>13.288758406274528</v>
      </c>
      <c r="P8">
        <f t="shared" ref="P8:P37" si="2">(M8*$H$10)*(1-$B$7*COS($B$14))/($B$7*$B$9)</f>
        <v>2.7763110054771336E-4</v>
      </c>
      <c r="Q8" s="1">
        <f t="shared" ref="Q8:Q33" si="3">10*LOG10((($B$12*$B$9*$H$16*$H$15*(0.613*(10*P8)^4*((10*P8)^1.5+0.5)^-4))/(4*PI()*$B$15^2*(1-$B$7*COS($B$14))^4))/$B$17^2)</f>
        <v>-40.388866707670843</v>
      </c>
      <c r="R8">
        <f t="shared" ref="R8:R37" si="4">(M8*$J$10)*(1-$B$7*COS($B$14))/($B$7*$B$9)</f>
        <v>9.2582836418520872E-5</v>
      </c>
      <c r="S8" s="1">
        <f t="shared" ref="S8:S37" si="5">10*LOG10((($B$12*$B$9*$J$16*$J$15*(0.613*(10*R8)^4*((10*R8)^1.5+0.5)^-4))/(4*PI()*$B$15^2*(1-$B$7*COS($B$14))^4))/$B$17^2)</f>
        <v>-101.03390902421934</v>
      </c>
      <c r="T8">
        <f t="shared" ref="T8:T37" si="6">(M8*$F$25)*(1-$B$7*COS($B$14))/($B$7*$B$9)</f>
        <v>0.26678550207961976</v>
      </c>
      <c r="U8" s="1">
        <f t="shared" ref="U8:U37" si="7">10*LOG10((($B$12*$B$9*$F$32*$F$31*(0.1406*T8^-0.55))/(4*PI()*$B$15^2*(1-$B$7*COS($B$14))^2))/$B$17^2)</f>
        <v>61.278277669546533</v>
      </c>
      <c r="V8">
        <f t="shared" ref="V8:V37" si="8">(M8*$F$25)*(1-$B$7*COS($B$14))/($B$7*$B$9)</f>
        <v>0.26678550207961976</v>
      </c>
      <c r="W8" s="1">
        <f t="shared" ref="W8:W37" si="9">10*LOG10((($B$12*$B$9*$H$31*$H$30*(13.59*V8^2*(V8^2+12.5)^-2.25))/(4*PI()*$B$15^2*(1-$B$7*COS($B$14))^4))/$B$17^2)</f>
        <v>5.7775158507809756</v>
      </c>
      <c r="X8">
        <f t="shared" ref="X8:X37" si="10">(M8*$J$27)*(1-$B$7*COS($B$14))/($B$7*$B$9)</f>
        <v>0.11764705882352941</v>
      </c>
      <c r="Y8" s="1">
        <f t="shared" ref="Y8:Y37" si="11">10*LOG10((($B$12*$B$9*$F$32*$F$31*(13.59*X8^2*(X8^2+12.5)^-2.25))/(4*PI()*$B$15^2*(1-$B$7*COS($B$14))^2))/$B$17^2)</f>
        <v>34.69484365317561</v>
      </c>
      <c r="Z8">
        <f t="shared" ref="Z8:Z37" si="12">(M8*$F$42)*(1-$B$7*COS($B$14))/($B$7*$B$9)</f>
        <v>1.9607843137254902E-2</v>
      </c>
      <c r="AA8" s="1">
        <f t="shared" ref="AA8:AA37" si="13">10*LOG10((($B$12*$B$9*$F$46*$F$45*(5.325*(30+Z8^8)^-1))/(4*PI()*$B$15^2*(1-$B$7*COS($B$14))^2))/$B$17^2)</f>
        <v>2.7361290559534526</v>
      </c>
      <c r="AB8" s="1">
        <f>10*LOG10(10^(O8/10)+10^(Q8/10)+10^(S8/10)+10^(U8/10)+10^(W8/10)+10^(Y8/10)+10^(AA8/10))</f>
        <v>61.287891970286346</v>
      </c>
      <c r="AC8">
        <f t="shared" ref="AC8:AC37" si="14">20*LOG((12194^2*M8^4)/((M8^2+20.6^2)*SQRT((M8^2+107.7^2)*(M8^2+737.9^2))*(M8^2+12194^2)))+2</f>
        <v>-50.394656885439417</v>
      </c>
      <c r="AD8">
        <f t="shared" ref="AD8:AD37" si="15">AB8+AC8</f>
        <v>10.893235084846928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7.2524492831254651E-4</v>
      </c>
      <c r="G9" t="s">
        <v>89</v>
      </c>
      <c r="H9">
        <f>0.37*(H12/H11^2)*((B12*B7*B9*H12)/(B11*H11))^-0.2*(H11/B10)^2</f>
        <v>1.9264198813514802E-4</v>
      </c>
      <c r="I9" t="s">
        <v>89</v>
      </c>
      <c r="J9">
        <f>0.37*(J12/J11^2)*((B12*B7*B9*J12)/(B11*J11))^-0.2*(J11/B10)^2</f>
        <v>1.3413990503819784E-4</v>
      </c>
      <c r="M9">
        <v>30</v>
      </c>
      <c r="N9">
        <f t="shared" si="0"/>
        <v>6.6918776150062384E-3</v>
      </c>
      <c r="O9" s="1">
        <f t="shared" si="1"/>
        <v>20.065479401439422</v>
      </c>
      <c r="P9">
        <f t="shared" si="2"/>
        <v>4.1644665082156998E-4</v>
      </c>
      <c r="Q9" s="1">
        <f t="shared" si="3"/>
        <v>-33.349469220123865</v>
      </c>
      <c r="R9">
        <f t="shared" si="4"/>
        <v>1.388742546277813E-4</v>
      </c>
      <c r="S9" s="1">
        <f t="shared" si="5"/>
        <v>-93.991077921769886</v>
      </c>
      <c r="T9">
        <f t="shared" si="6"/>
        <v>0.40017825311942967</v>
      </c>
      <c r="U9" s="1">
        <f t="shared" si="7"/>
        <v>60.309775744740286</v>
      </c>
      <c r="V9">
        <f t="shared" si="8"/>
        <v>0.40017825311942967</v>
      </c>
      <c r="W9" s="1">
        <f t="shared" si="9"/>
        <v>9.2304292998547144</v>
      </c>
      <c r="X9">
        <f t="shared" si="10"/>
        <v>0.17647058823529413</v>
      </c>
      <c r="Y9" s="1">
        <f t="shared" si="11"/>
        <v>38.203168381958243</v>
      </c>
      <c r="Z9">
        <f t="shared" si="12"/>
        <v>2.9411764705882353E-2</v>
      </c>
      <c r="AA9" s="1">
        <f t="shared" si="13"/>
        <v>2.736129055953374</v>
      </c>
      <c r="AB9" s="1">
        <f t="shared" ref="AB9:AB37" si="16">10*LOG10(10^(O9/10)+10^(Q9/10)+10^(S9/10)+10^(U9/10)+10^(W9/10)+10^(Y9/10)+10^(AA9/10))</f>
        <v>60.336880663633764</v>
      </c>
      <c r="AC9">
        <f t="shared" si="14"/>
        <v>-40.606449491877584</v>
      </c>
      <c r="AD9">
        <f t="shared" si="15"/>
        <v>19.73043117175618</v>
      </c>
    </row>
    <row r="10" spans="1:30" x14ac:dyDescent="0.3">
      <c r="A10" t="s">
        <v>74</v>
      </c>
      <c r="B10">
        <v>31.372</v>
      </c>
      <c r="C10" t="s">
        <v>7</v>
      </c>
      <c r="E10" t="s">
        <v>83</v>
      </c>
      <c r="F10">
        <f>F9*B10</f>
        <v>2.2752383891021209E-2</v>
      </c>
      <c r="G10" t="s">
        <v>83</v>
      </c>
      <c r="H10">
        <f>H9*H11</f>
        <v>1.4159186127933379E-3</v>
      </c>
      <c r="I10" t="s">
        <v>83</v>
      </c>
      <c r="J10">
        <f>J9*J11</f>
        <v>4.721724657344564E-4</v>
      </c>
      <c r="M10">
        <v>40</v>
      </c>
      <c r="N10">
        <f t="shared" si="0"/>
        <v>8.9225034866749851E-3</v>
      </c>
      <c r="O10" s="1">
        <f t="shared" si="1"/>
        <v>24.752147077926487</v>
      </c>
      <c r="P10">
        <f t="shared" si="2"/>
        <v>5.5526220109542671E-4</v>
      </c>
      <c r="Q10" s="1">
        <f t="shared" si="3"/>
        <v>-28.356954641013083</v>
      </c>
      <c r="R10">
        <f t="shared" si="4"/>
        <v>1.8516567283704174E-4</v>
      </c>
      <c r="S10" s="1">
        <f t="shared" si="5"/>
        <v>-88.994498570500895</v>
      </c>
      <c r="T10">
        <f t="shared" si="6"/>
        <v>0.53357100415923953</v>
      </c>
      <c r="U10" s="1">
        <f t="shared" si="7"/>
        <v>59.622612693394636</v>
      </c>
      <c r="V10">
        <f t="shared" si="8"/>
        <v>0.53357100415923953</v>
      </c>
      <c r="W10" s="1">
        <f t="shared" si="9"/>
        <v>11.633536833312997</v>
      </c>
      <c r="X10">
        <f t="shared" si="10"/>
        <v>0.23529411764705882</v>
      </c>
      <c r="Y10" s="1">
        <f t="shared" si="11"/>
        <v>40.683073761805645</v>
      </c>
      <c r="Z10">
        <f t="shared" si="12"/>
        <v>3.9215686274509803E-2</v>
      </c>
      <c r="AA10" s="1">
        <f t="shared" si="13"/>
        <v>2.7361290559526457</v>
      </c>
      <c r="AB10" s="1">
        <f t="shared" si="16"/>
        <v>59.679176500947122</v>
      </c>
      <c r="AC10">
        <f t="shared" si="14"/>
        <v>-34.539248027007993</v>
      </c>
      <c r="AD10">
        <f t="shared" si="15"/>
        <v>25.139928473939129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3.7279700313887298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0"/>
        <v>1.1153129358343731E-2</v>
      </c>
      <c r="O11" s="1">
        <f t="shared" si="1"/>
        <v>28.282527158123074</v>
      </c>
      <c r="P11">
        <f t="shared" si="2"/>
        <v>6.9407775136928328E-4</v>
      </c>
      <c r="Q11" s="1">
        <f t="shared" si="3"/>
        <v>-24.486263309534579</v>
      </c>
      <c r="R11">
        <f t="shared" si="4"/>
        <v>2.3145709104630216E-4</v>
      </c>
      <c r="S11" s="1">
        <f t="shared" si="5"/>
        <v>-85.119198361566006</v>
      </c>
      <c r="T11">
        <f t="shared" si="6"/>
        <v>0.66696375519904949</v>
      </c>
      <c r="U11" s="1">
        <f t="shared" si="7"/>
        <v>59.089607621850327</v>
      </c>
      <c r="V11">
        <f t="shared" si="8"/>
        <v>0.66696375519904949</v>
      </c>
      <c r="W11" s="1">
        <f t="shared" si="9"/>
        <v>13.450096816024431</v>
      </c>
      <c r="X11">
        <f t="shared" si="10"/>
        <v>0.29411764705882354</v>
      </c>
      <c r="Y11" s="1">
        <f t="shared" si="11"/>
        <v>42.597066843997723</v>
      </c>
      <c r="Z11">
        <f t="shared" si="12"/>
        <v>4.9019607843137254E-2</v>
      </c>
      <c r="AA11" s="1">
        <f t="shared" si="13"/>
        <v>2.7361290559486289</v>
      </c>
      <c r="AB11" s="1">
        <f t="shared" si="16"/>
        <v>59.189576745525194</v>
      </c>
      <c r="AC11">
        <f t="shared" si="14"/>
        <v>-30.274979580572094</v>
      </c>
      <c r="AD11">
        <f t="shared" si="15"/>
        <v>28.914597164953101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0.17845006973349969</v>
      </c>
      <c r="G12" t="s">
        <v>98</v>
      </c>
      <c r="H12">
        <v>13.51</v>
      </c>
      <c r="I12" t="s">
        <v>101</v>
      </c>
      <c r="J12">
        <v>10.33</v>
      </c>
      <c r="M12">
        <v>60</v>
      </c>
      <c r="N12">
        <f t="shared" si="0"/>
        <v>1.3383755230012477E-2</v>
      </c>
      <c r="O12" s="1">
        <f t="shared" si="1"/>
        <v>31.075028280992075</v>
      </c>
      <c r="P12">
        <f t="shared" si="2"/>
        <v>8.3289330164313996E-4</v>
      </c>
      <c r="Q12" s="1">
        <f t="shared" si="3"/>
        <v>-21.325324107821434</v>
      </c>
      <c r="R12">
        <f t="shared" si="4"/>
        <v>2.777485092555626E-4</v>
      </c>
      <c r="S12" s="1">
        <f t="shared" si="5"/>
        <v>-81.953165086307195</v>
      </c>
      <c r="T12">
        <f t="shared" si="6"/>
        <v>0.80035650623885934</v>
      </c>
      <c r="U12" s="1">
        <f t="shared" si="7"/>
        <v>58.654110768588396</v>
      </c>
      <c r="V12">
        <f t="shared" si="8"/>
        <v>0.80035650623885934</v>
      </c>
      <c r="W12" s="1">
        <f t="shared" si="9"/>
        <v>14.887077691621943</v>
      </c>
      <c r="X12">
        <f t="shared" si="10"/>
        <v>0.35294117647058826</v>
      </c>
      <c r="Y12" s="1">
        <f t="shared" si="11"/>
        <v>44.151186421568951</v>
      </c>
      <c r="Z12">
        <f t="shared" si="12"/>
        <v>5.8823529411764705E-2</v>
      </c>
      <c r="AA12" s="1">
        <f t="shared" si="13"/>
        <v>2.7361290559327016</v>
      </c>
      <c r="AB12" s="1">
        <f t="shared" si="16"/>
        <v>58.812937754245944</v>
      </c>
      <c r="AC12">
        <f t="shared" si="14"/>
        <v>-27.048849321682884</v>
      </c>
      <c r="AD12">
        <f t="shared" si="15"/>
        <v>31.76408843256306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8.9877171311223983E-2</v>
      </c>
      <c r="G13" t="s">
        <v>102</v>
      </c>
      <c r="H13">
        <f>(B13*H10)*(1-B7*COS(B14))/(B7*B9)</f>
        <v>1.1105244021908533E-2</v>
      </c>
      <c r="I13" t="s">
        <v>105</v>
      </c>
      <c r="J13">
        <f>(B13*J10)*(1-B7*COS(B14))/(B7*B9)</f>
        <v>3.7033134567408346E-3</v>
      </c>
      <c r="M13">
        <v>70</v>
      </c>
      <c r="N13">
        <f t="shared" si="0"/>
        <v>1.5614381101681223E-2</v>
      </c>
      <c r="O13" s="1">
        <f t="shared" si="1"/>
        <v>33.354433377600294</v>
      </c>
      <c r="P13">
        <f t="shared" si="2"/>
        <v>9.7170885191699664E-4</v>
      </c>
      <c r="Q13" s="1">
        <f t="shared" si="3"/>
        <v>-18.654310984653865</v>
      </c>
      <c r="R13">
        <f t="shared" si="4"/>
        <v>3.2403992746482302E-4</v>
      </c>
      <c r="S13" s="1">
        <f t="shared" si="5"/>
        <v>-79.276616081541235</v>
      </c>
      <c r="T13">
        <f t="shared" si="6"/>
        <v>0.9337492572786692</v>
      </c>
      <c r="U13" s="1">
        <f t="shared" si="7"/>
        <v>58.28590342562002</v>
      </c>
      <c r="V13">
        <f t="shared" si="8"/>
        <v>0.9337492572786692</v>
      </c>
      <c r="W13" s="1">
        <f t="shared" si="9"/>
        <v>16.055497278865836</v>
      </c>
      <c r="X13">
        <f t="shared" si="10"/>
        <v>0.41176470588235292</v>
      </c>
      <c r="Y13" s="1">
        <f t="shared" si="11"/>
        <v>45.455366736787084</v>
      </c>
      <c r="Z13">
        <f t="shared" si="12"/>
        <v>6.8627450980392163E-2</v>
      </c>
      <c r="AA13" s="1">
        <f t="shared" si="13"/>
        <v>2.7361290558822282</v>
      </c>
      <c r="AB13" s="1">
        <f t="shared" si="16"/>
        <v>58.520025955181467</v>
      </c>
      <c r="AC13">
        <f t="shared" si="14"/>
        <v>-24.49130199968733</v>
      </c>
      <c r="AD13">
        <f t="shared" si="15"/>
        <v>34.028723955494137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1.1211167183959561E-3</v>
      </c>
      <c r="I14" t="s">
        <v>106</v>
      </c>
      <c r="J14">
        <f>0.613*(10*J13)^4*((10*J13)^1.5+0.5)^-4</f>
        <v>1.7432377293056205E-5</v>
      </c>
      <c r="M14">
        <v>80</v>
      </c>
      <c r="N14">
        <f t="shared" si="0"/>
        <v>1.784500697334997E-2</v>
      </c>
      <c r="O14" s="1">
        <f t="shared" si="1"/>
        <v>35.256007210700517</v>
      </c>
      <c r="P14">
        <f t="shared" si="2"/>
        <v>1.1105244021908534E-3</v>
      </c>
      <c r="Q14" s="1">
        <f t="shared" si="3"/>
        <v>-16.341997713154861</v>
      </c>
      <c r="R14">
        <f t="shared" si="4"/>
        <v>3.7033134567408349E-4</v>
      </c>
      <c r="S14" s="1">
        <f t="shared" si="5"/>
        <v>-76.958358856935675</v>
      </c>
      <c r="T14">
        <f t="shared" si="6"/>
        <v>1.0671420083184791</v>
      </c>
      <c r="U14" s="1">
        <f t="shared" si="7"/>
        <v>57.966947717242746</v>
      </c>
      <c r="V14">
        <f t="shared" si="8"/>
        <v>1.0671420083184791</v>
      </c>
      <c r="W14" s="1">
        <f t="shared" si="9"/>
        <v>17.022214478698405</v>
      </c>
      <c r="X14">
        <f t="shared" si="10"/>
        <v>0.47058823529411764</v>
      </c>
      <c r="Y14" s="1">
        <f t="shared" si="11"/>
        <v>46.575256210055812</v>
      </c>
      <c r="Z14">
        <f t="shared" si="12"/>
        <v>7.8431372549019607E-2</v>
      </c>
      <c r="AA14" s="1">
        <f t="shared" si="13"/>
        <v>2.7361290557461633</v>
      </c>
      <c r="AB14" s="1">
        <f t="shared" si="16"/>
        <v>58.293226424961659</v>
      </c>
      <c r="AC14">
        <f t="shared" si="14"/>
        <v>-22.397666626519193</v>
      </c>
      <c r="AD14">
        <f t="shared" si="15"/>
        <v>35.895559798442463</v>
      </c>
    </row>
    <row r="15" spans="1:30" x14ac:dyDescent="0.3">
      <c r="A15" t="s">
        <v>12</v>
      </c>
      <c r="B15">
        <v>1022</v>
      </c>
      <c r="C15" t="s">
        <v>7</v>
      </c>
      <c r="E15" t="s">
        <v>91</v>
      </c>
      <c r="F15">
        <f>(B12*B9*F11*F14*F13)/(4*PI()*B15^2*(1-B7*COS(B14)))</f>
        <v>2.126237255823631E-5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0"/>
        <v>2.0075632845018714E-2</v>
      </c>
      <c r="O15" s="1">
        <f t="shared" si="1"/>
        <v>36.867773211363186</v>
      </c>
      <c r="P15">
        <f t="shared" si="2"/>
        <v>1.2493399524647099E-3</v>
      </c>
      <c r="Q15" s="1">
        <f t="shared" si="3"/>
        <v>-14.303733931011573</v>
      </c>
      <c r="R15">
        <f t="shared" si="4"/>
        <v>4.1662276388334391E-4</v>
      </c>
      <c r="S15" s="1">
        <f t="shared" si="5"/>
        <v>-74.913770295702363</v>
      </c>
      <c r="T15">
        <f t="shared" si="6"/>
        <v>1.2005347593582889</v>
      </c>
      <c r="U15" s="1">
        <f t="shared" si="7"/>
        <v>57.685608843782141</v>
      </c>
      <c r="V15">
        <f t="shared" si="8"/>
        <v>1.2005347593582889</v>
      </c>
      <c r="W15" s="1">
        <f t="shared" si="9"/>
        <v>17.830910644881438</v>
      </c>
      <c r="X15">
        <f t="shared" si="10"/>
        <v>0.52941176470588236</v>
      </c>
      <c r="Y15" s="1">
        <f t="shared" si="11"/>
        <v>47.553227165395391</v>
      </c>
      <c r="Z15">
        <f t="shared" si="12"/>
        <v>8.8235294117647065E-2</v>
      </c>
      <c r="AA15" s="1">
        <f t="shared" si="13"/>
        <v>2.73612905542159</v>
      </c>
      <c r="AB15" s="1">
        <f t="shared" si="16"/>
        <v>58.120756307858926</v>
      </c>
      <c r="AC15">
        <f t="shared" si="14"/>
        <v>-20.642894369008943</v>
      </c>
      <c r="AD15">
        <f t="shared" si="15"/>
        <v>37.477861938849983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47.255517322393715</v>
      </c>
      <c r="G16" t="s">
        <v>90</v>
      </c>
      <c r="H16">
        <f>H7*B7^H8*H9*(B12*B9^3*B10^2)</f>
        <v>0.99023589206745932</v>
      </c>
      <c r="I16" t="s">
        <v>90</v>
      </c>
      <c r="J16">
        <f>J7*B7^J8*J9*(B12*B9^3*B10^2)</f>
        <v>0.68951815652025517</v>
      </c>
      <c r="M16">
        <v>100</v>
      </c>
      <c r="N16">
        <f t="shared" si="0"/>
        <v>2.2306258716687462E-2</v>
      </c>
      <c r="O16" s="1">
        <f t="shared" si="1"/>
        <v>38.250396920486395</v>
      </c>
      <c r="P16">
        <f t="shared" si="2"/>
        <v>1.3881555027385666E-3</v>
      </c>
      <c r="Q16" s="1">
        <f t="shared" si="3"/>
        <v>-12.481716010976534</v>
      </c>
      <c r="R16">
        <f t="shared" si="4"/>
        <v>4.6291418209260432E-4</v>
      </c>
      <c r="S16" s="1">
        <f t="shared" si="5"/>
        <v>-73.085069400742015</v>
      </c>
      <c r="T16">
        <f t="shared" si="6"/>
        <v>1.333927510398099</v>
      </c>
      <c r="U16" s="1">
        <f t="shared" si="7"/>
        <v>57.43394264569843</v>
      </c>
      <c r="V16">
        <f t="shared" si="8"/>
        <v>1.333927510398099</v>
      </c>
      <c r="W16" s="1">
        <f t="shared" si="9"/>
        <v>18.511924180135075</v>
      </c>
      <c r="X16">
        <f t="shared" si="10"/>
        <v>0.58823529411764708</v>
      </c>
      <c r="Y16" s="1">
        <f t="shared" si="11"/>
        <v>48.418238899822974</v>
      </c>
      <c r="Z16">
        <f t="shared" si="12"/>
        <v>9.8039215686274508E-2</v>
      </c>
      <c r="AA16" s="1">
        <f t="shared" si="13"/>
        <v>2.7361290547179018</v>
      </c>
      <c r="AB16" s="1">
        <f t="shared" si="16"/>
        <v>57.993983901131088</v>
      </c>
      <c r="AC16">
        <f t="shared" si="14"/>
        <v>-19.144954291317543</v>
      </c>
      <c r="AD16">
        <f t="shared" si="15"/>
        <v>38.849029609813542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7.0449742207124546E-8</v>
      </c>
      <c r="I17" t="s">
        <v>91</v>
      </c>
      <c r="J17">
        <f>(B12*B9*J16*J15*J14)/(4*PI()*B15^2*(1-B7*COS(B14))^4)</f>
        <v>7.6281845720682882E-14</v>
      </c>
      <c r="M17">
        <v>200</v>
      </c>
      <c r="N17">
        <f t="shared" si="0"/>
        <v>4.4612517433374924E-2</v>
      </c>
      <c r="O17" s="1">
        <f t="shared" si="1"/>
        <v>45.492247243275024</v>
      </c>
      <c r="P17">
        <f t="shared" si="2"/>
        <v>2.7763110054771331E-3</v>
      </c>
      <c r="Q17" s="1">
        <f t="shared" si="3"/>
        <v>-0.54376844271204183</v>
      </c>
      <c r="R17">
        <f t="shared" si="4"/>
        <v>9.2582836418520864E-4</v>
      </c>
      <c r="S17" s="1">
        <f t="shared" si="5"/>
        <v>-61.063853434214835</v>
      </c>
      <c r="T17">
        <f t="shared" si="6"/>
        <v>2.667855020796198</v>
      </c>
      <c r="U17" s="1">
        <f t="shared" si="7"/>
        <v>55.77827766954654</v>
      </c>
      <c r="V17">
        <f t="shared" si="8"/>
        <v>2.667855020796198</v>
      </c>
      <c r="W17" s="1">
        <f t="shared" si="9"/>
        <v>21.429014909635224</v>
      </c>
      <c r="X17">
        <f t="shared" si="10"/>
        <v>1.1764705882352942</v>
      </c>
      <c r="Y17" s="1">
        <f t="shared" si="11"/>
        <v>53.679495693630258</v>
      </c>
      <c r="Z17">
        <f t="shared" si="12"/>
        <v>0.19607843137254902</v>
      </c>
      <c r="AA17" s="1">
        <f t="shared" si="13"/>
        <v>2.7361287396516785</v>
      </c>
      <c r="AB17" s="1">
        <f t="shared" si="16"/>
        <v>58.110190633992971</v>
      </c>
      <c r="AC17">
        <f t="shared" si="14"/>
        <v>-10.847055415577483</v>
      </c>
      <c r="AD17">
        <f t="shared" si="15"/>
        <v>47.263135218415485</v>
      </c>
    </row>
    <row r="18" spans="1:30" x14ac:dyDescent="0.3">
      <c r="A18" t="s">
        <v>154</v>
      </c>
      <c r="B18">
        <f>122+6000*B19/100</f>
        <v>1022</v>
      </c>
      <c r="G18" t="s">
        <v>85</v>
      </c>
      <c r="H18">
        <f>10*LOG10(H17/B17^2)</f>
        <v>22.458194169303564</v>
      </c>
      <c r="I18" t="s">
        <v>85</v>
      </c>
      <c r="J18">
        <f>10*LOG10(J17/B17^2)</f>
        <v>-37.196387986082946</v>
      </c>
      <c r="M18">
        <v>300</v>
      </c>
      <c r="N18">
        <f t="shared" si="0"/>
        <v>6.6918776150062378E-2</v>
      </c>
      <c r="O18" s="1">
        <f t="shared" si="1"/>
        <v>47.810685525463754</v>
      </c>
      <c r="P18">
        <f t="shared" si="2"/>
        <v>4.1644665082156999E-3</v>
      </c>
      <c r="Q18" s="1">
        <f t="shared" si="3"/>
        <v>6.3670806792199155</v>
      </c>
      <c r="R18">
        <f t="shared" si="4"/>
        <v>1.388742546277813E-3</v>
      </c>
      <c r="S18" s="1">
        <f t="shared" si="5"/>
        <v>-54.046047098238574</v>
      </c>
      <c r="T18">
        <f t="shared" si="6"/>
        <v>4.0017825311942969</v>
      </c>
      <c r="U18" s="1">
        <f t="shared" si="7"/>
        <v>54.809775744740286</v>
      </c>
      <c r="V18">
        <f t="shared" si="8"/>
        <v>4.0017825311942969</v>
      </c>
      <c r="W18" s="1">
        <f t="shared" si="9"/>
        <v>21.296399225989195</v>
      </c>
      <c r="X18">
        <f t="shared" si="10"/>
        <v>1.7647058823529411</v>
      </c>
      <c r="Y18" s="1">
        <f t="shared" si="11"/>
        <v>56.0537720609762</v>
      </c>
      <c r="Z18">
        <f t="shared" si="12"/>
        <v>0.29411764705882354</v>
      </c>
      <c r="AA18" s="1">
        <f t="shared" si="13"/>
        <v>2.7361209494921335</v>
      </c>
      <c r="AB18" s="1">
        <f t="shared" si="16"/>
        <v>58.843920644247554</v>
      </c>
      <c r="AC18">
        <f t="shared" si="14"/>
        <v>-7.0544626466411682</v>
      </c>
      <c r="AD18">
        <f t="shared" si="15"/>
        <v>51.789457997606384</v>
      </c>
    </row>
    <row r="19" spans="1:30" x14ac:dyDescent="0.3">
      <c r="A19" t="s">
        <v>158</v>
      </c>
      <c r="B19">
        <v>15</v>
      </c>
      <c r="M19">
        <v>400</v>
      </c>
      <c r="N19">
        <f t="shared" si="0"/>
        <v>8.9225034866749847E-2</v>
      </c>
      <c r="O19" s="1">
        <f t="shared" si="1"/>
        <v>48.492504210350532</v>
      </c>
      <c r="P19">
        <f t="shared" si="2"/>
        <v>5.5526220109542663E-3</v>
      </c>
      <c r="Q19" s="1">
        <f t="shared" si="3"/>
        <v>11.208669401887139</v>
      </c>
      <c r="R19">
        <f t="shared" si="4"/>
        <v>1.8516567283704173E-3</v>
      </c>
      <c r="S19" s="1">
        <f t="shared" si="5"/>
        <v>-49.079052350492347</v>
      </c>
      <c r="T19">
        <f t="shared" si="6"/>
        <v>5.3357100415923959</v>
      </c>
      <c r="U19" s="1">
        <f t="shared" si="7"/>
        <v>54.122612693394636</v>
      </c>
      <c r="V19">
        <f t="shared" si="8"/>
        <v>5.3357100415923959</v>
      </c>
      <c r="W19" s="1">
        <f t="shared" si="9"/>
        <v>20.253635621038683</v>
      </c>
      <c r="X19">
        <f t="shared" si="10"/>
        <v>2.3529411764705883</v>
      </c>
      <c r="Y19" s="1">
        <f t="shared" si="11"/>
        <v>57.143397599109953</v>
      </c>
      <c r="Z19">
        <f t="shared" si="12"/>
        <v>0.39215686274509803</v>
      </c>
      <c r="AA19" s="1">
        <f t="shared" si="13"/>
        <v>2.7360480834504179</v>
      </c>
      <c r="AB19" s="1">
        <f t="shared" si="16"/>
        <v>59.27979250210403</v>
      </c>
      <c r="AC19">
        <f t="shared" si="14"/>
        <v>-4.7738910332852953</v>
      </c>
      <c r="AD19">
        <f t="shared" si="15"/>
        <v>54.505901468818735</v>
      </c>
    </row>
    <row r="20" spans="1:30" x14ac:dyDescent="0.3">
      <c r="M20">
        <v>500</v>
      </c>
      <c r="N20">
        <f t="shared" si="0"/>
        <v>0.1115312935834373</v>
      </c>
      <c r="O20" s="1">
        <f t="shared" si="1"/>
        <v>48.49922854983204</v>
      </c>
      <c r="P20">
        <f t="shared" si="2"/>
        <v>6.9407775136928326E-3</v>
      </c>
      <c r="Q20" s="1">
        <f t="shared" si="3"/>
        <v>14.90984566322682</v>
      </c>
      <c r="R20">
        <f t="shared" si="4"/>
        <v>2.3145709104630216E-3</v>
      </c>
      <c r="S20" s="1">
        <f t="shared" si="5"/>
        <v>-45.237244416860193</v>
      </c>
      <c r="T20">
        <f t="shared" si="6"/>
        <v>6.669637551990494</v>
      </c>
      <c r="U20" s="1">
        <f t="shared" si="7"/>
        <v>53.589607621850334</v>
      </c>
      <c r="V20">
        <f t="shared" si="8"/>
        <v>6.669637551990494</v>
      </c>
      <c r="W20" s="1">
        <f t="shared" si="9"/>
        <v>18.967820647583753</v>
      </c>
      <c r="X20">
        <f t="shared" si="10"/>
        <v>2.9411764705882355</v>
      </c>
      <c r="Y20" s="1">
        <f t="shared" si="11"/>
        <v>57.52520976589917</v>
      </c>
      <c r="Z20">
        <f t="shared" si="12"/>
        <v>0.49019607843137253</v>
      </c>
      <c r="AA20" s="1">
        <f t="shared" si="13"/>
        <v>2.7356464445423385</v>
      </c>
      <c r="AB20" s="1">
        <f t="shared" si="16"/>
        <v>59.370402104908294</v>
      </c>
      <c r="AC20">
        <f t="shared" si="14"/>
        <v>-3.2478075093781307</v>
      </c>
      <c r="AD20">
        <f t="shared" si="15"/>
        <v>56.12259459553016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0"/>
        <v>0.13383755230012476</v>
      </c>
      <c r="O21" s="1">
        <f t="shared" si="1"/>
        <v>48.200646200548512</v>
      </c>
      <c r="P21">
        <f t="shared" si="2"/>
        <v>8.3289330164313998E-3</v>
      </c>
      <c r="Q21" s="1">
        <f t="shared" si="3"/>
        <v>17.885380376288563</v>
      </c>
      <c r="R21">
        <f t="shared" si="4"/>
        <v>2.777485092555626E-3</v>
      </c>
      <c r="S21" s="1">
        <f t="shared" si="5"/>
        <v>-42.108164626665364</v>
      </c>
      <c r="T21">
        <f t="shared" si="6"/>
        <v>8.0035650623885939</v>
      </c>
      <c r="U21" s="1">
        <f t="shared" si="7"/>
        <v>53.154110768588396</v>
      </c>
      <c r="V21">
        <f t="shared" si="8"/>
        <v>8.0035650623885939</v>
      </c>
      <c r="W21" s="1">
        <f t="shared" si="9"/>
        <v>17.666230428368085</v>
      </c>
      <c r="X21">
        <f t="shared" si="10"/>
        <v>3.5294117647058822</v>
      </c>
      <c r="Y21" s="1">
        <f t="shared" si="11"/>
        <v>57.491828221129168</v>
      </c>
      <c r="Z21">
        <f t="shared" si="12"/>
        <v>0.58823529411764708</v>
      </c>
      <c r="AA21" s="1">
        <f t="shared" si="13"/>
        <v>2.7340542955860112</v>
      </c>
      <c r="AB21" s="1">
        <f t="shared" si="16"/>
        <v>59.212799440269642</v>
      </c>
      <c r="AC21">
        <f t="shared" si="14"/>
        <v>-2.1700037836745878</v>
      </c>
      <c r="AD21">
        <f t="shared" si="15"/>
        <v>57.042795656595054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0"/>
        <v>0.15614381101681221</v>
      </c>
      <c r="O22" s="1">
        <f t="shared" si="1"/>
        <v>47.759934857325774</v>
      </c>
      <c r="P22">
        <f t="shared" si="2"/>
        <v>9.7170885191699662E-3</v>
      </c>
      <c r="Q22" s="1">
        <f t="shared" si="3"/>
        <v>20.357188143578853</v>
      </c>
      <c r="R22">
        <f t="shared" si="4"/>
        <v>3.2403992746482301E-3</v>
      </c>
      <c r="S22" s="1">
        <f t="shared" si="5"/>
        <v>-39.471697393076674</v>
      </c>
      <c r="T22">
        <f t="shared" si="6"/>
        <v>9.337492572786692</v>
      </c>
      <c r="U22" s="1">
        <f t="shared" si="7"/>
        <v>52.785903425620013</v>
      </c>
      <c r="V22">
        <f t="shared" si="8"/>
        <v>9.337492572786692</v>
      </c>
      <c r="W22" s="1">
        <f t="shared" si="9"/>
        <v>16.425293371262462</v>
      </c>
      <c r="X22">
        <f t="shared" si="10"/>
        <v>4.117647058823529</v>
      </c>
      <c r="Y22" s="1">
        <f t="shared" si="11"/>
        <v>57.211409791707723</v>
      </c>
      <c r="Z22">
        <f t="shared" si="12"/>
        <v>0.68627450980392157</v>
      </c>
      <c r="AA22" s="1">
        <f t="shared" si="13"/>
        <v>2.7290121683085959</v>
      </c>
      <c r="AB22" s="1">
        <f t="shared" si="16"/>
        <v>58.898469594392857</v>
      </c>
      <c r="AC22">
        <f t="shared" si="14"/>
        <v>-1.3830326182040067</v>
      </c>
      <c r="AD22">
        <f>AB22+AC22</f>
        <v>57.515436976188852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0"/>
        <v>0.17845006973349969</v>
      </c>
      <c r="O23" s="1">
        <f t="shared" si="1"/>
        <v>47.255517322393715</v>
      </c>
      <c r="P23">
        <f t="shared" si="2"/>
        <v>1.1105244021908533E-2</v>
      </c>
      <c r="Q23" s="1">
        <f t="shared" si="3"/>
        <v>22.458194169303564</v>
      </c>
      <c r="R23">
        <f t="shared" si="4"/>
        <v>3.7033134567408346E-3</v>
      </c>
      <c r="S23" s="1">
        <f t="shared" si="5"/>
        <v>-37.196387986082946</v>
      </c>
      <c r="T23">
        <f t="shared" si="6"/>
        <v>10.671420083184792</v>
      </c>
      <c r="U23" s="1">
        <f t="shared" si="7"/>
        <v>52.466947717242746</v>
      </c>
      <c r="V23">
        <f t="shared" si="8"/>
        <v>10.671420083184792</v>
      </c>
      <c r="W23" s="1">
        <f t="shared" si="9"/>
        <v>15.26697086273558</v>
      </c>
      <c r="X23">
        <f t="shared" si="10"/>
        <v>4.7058823529411766</v>
      </c>
      <c r="Y23" s="1">
        <f t="shared" si="11"/>
        <v>56.785327137403776</v>
      </c>
      <c r="Z23">
        <f t="shared" si="12"/>
        <v>0.78431372549019607</v>
      </c>
      <c r="AA23" s="1">
        <f t="shared" si="13"/>
        <v>2.7154492158666717</v>
      </c>
      <c r="AB23" s="1">
        <f t="shared" si="16"/>
        <v>58.493352513778689</v>
      </c>
      <c r="AC23">
        <f t="shared" si="14"/>
        <v>-0.79460657411842606</v>
      </c>
      <c r="AD23">
        <f t="shared" si="15"/>
        <v>57.698745939660263</v>
      </c>
    </row>
    <row r="24" spans="1:30" x14ac:dyDescent="0.3">
      <c r="E24" t="s">
        <v>89</v>
      </c>
      <c r="F24">
        <f>(F27/B10^2)*SIN(F26)^2</f>
        <v>3.0029055401845015E-3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0"/>
        <v>0.20075632845018715</v>
      </c>
      <c r="O24" s="1">
        <f t="shared" si="1"/>
        <v>46.727220349219849</v>
      </c>
      <c r="P24">
        <f t="shared" si="2"/>
        <v>1.2493399524647101E-2</v>
      </c>
      <c r="Q24" s="1">
        <f t="shared" si="3"/>
        <v>24.274477543989448</v>
      </c>
      <c r="R24">
        <f t="shared" si="4"/>
        <v>4.1662276388334391E-3</v>
      </c>
      <c r="S24" s="1">
        <f t="shared" si="5"/>
        <v>-35.197398663757362</v>
      </c>
      <c r="T24">
        <f t="shared" si="6"/>
        <v>12.00534759358289</v>
      </c>
      <c r="U24" s="1">
        <f t="shared" si="7"/>
        <v>52.185608843782141</v>
      </c>
      <c r="V24">
        <f t="shared" si="8"/>
        <v>12.00534759358289</v>
      </c>
      <c r="W24" s="1">
        <f t="shared" si="9"/>
        <v>14.193138173582426</v>
      </c>
      <c r="X24">
        <f t="shared" si="10"/>
        <v>5.2941176470588234</v>
      </c>
      <c r="Y24" s="1">
        <f t="shared" si="11"/>
        <v>56.275968403271733</v>
      </c>
      <c r="Z24">
        <f t="shared" si="12"/>
        <v>0.88235294117647056</v>
      </c>
      <c r="AA24" s="1">
        <f t="shared" si="13"/>
        <v>2.6832655573742263</v>
      </c>
      <c r="AB24" s="1">
        <f t="shared" si="16"/>
        <v>58.041384267440186</v>
      </c>
      <c r="AC24">
        <f t="shared" si="14"/>
        <v>-0.34641558835306263</v>
      </c>
      <c r="AD24">
        <f t="shared" si="15"/>
        <v>57.694968679087125</v>
      </c>
    </row>
    <row r="25" spans="1:30" x14ac:dyDescent="0.3">
      <c r="E25" t="s">
        <v>83</v>
      </c>
      <c r="F25">
        <f>F27/F28</f>
        <v>1.3606060606060608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0"/>
        <v>0.2230625871668746</v>
      </c>
      <c r="O25" s="1">
        <f t="shared" si="1"/>
        <v>46.195934408167787</v>
      </c>
      <c r="P25">
        <f t="shared" si="2"/>
        <v>1.3881555027385665E-2</v>
      </c>
      <c r="Q25" s="1">
        <f t="shared" si="3"/>
        <v>25.865071299720039</v>
      </c>
      <c r="R25">
        <f t="shared" si="4"/>
        <v>4.6291418209260431E-3</v>
      </c>
      <c r="S25" s="1">
        <f t="shared" si="5"/>
        <v>-33.416767731228099</v>
      </c>
      <c r="T25">
        <f t="shared" si="6"/>
        <v>13.339275103980988</v>
      </c>
      <c r="U25" s="1">
        <f t="shared" si="7"/>
        <v>51.93394264569843</v>
      </c>
      <c r="V25">
        <f t="shared" si="8"/>
        <v>13.339275103980988</v>
      </c>
      <c r="W25" s="1">
        <f t="shared" si="9"/>
        <v>13.198505675773127</v>
      </c>
      <c r="X25">
        <f t="shared" si="10"/>
        <v>5.882352941176471</v>
      </c>
      <c r="Y25" s="1">
        <f t="shared" si="11"/>
        <v>55.722131714955324</v>
      </c>
      <c r="Z25">
        <f t="shared" si="12"/>
        <v>0.98039215686274506</v>
      </c>
      <c r="AA25" s="1">
        <f t="shared" si="13"/>
        <v>2.6142985861665515</v>
      </c>
      <c r="AB25" s="1">
        <f t="shared" si="16"/>
        <v>57.570822505243143</v>
      </c>
      <c r="AC25">
        <f t="shared" si="14"/>
        <v>1.415276948792954E-4</v>
      </c>
      <c r="AD25">
        <f t="shared" si="15"/>
        <v>57.570964032938022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2.2129594841542265E-4</v>
      </c>
      <c r="I26" t="s">
        <v>89</v>
      </c>
      <c r="J26">
        <f>J25*(J24/B10)^2</f>
        <v>1.4631137085317199E-3</v>
      </c>
      <c r="M26">
        <v>2000</v>
      </c>
      <c r="N26">
        <f t="shared" si="0"/>
        <v>0.44612517433374921</v>
      </c>
      <c r="O26" s="1">
        <f t="shared" si="1"/>
        <v>41.706333235928454</v>
      </c>
      <c r="P26">
        <f t="shared" si="2"/>
        <v>2.776311005477133E-2</v>
      </c>
      <c r="Q26" s="1">
        <f t="shared" si="3"/>
        <v>35.15803065001829</v>
      </c>
      <c r="R26">
        <f t="shared" si="4"/>
        <v>9.2582836418520862E-3</v>
      </c>
      <c r="S26" s="1">
        <f t="shared" si="5"/>
        <v>-21.985098256036455</v>
      </c>
      <c r="T26">
        <f t="shared" si="6"/>
        <v>26.678550207961976</v>
      </c>
      <c r="U26" s="1">
        <f t="shared" si="7"/>
        <v>50.278277669546526</v>
      </c>
      <c r="V26">
        <f t="shared" si="8"/>
        <v>26.678550207961976</v>
      </c>
      <c r="W26" s="1">
        <f t="shared" si="9"/>
        <v>6.166048155743697</v>
      </c>
      <c r="X26">
        <f t="shared" si="10"/>
        <v>11.764705882352942</v>
      </c>
      <c r="Y26" s="1">
        <f t="shared" si="11"/>
        <v>50.365087110157376</v>
      </c>
      <c r="Z26">
        <f t="shared" si="12"/>
        <v>1.9607843137254901</v>
      </c>
      <c r="AA26" s="1">
        <f t="shared" si="13"/>
        <v>-6.4458093400329535</v>
      </c>
      <c r="AB26" s="1">
        <f t="shared" si="16"/>
        <v>53.682566053456931</v>
      </c>
      <c r="AC26">
        <f t="shared" si="14"/>
        <v>1.201674176077685</v>
      </c>
      <c r="AD26">
        <f t="shared" si="15"/>
        <v>54.884240229534619</v>
      </c>
    </row>
    <row r="27" spans="1:30" x14ac:dyDescent="0.3">
      <c r="E27" t="s">
        <v>110</v>
      </c>
      <c r="F27">
        <v>8.98</v>
      </c>
      <c r="G27" t="s">
        <v>83</v>
      </c>
      <c r="H27">
        <f>H24</f>
        <v>0.33</v>
      </c>
      <c r="I27" t="s">
        <v>83</v>
      </c>
      <c r="J27">
        <f>J24</f>
        <v>0.6</v>
      </c>
      <c r="M27">
        <v>3000</v>
      </c>
      <c r="N27">
        <f t="shared" si="0"/>
        <v>0.66918776150062387</v>
      </c>
      <c r="O27" s="1">
        <f t="shared" si="1"/>
        <v>38.588022234411923</v>
      </c>
      <c r="P27">
        <f t="shared" si="2"/>
        <v>4.1644665082157001E-2</v>
      </c>
      <c r="Q27" s="1">
        <f t="shared" si="3"/>
        <v>39.187392041427898</v>
      </c>
      <c r="R27">
        <f t="shared" si="4"/>
        <v>1.3887425462778128E-2</v>
      </c>
      <c r="S27" s="1">
        <f t="shared" si="5"/>
        <v>-15.70025694826548</v>
      </c>
      <c r="T27">
        <f t="shared" si="6"/>
        <v>40.017825311942964</v>
      </c>
      <c r="U27" s="1">
        <f t="shared" si="7"/>
        <v>49.309775744740286</v>
      </c>
      <c r="V27">
        <f t="shared" si="8"/>
        <v>40.017825311942964</v>
      </c>
      <c r="W27" s="1">
        <f t="shared" si="9"/>
        <v>1.8579142886232638</v>
      </c>
      <c r="X27">
        <f t="shared" si="10"/>
        <v>17.647058823529413</v>
      </c>
      <c r="Y27" s="1">
        <f t="shared" si="11"/>
        <v>46.423147915657204</v>
      </c>
      <c r="Z27">
        <f t="shared" si="12"/>
        <v>2.9411764705882355</v>
      </c>
      <c r="AA27" s="1">
        <f t="shared" si="13"/>
        <v>-19.997549743738393</v>
      </c>
      <c r="AB27" s="1">
        <f t="shared" si="16"/>
        <v>51.604984771694717</v>
      </c>
      <c r="AC27">
        <f t="shared" si="14"/>
        <v>1.2284560262974789</v>
      </c>
      <c r="AD27">
        <f t="shared" si="15"/>
        <v>52.833440797992196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2.5882352941176472</v>
      </c>
      <c r="I28" t="s">
        <v>81</v>
      </c>
      <c r="J28">
        <f>(B13*J27)*(1-B7*COS(B14))/(B7*B9)</f>
        <v>4.7058823529411766</v>
      </c>
      <c r="M28">
        <v>4000</v>
      </c>
      <c r="N28">
        <f t="shared" si="0"/>
        <v>0.89225034866749842</v>
      </c>
      <c r="O28" s="1">
        <f t="shared" si="1"/>
        <v>36.261012980709104</v>
      </c>
      <c r="P28">
        <f t="shared" si="2"/>
        <v>5.5526220109542661E-2</v>
      </c>
      <c r="Q28" s="1">
        <f t="shared" si="3"/>
        <v>41.182953554536901</v>
      </c>
      <c r="R28">
        <f t="shared" si="4"/>
        <v>1.8516567283704172E-2</v>
      </c>
      <c r="S28" s="1">
        <f t="shared" si="5"/>
        <v>-11.560415639611833</v>
      </c>
      <c r="T28">
        <f t="shared" si="6"/>
        <v>53.357100415923952</v>
      </c>
      <c r="U28" s="1">
        <f t="shared" si="7"/>
        <v>48.622612693394636</v>
      </c>
      <c r="V28">
        <f t="shared" si="8"/>
        <v>53.357100415923952</v>
      </c>
      <c r="W28" s="1">
        <f t="shared" si="9"/>
        <v>-1.232386986228597</v>
      </c>
      <c r="X28">
        <f t="shared" si="10"/>
        <v>23.529411764705884</v>
      </c>
      <c r="Y28" s="1">
        <f t="shared" si="11"/>
        <v>43.466063312623646</v>
      </c>
      <c r="Z28">
        <f t="shared" si="12"/>
        <v>3.9215686274509802</v>
      </c>
      <c r="AA28" s="1">
        <f t="shared" si="13"/>
        <v>-29.971772646191756</v>
      </c>
      <c r="AB28" s="1">
        <f t="shared" si="16"/>
        <v>50.507437193671635</v>
      </c>
      <c r="AC28">
        <f t="shared" si="14"/>
        <v>0.96359790524507294</v>
      </c>
      <c r="AD28">
        <f t="shared" si="15"/>
        <v>51.471035098916708</v>
      </c>
    </row>
    <row r="29" spans="1:30" x14ac:dyDescent="0.3">
      <c r="E29" t="s">
        <v>113</v>
      </c>
      <c r="F29">
        <f>(B13*F25)*(1-B7*COS(B14))/(B7*B9)</f>
        <v>10.671420083184792</v>
      </c>
      <c r="G29" t="s">
        <v>125</v>
      </c>
      <c r="H29">
        <f>13.59*H28^2*(H28^2+12.5)^-2.25</f>
        <v>0.1179918566042514</v>
      </c>
      <c r="I29" t="s">
        <v>125</v>
      </c>
      <c r="J29">
        <f>13.59*J28^2*(J28^2+12.5)^-2.25</f>
        <v>0.10334775421942682</v>
      </c>
      <c r="M29">
        <v>5000</v>
      </c>
      <c r="N29">
        <f t="shared" si="0"/>
        <v>1.115312935834373</v>
      </c>
      <c r="O29" s="1">
        <f t="shared" si="1"/>
        <v>34.414049657081584</v>
      </c>
      <c r="P29">
        <f t="shared" si="2"/>
        <v>6.9407775136928335E-2</v>
      </c>
      <c r="Q29" s="1">
        <f t="shared" si="3"/>
        <v>42.183911031261736</v>
      </c>
      <c r="R29">
        <f t="shared" si="4"/>
        <v>2.3145709104630215E-2</v>
      </c>
      <c r="S29" s="1">
        <f t="shared" si="5"/>
        <v>-8.6082394801896935</v>
      </c>
      <c r="T29">
        <f t="shared" si="6"/>
        <v>66.696375519904947</v>
      </c>
      <c r="U29" s="1">
        <f t="shared" si="7"/>
        <v>48.08960762185032</v>
      </c>
      <c r="V29">
        <f t="shared" si="8"/>
        <v>66.696375519904947</v>
      </c>
      <c r="W29" s="1">
        <f t="shared" si="9"/>
        <v>-3.639747467824165</v>
      </c>
      <c r="X29">
        <f t="shared" si="10"/>
        <v>29.411764705882351</v>
      </c>
      <c r="Y29" s="1">
        <f t="shared" si="11"/>
        <v>41.121294647918006</v>
      </c>
      <c r="Z29">
        <f t="shared" si="12"/>
        <v>4.9019607843137258</v>
      </c>
      <c r="AA29" s="1">
        <f t="shared" si="13"/>
        <v>-37.722635778313169</v>
      </c>
      <c r="AB29" s="1">
        <f t="shared" si="16"/>
        <v>49.852249945252751</v>
      </c>
      <c r="AC29">
        <f t="shared" si="14"/>
        <v>0.55443415814925312</v>
      </c>
      <c r="AD29">
        <f t="shared" si="15"/>
        <v>50.406684103402007</v>
      </c>
    </row>
    <row r="30" spans="1:30" x14ac:dyDescent="0.3">
      <c r="E30" t="s">
        <v>114</v>
      </c>
      <c r="F30">
        <f>0.1406*F29^-0.55</f>
        <v>3.8235176709747229E-2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0"/>
        <v>1.3383755230012477</v>
      </c>
      <c r="O30" s="1">
        <f t="shared" si="1"/>
        <v>32.88557062826461</v>
      </c>
      <c r="P30">
        <f t="shared" si="2"/>
        <v>8.3289330164314002E-2</v>
      </c>
      <c r="Q30" s="1">
        <f t="shared" si="3"/>
        <v>42.643343510457669</v>
      </c>
      <c r="R30">
        <f t="shared" si="4"/>
        <v>2.7774850925556257E-2</v>
      </c>
      <c r="S30" s="1">
        <f t="shared" si="5"/>
        <v>-6.4087588704081044</v>
      </c>
      <c r="T30">
        <f t="shared" si="6"/>
        <v>80.035650623885928</v>
      </c>
      <c r="U30" s="1">
        <f t="shared" si="7"/>
        <v>47.654110768588389</v>
      </c>
      <c r="V30">
        <f t="shared" si="8"/>
        <v>80.035650623885928</v>
      </c>
      <c r="W30" s="1">
        <f t="shared" si="9"/>
        <v>-5.6109085335184616</v>
      </c>
      <c r="X30">
        <f t="shared" si="10"/>
        <v>35.294117647058826</v>
      </c>
      <c r="Y30" s="1">
        <f t="shared" si="11"/>
        <v>39.184386204983589</v>
      </c>
      <c r="Z30">
        <f t="shared" si="12"/>
        <v>5.882352941176471</v>
      </c>
      <c r="AA30" s="1">
        <f t="shared" si="13"/>
        <v>-44.056835571625939</v>
      </c>
      <c r="AB30" s="1">
        <f t="shared" si="16"/>
        <v>49.38903027321242</v>
      </c>
      <c r="AC30">
        <f t="shared" si="14"/>
        <v>5.0112726333026991E-2</v>
      </c>
      <c r="AD30">
        <f t="shared" si="15"/>
        <v>49.439142999545446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9.7784210619018003E-3</v>
      </c>
      <c r="I31" t="s">
        <v>90</v>
      </c>
      <c r="J31">
        <f>J22*B7^J23*J26*(B12*B9^2*B10^2)</f>
        <v>6.4650717764640001E-2</v>
      </c>
      <c r="M31">
        <v>7000</v>
      </c>
      <c r="N31">
        <f t="shared" si="0"/>
        <v>1.5614381101681221</v>
      </c>
      <c r="O31" s="1">
        <f t="shared" si="1"/>
        <v>31.582924428520457</v>
      </c>
      <c r="P31">
        <f t="shared" si="2"/>
        <v>9.7170885191699655E-2</v>
      </c>
      <c r="Q31" s="1">
        <f t="shared" si="3"/>
        <v>42.789046335730099</v>
      </c>
      <c r="R31">
        <f t="shared" si="4"/>
        <v>3.2403992746482306E-2</v>
      </c>
      <c r="S31" s="1">
        <f t="shared" si="5"/>
        <v>-4.7252836843090735</v>
      </c>
      <c r="T31">
        <f t="shared" si="6"/>
        <v>93.374925727866923</v>
      </c>
      <c r="U31" s="1">
        <f t="shared" si="7"/>
        <v>47.285903425620013</v>
      </c>
      <c r="V31">
        <f t="shared" si="8"/>
        <v>93.374925727866923</v>
      </c>
      <c r="W31" s="1">
        <f t="shared" si="9"/>
        <v>-7.2795279097025043</v>
      </c>
      <c r="X31">
        <f t="shared" si="10"/>
        <v>41.176470588235297</v>
      </c>
      <c r="Y31" s="1">
        <f t="shared" si="11"/>
        <v>37.536506749383385</v>
      </c>
      <c r="Z31">
        <f t="shared" si="12"/>
        <v>6.8627450980392153</v>
      </c>
      <c r="AA31" s="1">
        <f t="shared" si="13"/>
        <v>-49.412514337239195</v>
      </c>
      <c r="AB31" s="1">
        <f t="shared" si="16"/>
        <v>49.011690552253036</v>
      </c>
      <c r="AC31">
        <f t="shared" si="14"/>
        <v>-0.5231027020581247</v>
      </c>
      <c r="AD31">
        <f t="shared" si="15"/>
        <v>48.488587850194911</v>
      </c>
    </row>
    <row r="32" spans="1:30" x14ac:dyDescent="0.3">
      <c r="E32" t="s">
        <v>90</v>
      </c>
      <c r="F32">
        <f>F22*B7^F23*F24*(B12*B9^3*B10^2)</f>
        <v>28.911020438153557</v>
      </c>
      <c r="G32" t="s">
        <v>91</v>
      </c>
      <c r="H32">
        <f>(B12*B9*H31*H30*H29)/(4*PI()*B15^2*(1-B7*COS(B14))^4)</f>
        <v>5.491808414682116E-8</v>
      </c>
      <c r="I32" t="s">
        <v>91</v>
      </c>
      <c r="J32">
        <f>(B12*B9*J31*J30*J29)/(4*PI()*B15^2*(1-B7*COS(B14))^4)</f>
        <v>3.1803066969379493E-7</v>
      </c>
      <c r="M32">
        <v>8000</v>
      </c>
      <c r="N32">
        <f t="shared" si="0"/>
        <v>1.7845006973349968</v>
      </c>
      <c r="O32" s="1">
        <f t="shared" si="1"/>
        <v>30.44845110313527</v>
      </c>
      <c r="P32">
        <f t="shared" si="2"/>
        <v>0.11105244021908532</v>
      </c>
      <c r="Q32" s="1">
        <f t="shared" si="3"/>
        <v>42.745777040963929</v>
      </c>
      <c r="R32">
        <f t="shared" si="4"/>
        <v>3.7033134567408345E-2</v>
      </c>
      <c r="S32" s="1">
        <f t="shared" si="5"/>
        <v>-3.4139848941398121</v>
      </c>
      <c r="T32">
        <f t="shared" si="6"/>
        <v>106.7142008318479</v>
      </c>
      <c r="U32" s="1">
        <f t="shared" si="7"/>
        <v>46.966947717242739</v>
      </c>
      <c r="V32">
        <f t="shared" si="8"/>
        <v>106.7142008318479</v>
      </c>
      <c r="W32" s="1">
        <f t="shared" si="9"/>
        <v>-8.7260473058830854</v>
      </c>
      <c r="X32">
        <f t="shared" si="10"/>
        <v>47.058823529411768</v>
      </c>
      <c r="Y32" s="1">
        <f t="shared" si="11"/>
        <v>36.103483462186773</v>
      </c>
      <c r="Z32">
        <f t="shared" si="12"/>
        <v>7.8431372549019605</v>
      </c>
      <c r="AA32" s="1">
        <f t="shared" si="13"/>
        <v>-54.051852714103752</v>
      </c>
      <c r="AB32" s="1">
        <f t="shared" si="16"/>
        <v>48.677229424440178</v>
      </c>
      <c r="AC32">
        <f t="shared" si="14"/>
        <v>-1.1468793432843185</v>
      </c>
      <c r="AD32">
        <f t="shared" si="15"/>
        <v>47.530350081155859</v>
      </c>
    </row>
    <row r="33" spans="5:30" x14ac:dyDescent="0.3">
      <c r="E33" t="s">
        <v>91</v>
      </c>
      <c r="F33">
        <f>(B12*B9*F32*F31*F30)/(4*PI()*B15^2*(1-B7*COS(B14))^2)</f>
        <v>7.0591882420282503E-5</v>
      </c>
      <c r="G33" t="s">
        <v>85</v>
      </c>
      <c r="H33">
        <f>10*LOG10(H32/B17^2)</f>
        <v>21.376553868548044</v>
      </c>
      <c r="I33" t="s">
        <v>85</v>
      </c>
      <c r="J33">
        <f>10*LOG10(J32/B17^2)</f>
        <v>29.004090124190679</v>
      </c>
      <c r="M33">
        <v>9000</v>
      </c>
      <c r="N33">
        <f t="shared" si="0"/>
        <v>2.0075632845018716</v>
      </c>
      <c r="O33" s="1">
        <f t="shared" si="1"/>
        <v>29.443947679937867</v>
      </c>
      <c r="P33">
        <f t="shared" si="2"/>
        <v>0.124933995246471</v>
      </c>
      <c r="Q33" s="1">
        <f t="shared" si="3"/>
        <v>42.585990885519095</v>
      </c>
      <c r="R33">
        <f t="shared" si="4"/>
        <v>4.1662276388334391E-2</v>
      </c>
      <c r="S33" s="1">
        <f t="shared" si="5"/>
        <v>-2.3807554371178901</v>
      </c>
      <c r="T33">
        <f t="shared" si="6"/>
        <v>120.0534759358289</v>
      </c>
      <c r="U33" s="1">
        <f t="shared" si="7"/>
        <v>46.685608843782148</v>
      </c>
      <c r="V33">
        <f t="shared" si="8"/>
        <v>120.0534759358289</v>
      </c>
      <c r="W33" s="1">
        <f t="shared" si="9"/>
        <v>-10.002611468628563</v>
      </c>
      <c r="X33">
        <f t="shared" si="10"/>
        <v>52.941176470588232</v>
      </c>
      <c r="Y33" s="1">
        <f t="shared" si="11"/>
        <v>34.836188214547711</v>
      </c>
      <c r="Z33">
        <f t="shared" si="12"/>
        <v>8.8235294117647065</v>
      </c>
      <c r="AA33" s="1">
        <f t="shared" si="13"/>
        <v>-58.144048957270783</v>
      </c>
      <c r="AB33" s="1">
        <f t="shared" si="16"/>
        <v>48.368486463199758</v>
      </c>
      <c r="AC33">
        <f t="shared" si="14"/>
        <v>-1.8068953612431837</v>
      </c>
      <c r="AD33">
        <f t="shared" si="15"/>
        <v>46.561591101956573</v>
      </c>
    </row>
    <row r="34" spans="5:30" x14ac:dyDescent="0.3">
      <c r="E34" t="s">
        <v>85</v>
      </c>
      <c r="F34">
        <f>10*LOG10(F33/B17^2)</f>
        <v>52.466947717242746</v>
      </c>
      <c r="M34">
        <v>10000</v>
      </c>
      <c r="N34">
        <f t="shared" si="0"/>
        <v>2.2306258716687459</v>
      </c>
      <c r="O34" s="1">
        <f t="shared" si="1"/>
        <v>28.542841567074365</v>
      </c>
      <c r="P34">
        <f t="shared" si="2"/>
        <v>0.13881555027385667</v>
      </c>
      <c r="Q34" s="1">
        <f>10*LOG10((($B$12*$B$9*$H$16*$H$15*(0.613*(10*P34)^4*((10*P34)^1.5+0.5)^-4))/(4*PI()*$B$15^2*(1-$B$7*COS($B$14))^4))/$B$17^2)</f>
        <v>42.353629246260631</v>
      </c>
      <c r="R34">
        <f t="shared" si="4"/>
        <v>4.6291418209260429E-2</v>
      </c>
      <c r="S34" s="1">
        <f t="shared" si="5"/>
        <v>-1.5607094552243008</v>
      </c>
      <c r="T34">
        <f t="shared" si="6"/>
        <v>133.39275103980989</v>
      </c>
      <c r="U34" s="1">
        <f t="shared" si="7"/>
        <v>46.43394264569843</v>
      </c>
      <c r="V34">
        <f t="shared" si="8"/>
        <v>133.39275103980989</v>
      </c>
      <c r="W34" s="1">
        <f t="shared" si="9"/>
        <v>-11.144939791245211</v>
      </c>
      <c r="X34">
        <f t="shared" si="10"/>
        <v>58.823529411764703</v>
      </c>
      <c r="Y34" s="1">
        <f t="shared" si="11"/>
        <v>33.700497911264364</v>
      </c>
      <c r="Z34">
        <f t="shared" si="12"/>
        <v>9.8039215686274517</v>
      </c>
      <c r="AA34" s="1">
        <f t="shared" si="13"/>
        <v>-61.80464618243186</v>
      </c>
      <c r="AB34" s="1">
        <f t="shared" si="16"/>
        <v>48.078580230481222</v>
      </c>
      <c r="AC34">
        <f t="shared" si="14"/>
        <v>-2.4915694246069107</v>
      </c>
      <c r="AD34">
        <f t="shared" si="15"/>
        <v>45.587010805874314</v>
      </c>
    </row>
    <row r="35" spans="5:30" x14ac:dyDescent="0.3">
      <c r="M35">
        <v>20000</v>
      </c>
      <c r="N35">
        <f t="shared" si="0"/>
        <v>4.4612517433374919</v>
      </c>
      <c r="O35">
        <f t="shared" si="1"/>
        <v>22.575368555272139</v>
      </c>
      <c r="P35">
        <f t="shared" si="2"/>
        <v>0.27763110054771334</v>
      </c>
      <c r="Q35">
        <f>10*LOG10((($B$12*$B$9*$H$16*$H$15*(0.613*(10*P35)^4*((10*P35)^1.5+0.5)^-4))/(4*PI()*$B$15^2*(1-$B$7*COS($B$14))^4))/$B$17^2)</f>
        <v>39.183995909365976</v>
      </c>
      <c r="R35">
        <f t="shared" si="4"/>
        <v>9.2582836418520859E-2</v>
      </c>
      <c r="S35">
        <f t="shared" si="5"/>
        <v>1.1948851054944325</v>
      </c>
      <c r="T35">
        <f t="shared" si="6"/>
        <v>266.78550207961979</v>
      </c>
      <c r="U35">
        <f t="shared" si="7"/>
        <v>44.778277669546533</v>
      </c>
      <c r="V35">
        <f t="shared" si="8"/>
        <v>266.78550207961979</v>
      </c>
      <c r="W35">
        <f t="shared" si="9"/>
        <v>-18.665543526019295</v>
      </c>
      <c r="X35">
        <f t="shared" si="10"/>
        <v>117.64705882352941</v>
      </c>
      <c r="Y35">
        <f t="shared" si="11"/>
        <v>26.201163393593877</v>
      </c>
      <c r="Z35">
        <f t="shared" si="12"/>
        <v>19.607843137254903</v>
      </c>
      <c r="AA35">
        <f t="shared" si="13"/>
        <v>-85.887044314978041</v>
      </c>
      <c r="AB35">
        <f t="shared" si="16"/>
        <v>45.903417311150783</v>
      </c>
      <c r="AC35">
        <f t="shared" si="14"/>
        <v>-9.3467937594815851</v>
      </c>
      <c r="AD35">
        <f t="shared" si="15"/>
        <v>36.556623551669198</v>
      </c>
    </row>
    <row r="36" spans="5:30" x14ac:dyDescent="0.3">
      <c r="E36" t="s">
        <v>116</v>
      </c>
      <c r="M36">
        <v>30000</v>
      </c>
      <c r="N36">
        <f t="shared" si="0"/>
        <v>6.6918776150062378</v>
      </c>
      <c r="O36">
        <f t="shared" si="1"/>
        <v>19.066808651216867</v>
      </c>
      <c r="P36">
        <f t="shared" si="2"/>
        <v>0.41644665082156995</v>
      </c>
      <c r="Q36">
        <f>10*LOG10((($B$12*$B$9*$H$16*$H$15*(0.613*(10*P36)^4*((10*P36)^1.5+0.5)^-4))/(4*PI()*$B$15^2*(1-$B$7*COS($B$14))^4))/$B$17^2)</f>
        <v>36.451982308264697</v>
      </c>
      <c r="R36">
        <f t="shared" si="4"/>
        <v>0.1388742546277813</v>
      </c>
      <c r="S36">
        <f t="shared" si="5"/>
        <v>0.78089567944896066</v>
      </c>
      <c r="T36">
        <f t="shared" si="6"/>
        <v>400.17825311942966</v>
      </c>
      <c r="U36">
        <f t="shared" si="7"/>
        <v>43.809775744740293</v>
      </c>
      <c r="V36">
        <f t="shared" si="8"/>
        <v>400.17825311942966</v>
      </c>
      <c r="W36">
        <f t="shared" si="9"/>
        <v>-23.066871712920879</v>
      </c>
      <c r="X36">
        <f t="shared" si="10"/>
        <v>176.47058823529412</v>
      </c>
      <c r="Y36">
        <f t="shared" si="11"/>
        <v>21.80378149906787</v>
      </c>
      <c r="Z36">
        <f t="shared" si="12"/>
        <v>29.411764705882351</v>
      </c>
      <c r="AA36">
        <f t="shared" si="13"/>
        <v>-99.974345033702178</v>
      </c>
      <c r="AB36">
        <f t="shared" si="16"/>
        <v>44.577829367112933</v>
      </c>
      <c r="AC36">
        <f t="shared" si="14"/>
        <v>-14.969811759715991</v>
      </c>
      <c r="AD36">
        <f t="shared" si="15"/>
        <v>29.608017607396942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0"/>
        <v>8.9225034866749837</v>
      </c>
      <c r="O37">
        <f t="shared" si="1"/>
        <v>16.573590782226628</v>
      </c>
      <c r="P37">
        <f t="shared" si="2"/>
        <v>0.55526220109542668</v>
      </c>
      <c r="Q37">
        <f>10*LOG10((($B$12*$B$9*$H$16*$H$15*(0.613*(10*P37)^4*((10*P37)^1.5+0.5)^-4))/(4*PI()*$B$15^2*(1-$B$7*COS($B$14))^4))/$B$17^2)</f>
        <v>34.294852682183176</v>
      </c>
      <c r="R37">
        <f t="shared" si="4"/>
        <v>0.18516567283704172</v>
      </c>
      <c r="S37">
        <f t="shared" si="5"/>
        <v>-0.23121125941335557</v>
      </c>
      <c r="T37">
        <f t="shared" si="6"/>
        <v>533.57100415923958</v>
      </c>
      <c r="U37">
        <f t="shared" si="7"/>
        <v>43.122612693394629</v>
      </c>
      <c r="V37">
        <f t="shared" si="8"/>
        <v>533.57100415923958</v>
      </c>
      <c r="W37">
        <f t="shared" si="9"/>
        <v>-26.190006454834265</v>
      </c>
      <c r="X37">
        <f t="shared" si="10"/>
        <v>235.29411764705881</v>
      </c>
      <c r="Y37">
        <f t="shared" si="11"/>
        <v>18.682028518072585</v>
      </c>
      <c r="Z37">
        <f t="shared" si="12"/>
        <v>39.215686274509807</v>
      </c>
      <c r="AA37">
        <f t="shared" si="13"/>
        <v>-109.9694439621568</v>
      </c>
      <c r="AB37">
        <f t="shared" si="16"/>
        <v>43.679616281954267</v>
      </c>
      <c r="AC37">
        <f t="shared" si="14"/>
        <v>-19.409938448212671</v>
      </c>
      <c r="AD37">
        <f t="shared" si="15"/>
        <v>24.269677833741596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+10^(O235/10))</f>
        <v>57.477906526551848</v>
      </c>
      <c r="Q38">
        <f t="shared" ref="Q38:AD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+10^(Q235/10))</f>
        <v>51.265365496508849</v>
      </c>
      <c r="S38">
        <f t="shared" si="17"/>
        <v>5.4891039827099908</v>
      </c>
      <c r="U38">
        <f t="shared" si="17"/>
        <v>70.765364084012887</v>
      </c>
      <c r="W38">
        <f t="shared" si="17"/>
        <v>29.792489855134171</v>
      </c>
      <c r="Y38">
        <f t="shared" si="17"/>
        <v>66.595895148685273</v>
      </c>
      <c r="AA38">
        <f t="shared" si="17"/>
        <v>15.661466841914526</v>
      </c>
      <c r="AB38">
        <f t="shared" si="17"/>
        <v>72.352255089138865</v>
      </c>
      <c r="AD38">
        <f t="shared" si="17"/>
        <v>66.797897728290067</v>
      </c>
    </row>
    <row r="39" spans="5:30" x14ac:dyDescent="0.3">
      <c r="E39" t="s">
        <v>117</v>
      </c>
      <c r="F39">
        <v>0.1</v>
      </c>
      <c r="M39" t="s">
        <v>157</v>
      </c>
      <c r="N39">
        <f>B18</f>
        <v>1022</v>
      </c>
      <c r="O39">
        <f>O38-20*LOG10($B$18-1)</f>
        <v>-2.7026083151863602</v>
      </c>
      <c r="Q39">
        <f t="shared" ref="Q39:AD39" si="18">Q38-20*LOG10($B$18-1)</f>
        <v>-8.9151493452293593</v>
      </c>
      <c r="S39">
        <f t="shared" si="18"/>
        <v>-54.691410859028217</v>
      </c>
      <c r="U39">
        <f t="shared" si="18"/>
        <v>10.584849242274679</v>
      </c>
      <c r="W39">
        <f t="shared" si="18"/>
        <v>-30.388024986604037</v>
      </c>
      <c r="Y39">
        <f t="shared" si="18"/>
        <v>6.4153803069470641</v>
      </c>
      <c r="AA39">
        <f t="shared" si="18"/>
        <v>-44.519047999823684</v>
      </c>
      <c r="AB39">
        <f>AB38</f>
        <v>72.352255089138865</v>
      </c>
      <c r="AD39">
        <f t="shared" si="18"/>
        <v>6.6173828865518587</v>
      </c>
    </row>
    <row r="40" spans="5:30" x14ac:dyDescent="0.3">
      <c r="E40" t="s">
        <v>118</v>
      </c>
      <c r="F40">
        <v>0.46</v>
      </c>
      <c r="AA40" t="s">
        <v>155</v>
      </c>
      <c r="AB40">
        <f>'6 bladed propeller Aquila'!F76+20*LOG10(450/B18)</f>
        <v>63.95854448915572</v>
      </c>
      <c r="AD40">
        <f>AB40</f>
        <v>63.95854448915572</v>
      </c>
    </row>
    <row r="41" spans="5:30" x14ac:dyDescent="0.3">
      <c r="E41" t="s">
        <v>89</v>
      </c>
      <c r="F41">
        <f>(F39/B10)^2*(F40/F39)</f>
        <v>4.6738354578096612E-5</v>
      </c>
      <c r="AA41" t="s">
        <v>156</v>
      </c>
    </row>
    <row r="42" spans="5:30" x14ac:dyDescent="0.3">
      <c r="E42" t="s">
        <v>83</v>
      </c>
      <c r="F42">
        <f>F39</f>
        <v>0.1</v>
      </c>
      <c r="AA42" t="s">
        <v>148</v>
      </c>
      <c r="AB42">
        <f>10*LOG(10^(AB39/10)+10^(AB40/10))</f>
        <v>72.93937472077647</v>
      </c>
      <c r="AD42">
        <f t="shared" ref="AD42" si="19">10*LOG(10^(AD39/10)+10^(AD40/10))</f>
        <v>63.958552499805606</v>
      </c>
    </row>
    <row r="43" spans="5:30" x14ac:dyDescent="0.3">
      <c r="E43" t="s">
        <v>81</v>
      </c>
      <c r="F43">
        <f>(B13*F42)*(1-B7*COS(B14))/(B7*B9)</f>
        <v>0.78431372549019607</v>
      </c>
    </row>
    <row r="44" spans="5:30" x14ac:dyDescent="0.3">
      <c r="E44" t="s">
        <v>125</v>
      </c>
      <c r="F44">
        <f>5.325*(30+F43^8)^-1</f>
        <v>0.1766568057418231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0.44449247316348001</v>
      </c>
    </row>
    <row r="47" spans="5:30" x14ac:dyDescent="0.3">
      <c r="E47" t="s">
        <v>91</v>
      </c>
      <c r="F47">
        <f>(B12*B9*F46*F45*F44)/(4*PI()*B15^2*(1-B7*COS(B14))^2)</f>
        <v>7.4748918402746272E-10</v>
      </c>
    </row>
    <row r="48" spans="5:30" x14ac:dyDescent="0.3">
      <c r="E48" t="s">
        <v>85</v>
      </c>
      <c r="F48">
        <f>10*LOG10(F47/B17^2)</f>
        <v>2.7154492158666717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5993-BB17-4EF9-9F64-D4C44788EEE6}">
  <dimension ref="A1:Q29"/>
  <sheetViews>
    <sheetView tabSelected="1" topLeftCell="F1" workbookViewId="0">
      <selection activeCell="Q1" sqref="Q1"/>
    </sheetView>
  </sheetViews>
  <sheetFormatPr defaultRowHeight="14.4" x14ac:dyDescent="0.3"/>
  <sheetData>
    <row r="1" spans="1:17" x14ac:dyDescent="0.3">
      <c r="A1" t="s">
        <v>128</v>
      </c>
      <c r="B1" t="s">
        <v>130</v>
      </c>
      <c r="C1" t="s">
        <v>131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148</v>
      </c>
      <c r="Q1" t="s">
        <v>162</v>
      </c>
    </row>
    <row r="2" spans="1:17" x14ac:dyDescent="0.3">
      <c r="A2">
        <v>10</v>
      </c>
      <c r="B2">
        <v>2.2306258716687463E-3</v>
      </c>
      <c r="C2">
        <v>1.4565330095641476</v>
      </c>
      <c r="D2">
        <v>1.3881555027385668E-4</v>
      </c>
      <c r="E2">
        <v>-52.426781626695742</v>
      </c>
      <c r="F2">
        <v>4.6291418209260436E-5</v>
      </c>
      <c r="G2">
        <v>-113.07447616783917</v>
      </c>
      <c r="H2">
        <v>0.13339275103980988</v>
      </c>
      <c r="I2">
        <v>62.933942645698423</v>
      </c>
      <c r="J2">
        <v>0.13339275103980988</v>
      </c>
      <c r="K2">
        <v>-0.20150253931561266</v>
      </c>
      <c r="L2">
        <v>5.8823529411764705E-2</v>
      </c>
      <c r="M2">
        <v>28.682352973425971</v>
      </c>
      <c r="N2">
        <v>9.8039215686274508E-3</v>
      </c>
      <c r="O2">
        <v>2.7361290559534543</v>
      </c>
      <c r="P2">
        <v>62.935583329486178</v>
      </c>
      <c r="Q2">
        <v>63.146573306511755</v>
      </c>
    </row>
    <row r="3" spans="1:17" x14ac:dyDescent="0.3">
      <c r="A3">
        <v>20</v>
      </c>
      <c r="B3">
        <v>4.4612517433374925E-3</v>
      </c>
      <c r="C3">
        <v>13.288758406274528</v>
      </c>
      <c r="D3">
        <v>2.7763110054771336E-4</v>
      </c>
      <c r="E3">
        <v>-40.388866707670843</v>
      </c>
      <c r="F3">
        <v>9.2582836418520872E-5</v>
      </c>
      <c r="G3">
        <v>-101.03390902421934</v>
      </c>
      <c r="H3">
        <v>0.26678550207961976</v>
      </c>
      <c r="I3">
        <v>61.278277669546533</v>
      </c>
      <c r="J3">
        <v>0.26678550207961976</v>
      </c>
      <c r="K3">
        <v>5.7775158507809756</v>
      </c>
      <c r="L3">
        <v>0.11764705882352941</v>
      </c>
      <c r="M3">
        <v>34.69484365317561</v>
      </c>
      <c r="N3">
        <v>1.9607843137254902E-2</v>
      </c>
      <c r="O3">
        <v>2.7361290559534526</v>
      </c>
      <c r="P3">
        <v>61.287891970286346</v>
      </c>
      <c r="Q3">
        <v>61.50252669927815</v>
      </c>
    </row>
    <row r="4" spans="1:17" x14ac:dyDescent="0.3">
      <c r="A4">
        <v>30</v>
      </c>
      <c r="B4">
        <v>6.6918776150062384E-3</v>
      </c>
      <c r="C4">
        <v>20.065479401439422</v>
      </c>
      <c r="D4">
        <v>4.1644665082156998E-4</v>
      </c>
      <c r="E4">
        <v>-33.349469220123865</v>
      </c>
      <c r="F4">
        <v>1.388742546277813E-4</v>
      </c>
      <c r="G4">
        <v>-93.991077921769886</v>
      </c>
      <c r="H4">
        <v>0.40017825311942967</v>
      </c>
      <c r="I4">
        <v>60.309775744740286</v>
      </c>
      <c r="J4">
        <v>0.40017825311942967</v>
      </c>
      <c r="K4">
        <v>9.2304292998547144</v>
      </c>
      <c r="L4">
        <v>0.17647058823529413</v>
      </c>
      <c r="M4">
        <v>38.203168381958243</v>
      </c>
      <c r="N4">
        <v>2.9411764705882353E-2</v>
      </c>
      <c r="O4">
        <v>2.736129055953374</v>
      </c>
      <c r="P4">
        <v>60.336880663633764</v>
      </c>
      <c r="Q4">
        <v>60.559766056269879</v>
      </c>
    </row>
    <row r="5" spans="1:17" x14ac:dyDescent="0.3">
      <c r="A5">
        <v>40</v>
      </c>
      <c r="B5">
        <v>8.9225034866749851E-3</v>
      </c>
      <c r="C5">
        <v>24.752147077926487</v>
      </c>
      <c r="D5">
        <v>5.5526220109542671E-4</v>
      </c>
      <c r="E5">
        <v>-28.356954641013083</v>
      </c>
      <c r="F5">
        <v>1.8516567283704174E-4</v>
      </c>
      <c r="G5">
        <v>-88.994498570500895</v>
      </c>
      <c r="H5">
        <v>0.53357100415923953</v>
      </c>
      <c r="I5">
        <v>59.622612693394636</v>
      </c>
      <c r="J5">
        <v>0.53357100415923953</v>
      </c>
      <c r="K5">
        <v>11.633536833312997</v>
      </c>
      <c r="L5">
        <v>0.23529411764705882</v>
      </c>
      <c r="M5">
        <v>40.683073761805645</v>
      </c>
      <c r="N5">
        <v>3.9215686274509803E-2</v>
      </c>
      <c r="O5">
        <v>2.7361290559526457</v>
      </c>
      <c r="P5">
        <v>59.679176500947122</v>
      </c>
      <c r="Q5">
        <v>59.916356366957913</v>
      </c>
    </row>
    <row r="6" spans="1:17" x14ac:dyDescent="0.3">
      <c r="A6">
        <v>50</v>
      </c>
      <c r="B6">
        <v>1.1153129358343731E-2</v>
      </c>
      <c r="C6">
        <v>28.282527158123074</v>
      </c>
      <c r="D6">
        <v>6.9407775136928328E-4</v>
      </c>
      <c r="E6">
        <v>-24.486263309534579</v>
      </c>
      <c r="F6">
        <v>2.3145709104630216E-4</v>
      </c>
      <c r="G6">
        <v>-85.119198361566006</v>
      </c>
      <c r="H6">
        <v>0.66696375519904949</v>
      </c>
      <c r="I6">
        <v>59.089607621850327</v>
      </c>
      <c r="J6">
        <v>0.66696375519904949</v>
      </c>
      <c r="K6">
        <v>13.450096816024431</v>
      </c>
      <c r="L6">
        <v>0.29411764705882354</v>
      </c>
      <c r="M6">
        <v>42.597066843997723</v>
      </c>
      <c r="N6">
        <v>4.9019607843137254E-2</v>
      </c>
      <c r="O6">
        <v>2.7361290559486289</v>
      </c>
      <c r="P6">
        <v>59.189576745525194</v>
      </c>
      <c r="Q6">
        <v>59.448163241414832</v>
      </c>
    </row>
    <row r="7" spans="1:17" x14ac:dyDescent="0.3">
      <c r="A7">
        <v>60</v>
      </c>
      <c r="B7">
        <v>1.3383755230012477E-2</v>
      </c>
      <c r="C7">
        <v>31.075028280992075</v>
      </c>
      <c r="D7">
        <v>8.3289330164313996E-4</v>
      </c>
      <c r="E7">
        <v>-21.325324107821434</v>
      </c>
      <c r="F7">
        <v>2.777485092555626E-4</v>
      </c>
      <c r="G7">
        <v>-81.953165086307195</v>
      </c>
      <c r="H7">
        <v>0.80035650623885934</v>
      </c>
      <c r="I7">
        <v>58.654110768588396</v>
      </c>
      <c r="J7">
        <v>0.80035650623885934</v>
      </c>
      <c r="K7">
        <v>14.887077691621943</v>
      </c>
      <c r="L7">
        <v>0.35294117647058826</v>
      </c>
      <c r="M7">
        <v>44.151186421568951</v>
      </c>
      <c r="N7">
        <v>5.8823529411764705E-2</v>
      </c>
      <c r="O7">
        <v>2.7361290559327016</v>
      </c>
      <c r="P7">
        <v>58.812937754245944</v>
      </c>
      <c r="Q7">
        <v>59.100538539984903</v>
      </c>
    </row>
    <row r="8" spans="1:17" x14ac:dyDescent="0.3">
      <c r="A8">
        <v>70</v>
      </c>
      <c r="B8">
        <v>1.5614381101681223E-2</v>
      </c>
      <c r="C8">
        <v>33.354433377600294</v>
      </c>
      <c r="D8">
        <v>9.7170885191699664E-4</v>
      </c>
      <c r="E8">
        <v>-18.654310984653865</v>
      </c>
      <c r="F8">
        <v>3.2403992746482302E-4</v>
      </c>
      <c r="G8">
        <v>-79.276616081541235</v>
      </c>
      <c r="H8">
        <v>0.9337492572786692</v>
      </c>
      <c r="I8">
        <v>58.28590342562002</v>
      </c>
      <c r="J8">
        <v>0.9337492572786692</v>
      </c>
      <c r="K8">
        <v>16.055497278865836</v>
      </c>
      <c r="L8">
        <v>0.41176470588235292</v>
      </c>
      <c r="M8">
        <v>45.455366736787084</v>
      </c>
      <c r="N8">
        <v>6.8627450980392163E-2</v>
      </c>
      <c r="O8">
        <v>2.7361290558822282</v>
      </c>
      <c r="P8">
        <v>58.520025955181467</v>
      </c>
      <c r="Q8">
        <v>58.844048122530303</v>
      </c>
    </row>
    <row r="9" spans="1:17" x14ac:dyDescent="0.3">
      <c r="A9">
        <v>80</v>
      </c>
      <c r="B9">
        <v>1.784500697334997E-2</v>
      </c>
      <c r="C9">
        <v>35.256007210700517</v>
      </c>
      <c r="D9">
        <v>1.1105244021908534E-3</v>
      </c>
      <c r="E9">
        <v>-16.341997713154861</v>
      </c>
      <c r="F9">
        <v>3.7033134567408349E-4</v>
      </c>
      <c r="G9">
        <v>-76.958358856935675</v>
      </c>
      <c r="H9">
        <v>1.0671420083184791</v>
      </c>
      <c r="I9">
        <v>57.966947717242746</v>
      </c>
      <c r="J9">
        <v>1.0671420083184791</v>
      </c>
      <c r="K9">
        <v>17.022214478698405</v>
      </c>
      <c r="L9">
        <v>0.47058823529411764</v>
      </c>
      <c r="M9">
        <v>46.575256210055812</v>
      </c>
      <c r="N9">
        <v>7.8431372549019607E-2</v>
      </c>
      <c r="O9">
        <v>2.7361290557461633</v>
      </c>
      <c r="P9">
        <v>58.293226424961659</v>
      </c>
      <c r="Q9">
        <v>58.66018768267547</v>
      </c>
    </row>
    <row r="10" spans="1:17" x14ac:dyDescent="0.3">
      <c r="A10">
        <v>90</v>
      </c>
      <c r="B10">
        <v>2.0075632845018714E-2</v>
      </c>
      <c r="C10">
        <v>36.867773211363186</v>
      </c>
      <c r="D10">
        <v>1.2493399524647099E-3</v>
      </c>
      <c r="E10">
        <v>-14.303733931011573</v>
      </c>
      <c r="F10">
        <v>4.1662276388334391E-4</v>
      </c>
      <c r="G10">
        <v>-74.913770295702363</v>
      </c>
      <c r="H10">
        <v>1.2005347593582889</v>
      </c>
      <c r="I10">
        <v>57.685608843782141</v>
      </c>
      <c r="J10">
        <v>1.2005347593582889</v>
      </c>
      <c r="K10">
        <v>17.830910644881438</v>
      </c>
      <c r="L10">
        <v>0.52941176470588236</v>
      </c>
      <c r="M10">
        <v>47.553227165395391</v>
      </c>
      <c r="N10">
        <v>8.8235294117647065E-2</v>
      </c>
      <c r="O10">
        <v>2.73612905542159</v>
      </c>
      <c r="P10">
        <v>58.120756307858926</v>
      </c>
      <c r="Q10">
        <v>58.535724949410373</v>
      </c>
    </row>
    <row r="11" spans="1:17" x14ac:dyDescent="0.3">
      <c r="A11">
        <v>100</v>
      </c>
      <c r="B11">
        <v>2.2306258716687462E-2</v>
      </c>
      <c r="C11">
        <v>38.250396920486395</v>
      </c>
      <c r="D11">
        <v>1.3881555027385666E-3</v>
      </c>
      <c r="E11">
        <v>-12.481716010976534</v>
      </c>
      <c r="F11">
        <v>4.6291418209260432E-4</v>
      </c>
      <c r="G11">
        <v>-73.085069400742015</v>
      </c>
      <c r="H11">
        <v>1.333927510398099</v>
      </c>
      <c r="I11">
        <v>57.43394264569843</v>
      </c>
      <c r="J11">
        <v>1.333927510398099</v>
      </c>
      <c r="K11">
        <v>18.511924180135075</v>
      </c>
      <c r="L11">
        <v>0.58823529411764708</v>
      </c>
      <c r="M11">
        <v>48.418238899822974</v>
      </c>
      <c r="N11">
        <v>9.8039215686274508E-2</v>
      </c>
      <c r="O11">
        <v>2.7361290547179018</v>
      </c>
      <c r="P11">
        <v>57.993983901131088</v>
      </c>
      <c r="Q11">
        <v>58.460225399789067</v>
      </c>
    </row>
    <row r="12" spans="1:17" x14ac:dyDescent="0.3">
      <c r="A12">
        <v>200</v>
      </c>
      <c r="B12">
        <v>4.4612517433374924E-2</v>
      </c>
      <c r="C12">
        <v>45.492247243275024</v>
      </c>
      <c r="D12">
        <v>2.7763110054771331E-3</v>
      </c>
      <c r="E12">
        <v>-0.54376844271204183</v>
      </c>
      <c r="F12">
        <v>9.2582836418520864E-4</v>
      </c>
      <c r="G12">
        <v>-61.063853434214835</v>
      </c>
      <c r="H12">
        <v>2.667855020796198</v>
      </c>
      <c r="I12">
        <v>55.77827766954654</v>
      </c>
      <c r="J12">
        <v>2.667855020796198</v>
      </c>
      <c r="K12">
        <v>21.429014909635224</v>
      </c>
      <c r="L12">
        <v>1.1764705882352942</v>
      </c>
      <c r="M12">
        <v>53.679495693630258</v>
      </c>
      <c r="N12">
        <v>0.19607843137254902</v>
      </c>
      <c r="O12">
        <v>2.7361287396516785</v>
      </c>
      <c r="P12">
        <v>58.110190633992971</v>
      </c>
      <c r="Q12">
        <v>58.952782164463422</v>
      </c>
    </row>
    <row r="13" spans="1:17" x14ac:dyDescent="0.3">
      <c r="A13">
        <v>300</v>
      </c>
      <c r="B13">
        <v>6.6918776150062378E-2</v>
      </c>
      <c r="C13">
        <v>47.810685525463754</v>
      </c>
      <c r="D13">
        <v>4.1644665082156999E-3</v>
      </c>
      <c r="E13">
        <v>6.3670806792199155</v>
      </c>
      <c r="F13">
        <v>1.388742546277813E-3</v>
      </c>
      <c r="G13">
        <v>-54.046047098238574</v>
      </c>
      <c r="H13">
        <v>4.0017825311942969</v>
      </c>
      <c r="I13">
        <v>54.809775744740286</v>
      </c>
      <c r="J13">
        <v>4.0017825311942969</v>
      </c>
      <c r="K13">
        <v>21.296399225989195</v>
      </c>
      <c r="L13">
        <v>1.7647058823529411</v>
      </c>
      <c r="M13">
        <v>56.0537720609762</v>
      </c>
      <c r="N13">
        <v>0.29411764705882354</v>
      </c>
      <c r="O13">
        <v>2.7361209494921335</v>
      </c>
      <c r="P13">
        <v>58.843920644247554</v>
      </c>
      <c r="Q13">
        <v>59.645691659227367</v>
      </c>
    </row>
    <row r="14" spans="1:17" x14ac:dyDescent="0.3">
      <c r="A14">
        <v>400</v>
      </c>
      <c r="B14">
        <v>8.9225034866749847E-2</v>
      </c>
      <c r="C14">
        <v>48.492504210350532</v>
      </c>
      <c r="D14">
        <v>5.5526220109542663E-3</v>
      </c>
      <c r="E14">
        <v>11.208669401887139</v>
      </c>
      <c r="F14">
        <v>1.8516567283704173E-3</v>
      </c>
      <c r="G14">
        <v>-49.079052350492347</v>
      </c>
      <c r="H14">
        <v>5.3357100415923959</v>
      </c>
      <c r="I14">
        <v>54.122612693394636</v>
      </c>
      <c r="J14">
        <v>5.3357100415923959</v>
      </c>
      <c r="K14">
        <v>20.253635621038683</v>
      </c>
      <c r="L14">
        <v>2.3529411764705883</v>
      </c>
      <c r="M14">
        <v>57.143397599109953</v>
      </c>
      <c r="N14">
        <v>0.39215686274509803</v>
      </c>
      <c r="O14">
        <v>2.7360480834504179</v>
      </c>
      <c r="P14">
        <v>59.27979250210403</v>
      </c>
      <c r="Q14">
        <v>59.872779976365919</v>
      </c>
    </row>
    <row r="15" spans="1:17" x14ac:dyDescent="0.3">
      <c r="A15">
        <v>500</v>
      </c>
      <c r="B15">
        <v>0.1115312935834373</v>
      </c>
      <c r="C15">
        <v>48.49922854983204</v>
      </c>
      <c r="D15">
        <v>6.9407775136928326E-3</v>
      </c>
      <c r="E15">
        <v>14.90984566322682</v>
      </c>
      <c r="F15">
        <v>2.3145709104630216E-3</v>
      </c>
      <c r="G15">
        <v>-45.237244416860193</v>
      </c>
      <c r="H15">
        <v>6.669637551990494</v>
      </c>
      <c r="I15">
        <v>53.589607621850334</v>
      </c>
      <c r="J15">
        <v>6.669637551990494</v>
      </c>
      <c r="K15">
        <v>18.967820647583753</v>
      </c>
      <c r="L15">
        <v>2.9411764705882355</v>
      </c>
      <c r="M15">
        <v>57.52520976589917</v>
      </c>
      <c r="N15">
        <v>0.49019607843137253</v>
      </c>
      <c r="O15">
        <v>2.7356464445423385</v>
      </c>
      <c r="P15">
        <v>59.370402104908294</v>
      </c>
      <c r="Q15">
        <v>59.731347584762659</v>
      </c>
    </row>
    <row r="16" spans="1:17" x14ac:dyDescent="0.3">
      <c r="A16">
        <v>600</v>
      </c>
      <c r="B16">
        <v>0.13383755230012476</v>
      </c>
      <c r="C16">
        <v>48.200646200548512</v>
      </c>
      <c r="D16">
        <v>8.3289330164313998E-3</v>
      </c>
      <c r="E16">
        <v>17.885380376288563</v>
      </c>
      <c r="F16">
        <v>2.777485092555626E-3</v>
      </c>
      <c r="G16">
        <v>-42.108164626665364</v>
      </c>
      <c r="H16">
        <v>8.0035650623885939</v>
      </c>
      <c r="I16">
        <v>53.154110768588396</v>
      </c>
      <c r="J16">
        <v>8.0035650623885939</v>
      </c>
      <c r="K16">
        <v>17.666230428368085</v>
      </c>
      <c r="L16">
        <v>3.5294117647058822</v>
      </c>
      <c r="M16">
        <v>57.491828221129168</v>
      </c>
      <c r="N16">
        <v>0.58823529411764708</v>
      </c>
      <c r="O16">
        <v>2.7340542955860112</v>
      </c>
      <c r="P16">
        <v>59.212799440269642</v>
      </c>
      <c r="Q16">
        <v>59.366226311281096</v>
      </c>
    </row>
    <row r="17" spans="1:17" x14ac:dyDescent="0.3">
      <c r="A17">
        <v>700</v>
      </c>
      <c r="B17">
        <v>0.15614381101681221</v>
      </c>
      <c r="C17">
        <v>47.759934857325774</v>
      </c>
      <c r="D17">
        <v>9.7170885191699662E-3</v>
      </c>
      <c r="E17">
        <v>20.357188143578853</v>
      </c>
      <c r="F17">
        <v>3.2403992746482301E-3</v>
      </c>
      <c r="G17">
        <v>-39.471697393076674</v>
      </c>
      <c r="H17">
        <v>9.337492572786692</v>
      </c>
      <c r="I17">
        <v>52.785903425620013</v>
      </c>
      <c r="J17">
        <v>9.337492572786692</v>
      </c>
      <c r="K17">
        <v>16.425293371262462</v>
      </c>
      <c r="L17">
        <v>4.117647058823529</v>
      </c>
      <c r="M17">
        <v>57.211409791707723</v>
      </c>
      <c r="N17">
        <v>0.68627450980392157</v>
      </c>
      <c r="O17">
        <v>2.7290121683085959</v>
      </c>
      <c r="P17">
        <v>58.898469594392857</v>
      </c>
      <c r="Q17">
        <v>58.881602800473367</v>
      </c>
    </row>
    <row r="18" spans="1:17" x14ac:dyDescent="0.3">
      <c r="A18">
        <v>800</v>
      </c>
      <c r="B18">
        <v>0.17845006973349969</v>
      </c>
      <c r="C18">
        <v>47.255517322393715</v>
      </c>
      <c r="D18">
        <v>1.1105244021908533E-2</v>
      </c>
      <c r="E18">
        <v>22.458194169303564</v>
      </c>
      <c r="F18">
        <v>3.7033134567408346E-3</v>
      </c>
      <c r="G18">
        <v>-37.196387986082946</v>
      </c>
      <c r="H18">
        <v>10.671420083184792</v>
      </c>
      <c r="I18">
        <v>52.466947717242746</v>
      </c>
      <c r="J18">
        <v>10.671420083184792</v>
      </c>
      <c r="K18">
        <v>15.26697086273558</v>
      </c>
      <c r="L18">
        <v>4.7058823529411766</v>
      </c>
      <c r="M18">
        <v>56.785327137403776</v>
      </c>
      <c r="N18">
        <v>0.78431372549019607</v>
      </c>
      <c r="O18">
        <v>2.7154492158666717</v>
      </c>
      <c r="P18">
        <v>58.493352513778689</v>
      </c>
      <c r="Q18">
        <v>58.343157161458336</v>
      </c>
    </row>
    <row r="19" spans="1:17" x14ac:dyDescent="0.3">
      <c r="A19">
        <v>900</v>
      </c>
      <c r="B19">
        <v>0.20075632845018715</v>
      </c>
      <c r="C19">
        <v>46.727220349219849</v>
      </c>
      <c r="D19">
        <v>1.2493399524647101E-2</v>
      </c>
      <c r="E19">
        <v>24.274477543989448</v>
      </c>
      <c r="F19">
        <v>4.1662276388334391E-3</v>
      </c>
      <c r="G19">
        <v>-35.197398663757362</v>
      </c>
      <c r="H19">
        <v>12.00534759358289</v>
      </c>
      <c r="I19">
        <v>52.185608843782141</v>
      </c>
      <c r="J19">
        <v>12.00534759358289</v>
      </c>
      <c r="K19">
        <v>14.193138173582426</v>
      </c>
      <c r="L19">
        <v>5.2941176470588234</v>
      </c>
      <c r="M19">
        <v>56.275968403271733</v>
      </c>
      <c r="N19">
        <v>0.88235294117647056</v>
      </c>
      <c r="O19">
        <v>2.6832655573742263</v>
      </c>
      <c r="P19">
        <v>58.041384267440186</v>
      </c>
      <c r="Q19">
        <v>57.79017091623836</v>
      </c>
    </row>
    <row r="20" spans="1:17" x14ac:dyDescent="0.3">
      <c r="A20">
        <v>1000</v>
      </c>
      <c r="B20">
        <v>0.2230625871668746</v>
      </c>
      <c r="C20">
        <v>46.195934408167787</v>
      </c>
      <c r="D20">
        <v>1.3881555027385665E-2</v>
      </c>
      <c r="E20">
        <v>25.865071299720039</v>
      </c>
      <c r="F20">
        <v>4.6291418209260431E-3</v>
      </c>
      <c r="G20">
        <v>-33.416767731228099</v>
      </c>
      <c r="H20">
        <v>13.339275103980988</v>
      </c>
      <c r="I20">
        <v>51.93394264569843</v>
      </c>
      <c r="J20">
        <v>13.339275103980988</v>
      </c>
      <c r="K20">
        <v>13.198505675773127</v>
      </c>
      <c r="L20">
        <v>5.882352941176471</v>
      </c>
      <c r="M20">
        <v>55.722131714955324</v>
      </c>
      <c r="N20">
        <v>0.98039215686274506</v>
      </c>
      <c r="O20">
        <v>2.6142985861665515</v>
      </c>
      <c r="P20">
        <v>57.570822505243143</v>
      </c>
      <c r="Q20">
        <v>57.245329204324868</v>
      </c>
    </row>
    <row r="21" spans="1:17" x14ac:dyDescent="0.3">
      <c r="A21">
        <v>2000</v>
      </c>
      <c r="B21">
        <v>0.44612517433374921</v>
      </c>
      <c r="C21">
        <v>41.706333235928454</v>
      </c>
      <c r="D21">
        <v>2.776311005477133E-2</v>
      </c>
      <c r="E21">
        <v>35.15803065001829</v>
      </c>
      <c r="F21">
        <v>9.2582836418520862E-3</v>
      </c>
      <c r="G21">
        <v>-21.985098256036455</v>
      </c>
      <c r="H21">
        <v>26.678550207961976</v>
      </c>
      <c r="I21">
        <v>50.278277669546526</v>
      </c>
      <c r="J21">
        <v>26.678550207961976</v>
      </c>
      <c r="K21">
        <v>6.166048155743697</v>
      </c>
      <c r="L21">
        <v>11.764705882352942</v>
      </c>
      <c r="M21">
        <v>50.365087110157376</v>
      </c>
      <c r="N21">
        <v>1.9607843137254901</v>
      </c>
      <c r="O21">
        <v>-6.4458093400329535</v>
      </c>
      <c r="P21">
        <v>53.682566053456931</v>
      </c>
      <c r="Q21">
        <v>53.292380679234441</v>
      </c>
    </row>
    <row r="22" spans="1:17" x14ac:dyDescent="0.3">
      <c r="A22">
        <v>3000</v>
      </c>
      <c r="B22">
        <v>0.66918776150062387</v>
      </c>
      <c r="C22">
        <v>38.588022234411923</v>
      </c>
      <c r="D22">
        <v>4.1644665082157001E-2</v>
      </c>
      <c r="E22">
        <v>39.187392041427898</v>
      </c>
      <c r="F22">
        <v>1.3887425462778128E-2</v>
      </c>
      <c r="G22">
        <v>-15.70025694826548</v>
      </c>
      <c r="H22">
        <v>40.017825311942964</v>
      </c>
      <c r="I22">
        <v>49.309775744740286</v>
      </c>
      <c r="J22">
        <v>40.017825311942964</v>
      </c>
      <c r="K22">
        <v>1.8579142886232638</v>
      </c>
      <c r="L22">
        <v>17.647058823529413</v>
      </c>
      <c r="M22">
        <v>46.423147915657204</v>
      </c>
      <c r="N22">
        <v>2.9411764705882355</v>
      </c>
      <c r="O22">
        <v>-19.997549743738393</v>
      </c>
      <c r="P22">
        <v>51.604984771694717</v>
      </c>
      <c r="Q22">
        <v>51.416018395889523</v>
      </c>
    </row>
    <row r="23" spans="1:17" x14ac:dyDescent="0.3">
      <c r="A23">
        <v>4000</v>
      </c>
      <c r="B23">
        <v>0.89225034866749842</v>
      </c>
      <c r="C23">
        <v>36.261012980709104</v>
      </c>
      <c r="D23">
        <v>5.5526220109542661E-2</v>
      </c>
      <c r="E23">
        <v>41.182953554536901</v>
      </c>
      <c r="F23">
        <v>1.8516567283704172E-2</v>
      </c>
      <c r="G23">
        <v>-11.560415639611833</v>
      </c>
      <c r="H23">
        <v>53.357100415923952</v>
      </c>
      <c r="I23">
        <v>48.622612693394636</v>
      </c>
      <c r="J23">
        <v>53.357100415923952</v>
      </c>
      <c r="K23">
        <v>-1.232386986228597</v>
      </c>
      <c r="L23">
        <v>23.529411764705884</v>
      </c>
      <c r="M23">
        <v>43.466063312623646</v>
      </c>
      <c r="N23">
        <v>3.9215686274509802</v>
      </c>
      <c r="O23">
        <v>-29.971772646191756</v>
      </c>
      <c r="P23">
        <v>50.507437193671635</v>
      </c>
      <c r="Q23">
        <v>50.436630621744783</v>
      </c>
    </row>
    <row r="24" spans="1:17" x14ac:dyDescent="0.3">
      <c r="A24">
        <v>5000</v>
      </c>
      <c r="B24">
        <v>1.115312935834373</v>
      </c>
      <c r="C24">
        <v>34.414049657081584</v>
      </c>
      <c r="D24">
        <v>6.9407775136928335E-2</v>
      </c>
      <c r="E24">
        <v>42.183911031261736</v>
      </c>
      <c r="F24">
        <v>2.3145709104630215E-2</v>
      </c>
      <c r="G24">
        <v>-8.6082394801896935</v>
      </c>
      <c r="H24">
        <v>66.696375519904947</v>
      </c>
      <c r="I24">
        <v>48.08960762185032</v>
      </c>
      <c r="J24">
        <v>66.696375519904947</v>
      </c>
      <c r="K24">
        <v>-3.639747467824165</v>
      </c>
      <c r="L24">
        <v>29.411764705882351</v>
      </c>
      <c r="M24">
        <v>41.121294647918006</v>
      </c>
      <c r="N24">
        <v>4.9019607843137258</v>
      </c>
      <c r="O24">
        <v>-37.722635778313169</v>
      </c>
      <c r="P24">
        <v>49.852249945252751</v>
      </c>
      <c r="Q24">
        <v>49.810796992803084</v>
      </c>
    </row>
    <row r="25" spans="1:17" x14ac:dyDescent="0.3">
      <c r="A25">
        <v>6000</v>
      </c>
      <c r="B25">
        <v>1.3383755230012477</v>
      </c>
      <c r="C25">
        <v>32.88557062826461</v>
      </c>
      <c r="D25">
        <v>8.3289330164314002E-2</v>
      </c>
      <c r="E25">
        <v>42.643343510457669</v>
      </c>
      <c r="F25">
        <v>2.7774850925556257E-2</v>
      </c>
      <c r="G25">
        <v>-6.4087588704081044</v>
      </c>
      <c r="H25">
        <v>80.035650623885928</v>
      </c>
      <c r="I25">
        <v>47.654110768588389</v>
      </c>
      <c r="J25">
        <v>80.035650623885928</v>
      </c>
      <c r="K25">
        <v>-5.6109085335184616</v>
      </c>
      <c r="L25">
        <v>35.294117647058826</v>
      </c>
      <c r="M25">
        <v>39.184386204983589</v>
      </c>
      <c r="N25">
        <v>5.882352941176471</v>
      </c>
      <c r="O25">
        <v>-44.056835571625939</v>
      </c>
      <c r="P25">
        <v>49.38903027321242</v>
      </c>
      <c r="Q25">
        <v>49.331529935261671</v>
      </c>
    </row>
    <row r="26" spans="1:17" x14ac:dyDescent="0.3">
      <c r="A26">
        <v>7000</v>
      </c>
      <c r="B26">
        <v>1.5614381101681221</v>
      </c>
      <c r="C26">
        <v>31.582924428520457</v>
      </c>
      <c r="D26">
        <v>9.7170885191699655E-2</v>
      </c>
      <c r="E26">
        <v>42.789046335730099</v>
      </c>
      <c r="F26">
        <v>3.2403992746482306E-2</v>
      </c>
      <c r="G26">
        <v>-4.7252836843090735</v>
      </c>
      <c r="H26">
        <v>93.374925727866923</v>
      </c>
      <c r="I26">
        <v>47.285903425620013</v>
      </c>
      <c r="J26">
        <v>93.374925727866923</v>
      </c>
      <c r="K26">
        <v>-7.2795279097025043</v>
      </c>
      <c r="L26">
        <v>41.176470588235297</v>
      </c>
      <c r="M26">
        <v>37.536506749383385</v>
      </c>
      <c r="N26">
        <v>6.8627450980392153</v>
      </c>
      <c r="O26">
        <v>-49.412514337239195</v>
      </c>
      <c r="P26">
        <v>49.011690552253036</v>
      </c>
      <c r="Q26">
        <v>48.923081575486336</v>
      </c>
    </row>
    <row r="27" spans="1:17" x14ac:dyDescent="0.3">
      <c r="A27">
        <v>8000</v>
      </c>
      <c r="B27">
        <v>1.7845006973349968</v>
      </c>
      <c r="C27">
        <v>30.44845110313527</v>
      </c>
      <c r="D27">
        <v>0.11105244021908532</v>
      </c>
      <c r="E27">
        <v>42.745777040963929</v>
      </c>
      <c r="F27">
        <v>3.7033134567408345E-2</v>
      </c>
      <c r="G27">
        <v>-3.4139848941398121</v>
      </c>
      <c r="H27">
        <v>106.7142008318479</v>
      </c>
      <c r="I27">
        <v>46.966947717242739</v>
      </c>
      <c r="J27">
        <v>106.7142008318479</v>
      </c>
      <c r="K27">
        <v>-8.7260473058830854</v>
      </c>
      <c r="L27">
        <v>47.058823529411768</v>
      </c>
      <c r="M27">
        <v>36.103483462186773</v>
      </c>
      <c r="N27">
        <v>7.8431372549019605</v>
      </c>
      <c r="O27">
        <v>-54.051852714103752</v>
      </c>
      <c r="P27">
        <v>48.677229424440178</v>
      </c>
      <c r="Q27">
        <v>48.557099002000683</v>
      </c>
    </row>
    <row r="28" spans="1:17" x14ac:dyDescent="0.3">
      <c r="A28">
        <v>9000</v>
      </c>
      <c r="B28">
        <v>2.0075632845018716</v>
      </c>
      <c r="C28">
        <v>29.443947679937867</v>
      </c>
      <c r="D28">
        <v>0.124933995246471</v>
      </c>
      <c r="E28">
        <v>42.585990885519095</v>
      </c>
      <c r="F28">
        <v>4.1662276388334391E-2</v>
      </c>
      <c r="G28">
        <v>-2.3807554371178901</v>
      </c>
      <c r="H28">
        <v>120.0534759358289</v>
      </c>
      <c r="I28">
        <v>46.685608843782148</v>
      </c>
      <c r="J28">
        <v>120.0534759358289</v>
      </c>
      <c r="K28">
        <v>-10.002611468628563</v>
      </c>
      <c r="L28">
        <v>52.941176470588232</v>
      </c>
      <c r="M28">
        <v>34.836188214547711</v>
      </c>
      <c r="N28">
        <v>8.8235294117647065</v>
      </c>
      <c r="O28">
        <v>-58.144048957270783</v>
      </c>
      <c r="P28">
        <v>48.368486463199758</v>
      </c>
      <c r="Q28">
        <v>48.222089658845107</v>
      </c>
    </row>
    <row r="29" spans="1:17" x14ac:dyDescent="0.3">
      <c r="A29">
        <v>10000</v>
      </c>
      <c r="B29">
        <v>2.2306258716687459</v>
      </c>
      <c r="C29">
        <v>28.542841567074365</v>
      </c>
      <c r="D29">
        <v>0.13881555027385667</v>
      </c>
      <c r="E29">
        <v>42.353629246260631</v>
      </c>
      <c r="F29">
        <v>4.6291418209260429E-2</v>
      </c>
      <c r="G29">
        <v>-1.5607094552243008</v>
      </c>
      <c r="H29">
        <v>133.39275103980989</v>
      </c>
      <c r="I29">
        <v>46.43394264569843</v>
      </c>
      <c r="J29">
        <v>133.39275103980989</v>
      </c>
      <c r="K29">
        <v>-11.144939791245211</v>
      </c>
      <c r="L29">
        <v>58.823529411764703</v>
      </c>
      <c r="M29">
        <v>33.700497911264364</v>
      </c>
      <c r="N29">
        <v>9.8039215686274517</v>
      </c>
      <c r="O29">
        <v>-61.80464618243186</v>
      </c>
      <c r="P29">
        <v>48.078580230481222</v>
      </c>
      <c r="Q29">
        <v>47.912628251399063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8"/>
  <sheetViews>
    <sheetView topLeftCell="R33" zoomScale="80" zoomScaleNormal="80" workbookViewId="0">
      <selection activeCell="AB7" sqref="AB7:AB34"/>
    </sheetView>
  </sheetViews>
  <sheetFormatPr defaultRowHeight="14.4" x14ac:dyDescent="0.3"/>
  <cols>
    <col min="1" max="1" width="14.33203125" bestFit="1" customWidth="1"/>
    <col min="2" max="2" width="12" bestFit="1" customWidth="1"/>
    <col min="6" max="6" width="12" bestFit="1" customWidth="1"/>
    <col min="7" max="7" width="13.5546875" bestFit="1" customWidth="1"/>
    <col min="8" max="8" width="12" bestFit="1" customWidth="1"/>
    <col min="9" max="9" width="12.44140625" bestFit="1" customWidth="1"/>
    <col min="10" max="10" width="12" bestFit="1" customWidth="1"/>
    <col min="12" max="12" width="12" bestFit="1" customWidth="1"/>
    <col min="13" max="13" width="10.6640625" bestFit="1" customWidth="1"/>
    <col min="16" max="16" width="9.88671875" bestFit="1" customWidth="1"/>
    <col min="17" max="17" width="11.88671875" bestFit="1" customWidth="1"/>
    <col min="18" max="18" width="12" bestFit="1" customWidth="1"/>
    <col min="19" max="19" width="11.6640625" bestFit="1" customWidth="1"/>
    <col min="29" max="29" width="18" bestFit="1" customWidth="1"/>
    <col min="30" max="30" width="9.88671875" bestFit="1" customWidth="1"/>
    <col min="31" max="31" width="10.88671875" bestFit="1" customWidth="1"/>
  </cols>
  <sheetData>
    <row r="1" spans="1:30" x14ac:dyDescent="0.3">
      <c r="A1" t="s">
        <v>66</v>
      </c>
      <c r="B1">
        <f>18000*9.81</f>
        <v>176580</v>
      </c>
      <c r="C1" t="s">
        <v>67</v>
      </c>
    </row>
    <row r="2" spans="1:30" x14ac:dyDescent="0.3">
      <c r="A2" t="s">
        <v>68</v>
      </c>
      <c r="B2">
        <v>170</v>
      </c>
      <c r="C2" t="s">
        <v>11</v>
      </c>
    </row>
    <row r="3" spans="1:30" x14ac:dyDescent="0.3">
      <c r="A3" t="s">
        <v>69</v>
      </c>
      <c r="B3">
        <f>10*LOG10(B2^5)+10*LOG10(B1)-74</f>
        <v>89.991861193746246</v>
      </c>
      <c r="C3" t="s">
        <v>19</v>
      </c>
    </row>
    <row r="5" spans="1:30" x14ac:dyDescent="0.3">
      <c r="A5" t="s">
        <v>70</v>
      </c>
      <c r="N5" t="s">
        <v>129</v>
      </c>
      <c r="P5" t="s">
        <v>132</v>
      </c>
      <c r="R5" t="s">
        <v>133</v>
      </c>
      <c r="T5" t="s">
        <v>109</v>
      </c>
      <c r="V5" t="s">
        <v>140</v>
      </c>
      <c r="X5" t="s">
        <v>120</v>
      </c>
      <c r="Z5" t="s">
        <v>147</v>
      </c>
      <c r="AB5" t="s">
        <v>148</v>
      </c>
    </row>
    <row r="6" spans="1:30" x14ac:dyDescent="0.3">
      <c r="A6" t="s">
        <v>71</v>
      </c>
      <c r="E6" t="s">
        <v>86</v>
      </c>
      <c r="G6" t="s">
        <v>96</v>
      </c>
      <c r="I6" t="s">
        <v>99</v>
      </c>
      <c r="M6" t="s">
        <v>128</v>
      </c>
      <c r="N6" t="s">
        <v>130</v>
      </c>
      <c r="O6" t="s">
        <v>131</v>
      </c>
      <c r="P6" t="s">
        <v>134</v>
      </c>
      <c r="Q6" t="s">
        <v>135</v>
      </c>
      <c r="R6" t="s">
        <v>136</v>
      </c>
      <c r="S6" t="s">
        <v>137</v>
      </c>
      <c r="T6" t="s">
        <v>138</v>
      </c>
      <c r="U6" t="s">
        <v>139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t="s">
        <v>149</v>
      </c>
      <c r="AC6" t="s">
        <v>150</v>
      </c>
      <c r="AD6" t="s">
        <v>151</v>
      </c>
    </row>
    <row r="7" spans="1:30" x14ac:dyDescent="0.3">
      <c r="A7" t="s">
        <v>72</v>
      </c>
      <c r="B7">
        <v>0.26</v>
      </c>
      <c r="C7" t="s">
        <v>14</v>
      </c>
      <c r="E7" t="s">
        <v>87</v>
      </c>
      <c r="F7">
        <f>4.464*10^-5</f>
        <v>4.4640000000000006E-5</v>
      </c>
      <c r="G7" t="s">
        <v>87</v>
      </c>
      <c r="H7">
        <f>4.464*10^-5</f>
        <v>4.4640000000000006E-5</v>
      </c>
      <c r="I7" t="s">
        <v>87</v>
      </c>
      <c r="J7">
        <f>4.464*10^-5</f>
        <v>4.4640000000000006E-5</v>
      </c>
      <c r="M7">
        <v>10</v>
      </c>
      <c r="N7">
        <f>(M7*$F$10*(1-$B$7*COS($B$14)))/($B$7*$B$9)</f>
        <v>3.5363967771598935E-3</v>
      </c>
      <c r="O7" s="1">
        <f>10*LOG10((($B$12*$B$9*$F$11*$F$14*(0.613*(10*N7)^4*((10*N7)^1.5+0.5)^-4))/(4*PI()*$B$15^2*(1-$B$7*COS($B$14))))/$B$17^2)</f>
        <v>25.545730979137669</v>
      </c>
      <c r="P7">
        <f>(M7*$H$10)*(1-$B$7*COS($B$14))/($B$7*$B$9)</f>
        <v>1.9800657486062482E-4</v>
      </c>
      <c r="Q7" s="1">
        <f>10*LOG10((($B$12*$B$9*$H$16*$H$15*(0.613*(10*P7)^4*((10*P7)^1.5+0.5)^-4))/(4*PI()*$B$15^2*(1-$B$7*COS($B$14))^4))/$B$17^2)</f>
        <v>-31.163067279664016</v>
      </c>
      <c r="R7">
        <f>(M7*$J$10)*(1-$B$7*COS($B$14))/($B$7*$B$9)</f>
        <v>8.6004120542710916E-5</v>
      </c>
      <c r="S7">
        <f>10*LOG10((($B$12*$B$9*$J$16*$J$15*(0.613*(10*R7)^4*((10*R7)^1.5+0.5)^-4))/(4*PI()*$B$15^2*(1-$B$7*COS($B$14))^4))/$B$17^2)</f>
        <v>-86.071163928493561</v>
      </c>
      <c r="T7">
        <f>(M7*$F$25)*(1-$B$7*COS($B$14))/($B$7*$B$9)</f>
        <v>0.17139723022075962</v>
      </c>
      <c r="U7" s="1">
        <f>10*LOG10((($B$12*$B$9*$F$32*$F$31*(0.1406*T7^-0.55))/(4*PI()*$B$15^2*(1-$B$7*COS($B$14))^2))/$B$17^2)</f>
        <v>77.64278821640238</v>
      </c>
      <c r="V7">
        <f>(M7*$F$25)*(1-$B$7*COS($B$14))/($B$7*$B$9)</f>
        <v>0.17139723022075962</v>
      </c>
      <c r="W7" s="1">
        <f>10*LOG10((($B$12*$B$9*$H$31*$H$30*(13.59*V7^2*(V7^2+12.5)^-2.25))/(4*PI()*$B$15^2*(1-$B$7*COS($B$14))^4))/$B$17^2)</f>
        <v>16.807293407731198</v>
      </c>
      <c r="X7">
        <f>(M7*$J$27)*(1-$B$7*COS($B$14))/($B$7*$B$9)</f>
        <v>7.9185520361990946E-2</v>
      </c>
      <c r="Y7" s="1">
        <f>10*LOG10((($B$12*$B$9*$F$32*$F$31*(13.59*X7^2*(X7^2+12.5)^-2.25))/(4*PI()*$B$15^2*(1-$B$7*COS($B$14))^2))/$B$17^2)</f>
        <v>46.569690191689716</v>
      </c>
      <c r="Z7">
        <f>(M7*$F$42)*(1-$B$7*COS($B$14))/($B$7*$B$9)</f>
        <v>1.1312217194570135E-2</v>
      </c>
      <c r="AA7">
        <f>10*LOG10((($B$12*$B$9*$F$46*$F$45*(5.325*(30+Z7^8)^-1))/(4*PI()*$B$15^2*(1-$B$7*COS($B$14))^2))/$B$17^2)</f>
        <v>19.399933712105749</v>
      </c>
      <c r="AB7" s="1">
        <f>10*LOG10(10^(O7/10)+10^(Q7/10)+10^(S7/10)+10^(U7/10)+10^(W7/10)+10^(Y7/10)+10^(AA7/10))</f>
        <v>77.646215897437884</v>
      </c>
      <c r="AC7">
        <f>20*LOG((12194^2*M7^4)/((M7^2+20.6^2)*SQRT((M7^2+107.7^2)*(M7^2+737.9^2))*(M7^2+12194^2)))+2</f>
        <v>-70.434939741819917</v>
      </c>
      <c r="AD7">
        <f t="shared" ref="AD7:AD37" si="0">AB7+AC7</f>
        <v>7.2112761556179663</v>
      </c>
    </row>
    <row r="8" spans="1:30" x14ac:dyDescent="0.3">
      <c r="A8" t="s">
        <v>73</v>
      </c>
      <c r="B8">
        <v>61</v>
      </c>
      <c r="C8" t="s">
        <v>76</v>
      </c>
      <c r="E8" t="s">
        <v>88</v>
      </c>
      <c r="F8">
        <v>5</v>
      </c>
      <c r="G8" t="s">
        <v>88</v>
      </c>
      <c r="H8">
        <v>5</v>
      </c>
      <c r="I8" t="s">
        <v>88</v>
      </c>
      <c r="J8">
        <v>5</v>
      </c>
      <c r="M8">
        <v>20</v>
      </c>
      <c r="N8">
        <f t="shared" ref="N8:N37" si="1">(M8*$F$10*(1-$B$7*COS($B$14)))/($B$7*$B$9)</f>
        <v>7.0727935543197871E-3</v>
      </c>
      <c r="O8" s="1">
        <f t="shared" ref="O8:O37" si="2">10*LOG10((($B$12*$B$9*$F$11*$F$14*(0.613*(10*N8)^4*((10*N8)^1.5+0.5)^-4))/(4*PI()*$B$15^2*(1-$B$7*COS($B$14))))/$B$17^2)</f>
        <v>37.174932928638754</v>
      </c>
      <c r="P8">
        <f t="shared" ref="P8:P37" si="3">(M8*$H$10)*(1-$B$7*COS($B$14))/($B$7*$B$9)</f>
        <v>3.9601314972124963E-4</v>
      </c>
      <c r="Q8" s="1">
        <f t="shared" ref="Q8:Q33" si="4">10*LOG10((($B$12*$B$9*$H$16*$H$15*(0.613*(10*P8)^4*((10*P8)^1.5+0.5)^-4))/(4*PI()*$B$15^2*(1-$B$7*COS($B$14))^4))/$B$17^2)</f>
        <v>-19.127462772777836</v>
      </c>
      <c r="R8">
        <f t="shared" ref="R8:R37" si="5">(M8*$J$10)*(1-$B$7*COS($B$14))/($B$7*$B$9)</f>
        <v>1.7200824108542183E-4</v>
      </c>
      <c r="S8">
        <f t="shared" ref="S8:S37" si="6">10*LOG10((($B$12*$B$9*$J$16*$J$15*(0.613*(10*R8)^4*((10*R8)^1.5+0.5)^-4))/(4*PI()*$B$15^2*(1-$B$7*COS($B$14))^4))/$B$17^2)</f>
        <v>-74.031566199310703</v>
      </c>
      <c r="T8">
        <f t="shared" ref="T8:T37" si="7">(M8*$F$25)*(1-$B$7*COS($B$14))/($B$7*$B$9)</f>
        <v>0.34279446044151923</v>
      </c>
      <c r="U8" s="1">
        <f t="shared" ref="U8:U37" si="8">10*LOG10((($B$12*$B$9*$F$32*$F$31*(0.1406*T8^-0.55))/(4*PI()*$B$15^2*(1-$B$7*COS($B$14))^2))/$B$17^2)</f>
        <v>75.987123240250483</v>
      </c>
      <c r="V8">
        <f t="shared" ref="V8:V37" si="9">(M8*$F$25)*(1-$B$7*COS($B$14))/($B$7*$B$9)</f>
        <v>0.34279446044151923</v>
      </c>
      <c r="W8" s="1">
        <f t="shared" ref="W8:W37" si="10">10*LOG10((($B$12*$B$9*$H$31*$H$30*(13.59*V8^2*(V8^2+12.5)^-2.25))/(4*PI()*$B$15^2*(1-$B$7*COS($B$14))^4))/$B$17^2)</f>
        <v>22.759400782882587</v>
      </c>
      <c r="X8">
        <f t="shared" ref="X8:X37" si="11">(M8*$J$27)*(1-$B$7*COS($B$14))/($B$7*$B$9)</f>
        <v>0.15837104072398189</v>
      </c>
      <c r="Y8" s="1">
        <f t="shared" ref="Y8:Y37" si="12">10*LOG10((($B$12*$B$9*$F$32*$F$31*(13.59*X8^2*(X8^2+12.5)^-2.25))/(4*PI()*$B$15^2*(1-$B$7*COS($B$14))^2))/$B$17^2)</f>
        <v>52.575603364898036</v>
      </c>
      <c r="Z8">
        <f t="shared" ref="Z8:Z37" si="13">(M8*$F$42)*(1-$B$7*COS($B$14))/($B$7*$B$9)</f>
        <v>2.2624434389140271E-2</v>
      </c>
      <c r="AA8">
        <f t="shared" ref="AA8:AA37" si="14">10*LOG10((($B$12*$B$9*$F$46*$F$45*(5.325*(30+Z8^8)^-1))/(4*PI()*$B$15^2*(1-$B$7*COS($B$14))^2))/$B$17^2)</f>
        <v>19.399933712105739</v>
      </c>
      <c r="AB8" s="1">
        <f t="shared" ref="AB8:AB37" si="15">10*LOG10(10^(O8/10)+10^(Q8/10)+10^(S8/10)+10^(U8/10)+10^(W8/10)+10^(Y8/10)+10^(AA8/10))</f>
        <v>76.007475073098263</v>
      </c>
      <c r="AC8">
        <f t="shared" ref="AC8:AC37" si="16">20*LOG((12194^2*M8^4)/((M8^2+20.6^2)*SQRT((M8^2+107.7^2)*(M8^2+737.9^2))*(M8^2+12194^2)))+2</f>
        <v>-50.394656885439417</v>
      </c>
      <c r="AD8">
        <f t="shared" si="0"/>
        <v>25.612818187658846</v>
      </c>
    </row>
    <row r="9" spans="1:30" x14ac:dyDescent="0.3">
      <c r="A9" t="s">
        <v>10</v>
      </c>
      <c r="B9">
        <v>340</v>
      </c>
      <c r="C9" t="s">
        <v>11</v>
      </c>
      <c r="E9" t="s">
        <v>89</v>
      </c>
      <c r="F9">
        <f>0.37*(B8/B10^2)*((B12*B7*B9*B8)/(B11*B10))^-0.2</f>
        <v>1.1557023109091851E-3</v>
      </c>
      <c r="G9" t="s">
        <v>89</v>
      </c>
      <c r="H9">
        <f>0.37*(H12/H11^2)*((B12*B7*B9*H12)/(B11*H11))^-0.2*(H11/B10)^2</f>
        <v>2.381466832337311E-4</v>
      </c>
      <c r="I9" t="s">
        <v>89</v>
      </c>
      <c r="J9">
        <f>0.37*(J12/J11^2)*((B12*B7*B9*J12)/(B11*J11))^-0.2*(J11/B10)^2</f>
        <v>2.15987620908399E-4</v>
      </c>
      <c r="M9">
        <v>30</v>
      </c>
      <c r="N9">
        <f t="shared" si="1"/>
        <v>1.060919033147968E-2</v>
      </c>
      <c r="O9" s="1">
        <f t="shared" si="2"/>
        <v>43.699185388017419</v>
      </c>
      <c r="P9">
        <f t="shared" si="3"/>
        <v>5.9401972458187453E-4</v>
      </c>
      <c r="Q9" s="1">
        <f t="shared" si="4"/>
        <v>-12.091055403835602</v>
      </c>
      <c r="R9">
        <f t="shared" si="5"/>
        <v>2.5801236162813272E-4</v>
      </c>
      <c r="S9">
        <f t="shared" si="6"/>
        <v>-66.98999025670463</v>
      </c>
      <c r="T9">
        <f t="shared" si="7"/>
        <v>0.51419169066227888</v>
      </c>
      <c r="U9" s="1">
        <f t="shared" si="8"/>
        <v>75.01862131544425</v>
      </c>
      <c r="V9">
        <f t="shared" si="9"/>
        <v>0.51419169066227888</v>
      </c>
      <c r="W9" s="1">
        <f t="shared" si="10"/>
        <v>26.168127911069018</v>
      </c>
      <c r="X9">
        <f t="shared" si="11"/>
        <v>0.23755656108597284</v>
      </c>
      <c r="Y9" s="1">
        <f t="shared" si="12"/>
        <v>56.072999593318762</v>
      </c>
      <c r="Z9">
        <f t="shared" si="13"/>
        <v>3.3936651583710405E-2</v>
      </c>
      <c r="AA9">
        <f t="shared" si="14"/>
        <v>19.399933712105494</v>
      </c>
      <c r="AB9" s="1">
        <f t="shared" si="15"/>
        <v>75.076865918435672</v>
      </c>
      <c r="AC9">
        <f t="shared" si="16"/>
        <v>-40.606449491877584</v>
      </c>
      <c r="AD9">
        <f t="shared" si="0"/>
        <v>34.470416426558089</v>
      </c>
    </row>
    <row r="10" spans="1:30" x14ac:dyDescent="0.3">
      <c r="A10" t="s">
        <v>74</v>
      </c>
      <c r="B10">
        <v>27.05</v>
      </c>
      <c r="C10" t="s">
        <v>7</v>
      </c>
      <c r="E10" t="s">
        <v>83</v>
      </c>
      <c r="F10">
        <f>F9*B10</f>
        <v>3.126174751009346E-2</v>
      </c>
      <c r="G10" t="s">
        <v>83</v>
      </c>
      <c r="H10">
        <f>H9*H11</f>
        <v>1.7503781217679236E-3</v>
      </c>
      <c r="I10" t="s">
        <v>83</v>
      </c>
      <c r="J10">
        <f>J9*J11</f>
        <v>7.6027642559756451E-4</v>
      </c>
      <c r="M10">
        <v>40</v>
      </c>
      <c r="N10">
        <f t="shared" si="1"/>
        <v>1.4145587108639574E-2</v>
      </c>
      <c r="O10" s="1">
        <f t="shared" si="2"/>
        <v>48.101099770926048</v>
      </c>
      <c r="P10">
        <f t="shared" si="3"/>
        <v>7.9202629944249926E-4</v>
      </c>
      <c r="Q10" s="1">
        <f t="shared" si="4"/>
        <v>-7.1020791495694784</v>
      </c>
      <c r="R10">
        <f t="shared" si="5"/>
        <v>3.4401648217084366E-4</v>
      </c>
      <c r="S10">
        <f t="shared" si="6"/>
        <v>-61.994896988629861</v>
      </c>
      <c r="T10">
        <f t="shared" si="7"/>
        <v>0.68558892088303847</v>
      </c>
      <c r="U10" s="1">
        <f t="shared" si="8"/>
        <v>74.331458264098586</v>
      </c>
      <c r="V10">
        <f t="shared" si="9"/>
        <v>0.68558892088303847</v>
      </c>
      <c r="W10" s="1">
        <f t="shared" si="10"/>
        <v>28.510732778370851</v>
      </c>
      <c r="X10">
        <f t="shared" si="11"/>
        <v>0.31674208144796379</v>
      </c>
      <c r="Y10" s="1">
        <f t="shared" si="12"/>
        <v>58.53767606907045</v>
      </c>
      <c r="Z10">
        <f t="shared" si="13"/>
        <v>4.5248868778280542E-2</v>
      </c>
      <c r="AA10">
        <f t="shared" si="14"/>
        <v>19.399933712103206</v>
      </c>
      <c r="AB10" s="1">
        <f t="shared" si="15"/>
        <v>74.454564701877615</v>
      </c>
      <c r="AC10">
        <f t="shared" si="16"/>
        <v>-34.539248027007993</v>
      </c>
      <c r="AD10">
        <f t="shared" si="0"/>
        <v>39.915316674869622</v>
      </c>
    </row>
    <row r="11" spans="1:30" x14ac:dyDescent="0.3">
      <c r="A11" t="s">
        <v>75</v>
      </c>
      <c r="B11">
        <f>1.803*10^-5</f>
        <v>1.8030000000000002E-5</v>
      </c>
      <c r="C11" t="s">
        <v>77</v>
      </c>
      <c r="E11" t="s">
        <v>90</v>
      </c>
      <c r="F11">
        <f>F7*B7^F8*F9*(B12*B9^3*B10^2)</f>
        <v>2.159455635385044</v>
      </c>
      <c r="G11" t="s">
        <v>97</v>
      </c>
      <c r="H11">
        <v>7.35</v>
      </c>
      <c r="I11" t="s">
        <v>100</v>
      </c>
      <c r="J11">
        <v>3.52</v>
      </c>
      <c r="M11">
        <v>50</v>
      </c>
      <c r="N11">
        <f t="shared" si="1"/>
        <v>1.7681983885799467E-2</v>
      </c>
      <c r="O11" s="1">
        <f t="shared" si="2"/>
        <v>51.325718102285983</v>
      </c>
      <c r="P11">
        <f t="shared" si="3"/>
        <v>9.900328743031241E-4</v>
      </c>
      <c r="Q11" s="1">
        <f t="shared" si="4"/>
        <v>-3.2353979058767868</v>
      </c>
      <c r="R11">
        <f t="shared" si="5"/>
        <v>4.3002060271355461E-4</v>
      </c>
      <c r="S11">
        <f t="shared" si="6"/>
        <v>-58.121282054994538</v>
      </c>
      <c r="T11">
        <f t="shared" si="7"/>
        <v>0.85698615110379806</v>
      </c>
      <c r="U11" s="1">
        <f t="shared" si="8"/>
        <v>73.798453192554277</v>
      </c>
      <c r="V11">
        <f t="shared" si="9"/>
        <v>0.85698615110379806</v>
      </c>
      <c r="W11" s="1">
        <f t="shared" si="10"/>
        <v>30.251742306513808</v>
      </c>
      <c r="X11">
        <f t="shared" si="11"/>
        <v>0.39592760180995473</v>
      </c>
      <c r="Y11" s="1">
        <f t="shared" si="12"/>
        <v>60.432209828060621</v>
      </c>
      <c r="Z11">
        <f t="shared" si="13"/>
        <v>5.6561085972850672E-2</v>
      </c>
      <c r="AA11">
        <f t="shared" si="14"/>
        <v>19.399933712090586</v>
      </c>
      <c r="AB11" s="1">
        <f t="shared" si="15"/>
        <v>74.017669890114377</v>
      </c>
      <c r="AC11">
        <f t="shared" si="16"/>
        <v>-30.274979580572094</v>
      </c>
      <c r="AD11">
        <f t="shared" si="0"/>
        <v>43.742690309542283</v>
      </c>
    </row>
    <row r="12" spans="1:30" x14ac:dyDescent="0.3">
      <c r="A12" t="s">
        <v>78</v>
      </c>
      <c r="B12">
        <v>1.2250000000000001</v>
      </c>
      <c r="C12" t="s">
        <v>79</v>
      </c>
      <c r="E12" t="s">
        <v>92</v>
      </c>
      <c r="F12">
        <f>(B13*F10*(1-B7*COS(B14)))/(B7*B9)</f>
        <v>0.28291174217279147</v>
      </c>
      <c r="G12" t="s">
        <v>98</v>
      </c>
      <c r="H12">
        <v>11.73</v>
      </c>
      <c r="I12" t="s">
        <v>101</v>
      </c>
      <c r="J12">
        <v>12.48</v>
      </c>
      <c r="M12">
        <v>60</v>
      </c>
      <c r="N12">
        <f t="shared" si="1"/>
        <v>2.121838066295936E-2</v>
      </c>
      <c r="O12" s="1">
        <f t="shared" si="2"/>
        <v>53.799646549047075</v>
      </c>
      <c r="P12">
        <f t="shared" si="3"/>
        <v>1.1880394491637491E-3</v>
      </c>
      <c r="Q12" s="1">
        <f t="shared" si="4"/>
        <v>-7.8888637009209228E-2</v>
      </c>
      <c r="R12">
        <f t="shared" si="5"/>
        <v>5.1602472325626544E-4</v>
      </c>
      <c r="S12">
        <f t="shared" si="6"/>
        <v>-54.957111801115268</v>
      </c>
      <c r="T12">
        <f t="shared" si="7"/>
        <v>1.0283833813245578</v>
      </c>
      <c r="U12" s="1">
        <f t="shared" si="8"/>
        <v>73.362956339292339</v>
      </c>
      <c r="V12">
        <f t="shared" si="9"/>
        <v>1.0283833813245578</v>
      </c>
      <c r="W12" s="1">
        <f t="shared" si="10"/>
        <v>31.599638194875574</v>
      </c>
      <c r="X12">
        <f t="shared" si="11"/>
        <v>0.47511312217194568</v>
      </c>
      <c r="Y12" s="1">
        <f t="shared" si="12"/>
        <v>61.962728223846383</v>
      </c>
      <c r="Z12">
        <f t="shared" si="13"/>
        <v>6.7873303167420809E-2</v>
      </c>
      <c r="AA12">
        <f t="shared" si="14"/>
        <v>19.39993371204055</v>
      </c>
      <c r="AB12" s="1">
        <f t="shared" si="15"/>
        <v>73.711519204958392</v>
      </c>
      <c r="AC12">
        <f t="shared" si="16"/>
        <v>-27.048849321682884</v>
      </c>
      <c r="AD12">
        <f t="shared" si="0"/>
        <v>46.662669883275512</v>
      </c>
    </row>
    <row r="13" spans="1:30" x14ac:dyDescent="0.3">
      <c r="A13" t="s">
        <v>80</v>
      </c>
      <c r="B13">
        <v>800</v>
      </c>
      <c r="C13" t="s">
        <v>27</v>
      </c>
      <c r="E13" t="s">
        <v>93</v>
      </c>
      <c r="F13">
        <f>0.613*(10*F12)^4*((10*F12)^1.5+0.5)^-4</f>
        <v>5.1356301366546481E-2</v>
      </c>
      <c r="G13" t="s">
        <v>102</v>
      </c>
      <c r="H13">
        <f>(B13*H10)*(1-B7*COS(B14))/(B7*B9)</f>
        <v>1.5840525988849986E-2</v>
      </c>
      <c r="I13" t="s">
        <v>105</v>
      </c>
      <c r="J13">
        <f>(B13*J10)*(1-B7*COS(B14))/(B7*B9)</f>
        <v>6.8803296434168737E-3</v>
      </c>
      <c r="M13">
        <v>70</v>
      </c>
      <c r="N13">
        <f t="shared" si="1"/>
        <v>2.4754777440119252E-2</v>
      </c>
      <c r="O13" s="1">
        <f t="shared" si="2"/>
        <v>55.753853034521981</v>
      </c>
      <c r="P13">
        <f t="shared" si="3"/>
        <v>1.3860460240243738E-3</v>
      </c>
      <c r="Q13" s="1">
        <f t="shared" si="4"/>
        <v>2.5873130986770922</v>
      </c>
      <c r="R13">
        <f t="shared" si="5"/>
        <v>6.0202884379897644E-4</v>
      </c>
      <c r="S13">
        <f t="shared" si="6"/>
        <v>-52.282587790137434</v>
      </c>
      <c r="T13">
        <f t="shared" si="7"/>
        <v>1.1997806115453173</v>
      </c>
      <c r="U13" s="1">
        <f t="shared" si="8"/>
        <v>72.994748996323978</v>
      </c>
      <c r="V13">
        <f t="shared" si="9"/>
        <v>1.1997806115453173</v>
      </c>
      <c r="W13" s="1">
        <f t="shared" si="10"/>
        <v>32.667124100584047</v>
      </c>
      <c r="X13">
        <f t="shared" si="11"/>
        <v>0.55429864253393657</v>
      </c>
      <c r="Y13" s="1">
        <f t="shared" si="12"/>
        <v>63.239271614259906</v>
      </c>
      <c r="Z13">
        <f t="shared" si="13"/>
        <v>7.9185520361990946E-2</v>
      </c>
      <c r="AA13">
        <f t="shared" si="14"/>
        <v>19.399933711881964</v>
      </c>
      <c r="AB13" s="1">
        <f t="shared" si="15"/>
        <v>73.505367227331035</v>
      </c>
      <c r="AC13">
        <f t="shared" si="16"/>
        <v>-24.49130199968733</v>
      </c>
      <c r="AD13">
        <f t="shared" si="0"/>
        <v>49.014065227643705</v>
      </c>
    </row>
    <row r="14" spans="1:30" x14ac:dyDescent="0.3">
      <c r="A14" t="s">
        <v>82</v>
      </c>
      <c r="B14">
        <f>0.5*PI()</f>
        <v>1.5707963267948966</v>
      </c>
      <c r="C14" t="s">
        <v>84</v>
      </c>
      <c r="E14" t="s">
        <v>94</v>
      </c>
      <c r="F14">
        <f>4*COS(B14/2)^2*COS(B16)^2</f>
        <v>1.9998000066665782</v>
      </c>
      <c r="G14" t="s">
        <v>103</v>
      </c>
      <c r="H14">
        <f>0.613*(10*H13)^4*((10*H13)^1.5+0.5)^-4</f>
        <v>3.8402965697774453E-3</v>
      </c>
      <c r="I14" t="s">
        <v>106</v>
      </c>
      <c r="J14">
        <f>0.613*(10*J13)^4*((10*J13)^1.5+0.5)^-4</f>
        <v>1.9073024813604604E-4</v>
      </c>
      <c r="M14">
        <v>80</v>
      </c>
      <c r="N14">
        <f t="shared" si="1"/>
        <v>2.8291174217279148E-2</v>
      </c>
      <c r="O14" s="1">
        <f t="shared" si="2"/>
        <v>57.328326324160088</v>
      </c>
      <c r="P14">
        <f t="shared" si="3"/>
        <v>1.5840525988849985E-3</v>
      </c>
      <c r="Q14" s="1">
        <f t="shared" si="4"/>
        <v>4.8944635055283445</v>
      </c>
      <c r="R14">
        <f t="shared" si="5"/>
        <v>6.8803296434168733E-4</v>
      </c>
      <c r="S14">
        <f t="shared" si="6"/>
        <v>-49.966505285182407</v>
      </c>
      <c r="T14">
        <f t="shared" si="7"/>
        <v>1.3711778417660769</v>
      </c>
      <c r="U14" s="1">
        <f t="shared" si="8"/>
        <v>72.675793287946689</v>
      </c>
      <c r="V14">
        <f t="shared" si="9"/>
        <v>1.3711778417660769</v>
      </c>
      <c r="W14" s="1">
        <f t="shared" si="10"/>
        <v>33.522844016084584</v>
      </c>
      <c r="X14">
        <f t="shared" si="11"/>
        <v>0.63348416289592757</v>
      </c>
      <c r="Y14" s="1">
        <f t="shared" si="12"/>
        <v>64.327610889416874</v>
      </c>
      <c r="Z14">
        <f t="shared" si="13"/>
        <v>9.0497737556561084E-2</v>
      </c>
      <c r="AA14">
        <f t="shared" si="14"/>
        <v>19.399933711454473</v>
      </c>
      <c r="AB14" s="1">
        <f t="shared" si="15"/>
        <v>73.378376583735275</v>
      </c>
      <c r="AC14">
        <f t="shared" si="16"/>
        <v>-22.397666626519193</v>
      </c>
      <c r="AD14">
        <f t="shared" si="0"/>
        <v>50.980709957216078</v>
      </c>
    </row>
    <row r="15" spans="1:30" x14ac:dyDescent="0.3">
      <c r="A15" t="s">
        <v>12</v>
      </c>
      <c r="B15">
        <v>120.5</v>
      </c>
      <c r="C15" t="s">
        <v>7</v>
      </c>
      <c r="E15" t="s">
        <v>91</v>
      </c>
      <c r="F15">
        <f>(B12*B9*F11*F14*F13)/(4*PI()*B15^2*(1-B7*COS(B14)))</f>
        <v>5.0623904507438261E-4</v>
      </c>
      <c r="G15" t="s">
        <v>104</v>
      </c>
      <c r="H15">
        <f>4*COS(B14/2)^2*COS(B16)^2</f>
        <v>1.9998000066665782</v>
      </c>
      <c r="I15" t="s">
        <v>107</v>
      </c>
      <c r="J15">
        <f>4*SIN(B16)^2*COS(B14/2)^2</f>
        <v>1.9999333342222164E-4</v>
      </c>
      <c r="M15">
        <v>90</v>
      </c>
      <c r="N15">
        <f t="shared" si="1"/>
        <v>3.1827570994439044E-2</v>
      </c>
      <c r="O15" s="1">
        <f t="shared" si="2"/>
        <v>58.614697354403148</v>
      </c>
      <c r="P15">
        <f t="shared" si="3"/>
        <v>1.7820591737456233E-3</v>
      </c>
      <c r="Q15" s="1">
        <f t="shared" si="4"/>
        <v>6.9272372641389266</v>
      </c>
      <c r="R15">
        <f t="shared" si="5"/>
        <v>7.7403708488439811E-4</v>
      </c>
      <c r="S15">
        <f t="shared" si="6"/>
        <v>-47.924231294955959</v>
      </c>
      <c r="T15">
        <f t="shared" si="7"/>
        <v>1.5425750719868367</v>
      </c>
      <c r="U15" s="1">
        <f t="shared" si="8"/>
        <v>72.394454414486106</v>
      </c>
      <c r="V15">
        <f t="shared" si="9"/>
        <v>1.5425750719868367</v>
      </c>
      <c r="W15" s="1">
        <f t="shared" si="10"/>
        <v>34.212294380663927</v>
      </c>
      <c r="X15">
        <f t="shared" si="11"/>
        <v>0.71266968325791846</v>
      </c>
      <c r="Y15" s="1">
        <f t="shared" si="12"/>
        <v>65.270255841680523</v>
      </c>
      <c r="Z15">
        <f t="shared" si="13"/>
        <v>0.10180995475113122</v>
      </c>
      <c r="AA15">
        <f t="shared" si="14"/>
        <v>19.399933710434716</v>
      </c>
      <c r="AB15" s="1">
        <f t="shared" si="15"/>
        <v>73.314428373365033</v>
      </c>
      <c r="AC15">
        <f t="shared" si="16"/>
        <v>-20.642894369008943</v>
      </c>
      <c r="AD15">
        <f t="shared" si="0"/>
        <v>52.67153400435609</v>
      </c>
    </row>
    <row r="16" spans="1:30" x14ac:dyDescent="0.3">
      <c r="A16" t="s">
        <v>108</v>
      </c>
      <c r="B16">
        <v>0.01</v>
      </c>
      <c r="E16" t="s">
        <v>85</v>
      </c>
      <c r="F16">
        <f>10*LOG10(F15/B17^2)</f>
        <v>61.022956469387672</v>
      </c>
      <c r="G16" t="s">
        <v>90</v>
      </c>
      <c r="H16">
        <f>H7*B7^H8*H9*(B12*B9^3*B10^2)</f>
        <v>0.44498240792887767</v>
      </c>
      <c r="I16" t="s">
        <v>90</v>
      </c>
      <c r="J16">
        <f>J7*B7^J8*J9*(B12*B9^3*B10^2)</f>
        <v>0.40357770399985093</v>
      </c>
      <c r="M16">
        <v>100</v>
      </c>
      <c r="N16">
        <f t="shared" si="1"/>
        <v>3.5363967771598934E-2</v>
      </c>
      <c r="O16" s="1">
        <f t="shared" si="2"/>
        <v>59.676364553987966</v>
      </c>
      <c r="P16">
        <f t="shared" si="3"/>
        <v>1.9800657486062482E-3</v>
      </c>
      <c r="Q16" s="1">
        <f t="shared" si="4"/>
        <v>8.7434582950575912</v>
      </c>
      <c r="R16">
        <f t="shared" si="5"/>
        <v>8.6004120542710922E-4</v>
      </c>
      <c r="S16">
        <f t="shared" si="6"/>
        <v>-46.097976634379364</v>
      </c>
      <c r="T16">
        <f t="shared" si="7"/>
        <v>1.7139723022075961</v>
      </c>
      <c r="U16" s="1">
        <f t="shared" si="8"/>
        <v>72.14278821640238</v>
      </c>
      <c r="V16">
        <f t="shared" si="9"/>
        <v>1.7139723022075961</v>
      </c>
      <c r="W16" s="1">
        <f t="shared" si="10"/>
        <v>34.767597549365583</v>
      </c>
      <c r="X16">
        <f t="shared" si="11"/>
        <v>0.79185520361990946</v>
      </c>
      <c r="Y16" s="1">
        <f t="shared" si="12"/>
        <v>66.096316752713477</v>
      </c>
      <c r="Z16">
        <f t="shared" si="13"/>
        <v>0.11312217194570134</v>
      </c>
      <c r="AA16">
        <f t="shared" si="14"/>
        <v>19.399933708223845</v>
      </c>
      <c r="AB16" s="1">
        <f t="shared" si="15"/>
        <v>73.300139480400631</v>
      </c>
      <c r="AC16">
        <f t="shared" si="16"/>
        <v>-19.144954291317543</v>
      </c>
      <c r="AD16">
        <f t="shared" si="0"/>
        <v>54.155185189083085</v>
      </c>
    </row>
    <row r="17" spans="1:30" x14ac:dyDescent="0.3">
      <c r="A17" t="s">
        <v>95</v>
      </c>
      <c r="B17">
        <f>2*10^-5</f>
        <v>2.0000000000000002E-5</v>
      </c>
      <c r="G17" t="s">
        <v>91</v>
      </c>
      <c r="H17">
        <f>(B12*B9*H16*H15*H14)/(4*PI()*B15^2*(1-B7*COS(B14))^4)</f>
        <v>7.8005499033533487E-6</v>
      </c>
      <c r="I17" t="s">
        <v>91</v>
      </c>
      <c r="J17">
        <f>(B12*B9*J16*J15*J14)/(4*PI()*B15^2*(1-B7*COS(B14))^4)</f>
        <v>3.513931620493041E-11</v>
      </c>
      <c r="M17">
        <v>200</v>
      </c>
      <c r="N17">
        <f t="shared" si="1"/>
        <v>7.0727935543197867E-2</v>
      </c>
      <c r="O17" s="1">
        <f t="shared" si="2"/>
        <v>64.201534424602499</v>
      </c>
      <c r="P17">
        <f t="shared" si="3"/>
        <v>3.9601314972124964E-3</v>
      </c>
      <c r="Q17" s="1">
        <f t="shared" si="4"/>
        <v>20.609525523759515</v>
      </c>
      <c r="R17">
        <f t="shared" si="5"/>
        <v>1.7200824108542184E-3</v>
      </c>
      <c r="S17">
        <f t="shared" si="6"/>
        <v>-34.107290259627987</v>
      </c>
      <c r="T17">
        <f t="shared" si="7"/>
        <v>3.4279446044151922</v>
      </c>
      <c r="U17" s="1">
        <f t="shared" si="8"/>
        <v>70.487123240250483</v>
      </c>
      <c r="V17">
        <f t="shared" si="9"/>
        <v>3.4279446044151922</v>
      </c>
      <c r="W17" s="1">
        <f t="shared" si="10"/>
        <v>36.374968292257165</v>
      </c>
      <c r="X17">
        <f t="shared" si="11"/>
        <v>1.5837104072398189</v>
      </c>
      <c r="Y17" s="1">
        <f t="shared" si="12"/>
        <v>70.808312137417346</v>
      </c>
      <c r="Z17">
        <f t="shared" si="13"/>
        <v>0.22624434389140269</v>
      </c>
      <c r="AA17">
        <f t="shared" si="14"/>
        <v>19.399932718338107</v>
      </c>
      <c r="AB17" s="1">
        <f t="shared" si="15"/>
        <v>74.127692799738497</v>
      </c>
      <c r="AC17">
        <f t="shared" si="16"/>
        <v>-10.847055415577483</v>
      </c>
      <c r="AD17">
        <f t="shared" si="0"/>
        <v>63.280637384161011</v>
      </c>
    </row>
    <row r="18" spans="1:30" x14ac:dyDescent="0.3">
      <c r="A18" t="s">
        <v>154</v>
      </c>
      <c r="B18">
        <v>120.5</v>
      </c>
      <c r="G18" t="s">
        <v>85</v>
      </c>
      <c r="H18">
        <f>10*LOG10(H17/B17^2)</f>
        <v>42.900652282309643</v>
      </c>
      <c r="I18" t="s">
        <v>85</v>
      </c>
      <c r="J18">
        <f>10*LOG10(J17/B17^2)</f>
        <v>-10.562666852590361</v>
      </c>
      <c r="M18">
        <v>300</v>
      </c>
      <c r="N18">
        <f t="shared" si="1"/>
        <v>0.1060919033147968</v>
      </c>
      <c r="O18" s="1">
        <f t="shared" si="2"/>
        <v>64.732939038131306</v>
      </c>
      <c r="P18">
        <f t="shared" si="3"/>
        <v>5.9401972458187451E-3</v>
      </c>
      <c r="Q18" s="1">
        <f t="shared" si="4"/>
        <v>27.428979882541206</v>
      </c>
      <c r="R18">
        <f t="shared" si="5"/>
        <v>2.5801236162813273E-3</v>
      </c>
      <c r="S18">
        <f t="shared" si="6"/>
        <v>-27.128834891194479</v>
      </c>
      <c r="T18">
        <f t="shared" si="7"/>
        <v>5.1419169066227886</v>
      </c>
      <c r="U18" s="1">
        <f t="shared" si="8"/>
        <v>69.51862131544425</v>
      </c>
      <c r="V18">
        <f t="shared" si="9"/>
        <v>5.1419169066227886</v>
      </c>
      <c r="W18" s="1">
        <f t="shared" si="10"/>
        <v>35.269396214567628</v>
      </c>
      <c r="X18">
        <f t="shared" si="11"/>
        <v>2.3755656108597285</v>
      </c>
      <c r="Y18" s="1">
        <f t="shared" si="12"/>
        <v>72.476368282363069</v>
      </c>
      <c r="Z18">
        <f t="shared" si="13"/>
        <v>0.33936651583710403</v>
      </c>
      <c r="AA18">
        <f t="shared" si="14"/>
        <v>19.399908242999757</v>
      </c>
      <c r="AB18" s="1">
        <f t="shared" si="15"/>
        <v>74.715085396838148</v>
      </c>
      <c r="AC18">
        <f t="shared" si="16"/>
        <v>-7.0544626466411682</v>
      </c>
      <c r="AD18">
        <f t="shared" si="0"/>
        <v>67.660622750196978</v>
      </c>
    </row>
    <row r="19" spans="1:30" x14ac:dyDescent="0.3">
      <c r="M19">
        <v>400</v>
      </c>
      <c r="N19">
        <f t="shared" si="1"/>
        <v>0.14145587108639573</v>
      </c>
      <c r="O19" s="1">
        <f t="shared" si="2"/>
        <v>64.259020767518805</v>
      </c>
      <c r="P19">
        <f t="shared" si="3"/>
        <v>7.9202629944249928E-3</v>
      </c>
      <c r="Q19" s="1">
        <f t="shared" si="4"/>
        <v>32.164726196907132</v>
      </c>
      <c r="R19">
        <f t="shared" si="5"/>
        <v>3.4401648217084369E-3</v>
      </c>
      <c r="S19">
        <f t="shared" si="6"/>
        <v>-22.208173892065911</v>
      </c>
      <c r="T19">
        <f t="shared" si="7"/>
        <v>6.8558892088303844</v>
      </c>
      <c r="U19" s="1">
        <f t="shared" si="8"/>
        <v>68.8314582640986</v>
      </c>
      <c r="V19">
        <f t="shared" si="9"/>
        <v>6.8558892088303844</v>
      </c>
      <c r="W19" s="1">
        <f t="shared" si="10"/>
        <v>33.624746462338884</v>
      </c>
      <c r="X19">
        <f t="shared" si="11"/>
        <v>3.1674208144796379</v>
      </c>
      <c r="Y19" s="1">
        <f t="shared" si="12"/>
        <v>72.858031071117168</v>
      </c>
      <c r="Z19">
        <f t="shared" si="13"/>
        <v>0.45248868778280538</v>
      </c>
      <c r="AA19">
        <f t="shared" si="14"/>
        <v>19.39967931501107</v>
      </c>
      <c r="AB19" s="1">
        <f t="shared" si="15"/>
        <v>74.716164891705404</v>
      </c>
      <c r="AC19">
        <f t="shared" si="16"/>
        <v>-4.7738910332852953</v>
      </c>
      <c r="AD19">
        <f t="shared" si="0"/>
        <v>69.942273858420108</v>
      </c>
    </row>
    <row r="20" spans="1:30" x14ac:dyDescent="0.3">
      <c r="M20">
        <v>500</v>
      </c>
      <c r="N20">
        <f t="shared" si="1"/>
        <v>0.17681983885799468</v>
      </c>
      <c r="O20" s="1">
        <f t="shared" si="2"/>
        <v>63.491528135740403</v>
      </c>
      <c r="P20">
        <f t="shared" si="3"/>
        <v>9.9003287430312406E-3</v>
      </c>
      <c r="Q20" s="1">
        <f t="shared" si="4"/>
        <v>35.748868170856383</v>
      </c>
      <c r="R20">
        <f t="shared" si="5"/>
        <v>4.3002060271355455E-3</v>
      </c>
      <c r="S20">
        <f t="shared" si="6"/>
        <v>-18.418576242446267</v>
      </c>
      <c r="T20">
        <f t="shared" si="7"/>
        <v>8.5698615110379812</v>
      </c>
      <c r="U20" s="1">
        <f t="shared" si="8"/>
        <v>68.298453192554277</v>
      </c>
      <c r="V20">
        <f t="shared" si="9"/>
        <v>8.5698615110379812</v>
      </c>
      <c r="W20" s="1">
        <f t="shared" si="10"/>
        <v>31.970424130373853</v>
      </c>
      <c r="X20">
        <f t="shared" si="11"/>
        <v>3.9592760180995472</v>
      </c>
      <c r="Y20" s="1">
        <f t="shared" si="12"/>
        <v>72.612227210019384</v>
      </c>
      <c r="Z20">
        <f t="shared" si="13"/>
        <v>0.56561085972850678</v>
      </c>
      <c r="AA20">
        <f t="shared" si="14"/>
        <v>19.398417607511707</v>
      </c>
      <c r="AB20" s="1">
        <f t="shared" si="15"/>
        <v>74.353109146098291</v>
      </c>
      <c r="AC20">
        <f t="shared" si="16"/>
        <v>-3.2478075093781307</v>
      </c>
      <c r="AD20">
        <f t="shared" si="0"/>
        <v>71.105301636720156</v>
      </c>
    </row>
    <row r="21" spans="1:30" x14ac:dyDescent="0.3">
      <c r="E21" t="s">
        <v>109</v>
      </c>
      <c r="G21" t="s">
        <v>119</v>
      </c>
      <c r="I21" t="s">
        <v>120</v>
      </c>
      <c r="M21">
        <v>600</v>
      </c>
      <c r="N21">
        <f t="shared" si="1"/>
        <v>0.2121838066295936</v>
      </c>
      <c r="O21" s="1">
        <f t="shared" si="2"/>
        <v>62.652552383672969</v>
      </c>
      <c r="P21">
        <f t="shared" si="3"/>
        <v>1.188039449163749E-2</v>
      </c>
      <c r="Q21" s="1">
        <f t="shared" si="4"/>
        <v>38.598581901891471</v>
      </c>
      <c r="R21">
        <f t="shared" si="5"/>
        <v>5.1602472325626546E-3</v>
      </c>
      <c r="S21">
        <f t="shared" si="6"/>
        <v>-15.346804713675464</v>
      </c>
      <c r="T21">
        <f t="shared" si="7"/>
        <v>10.283833813245577</v>
      </c>
      <c r="U21" s="1">
        <f t="shared" si="8"/>
        <v>67.862956339292339</v>
      </c>
      <c r="V21">
        <f t="shared" si="9"/>
        <v>10.283833813245577</v>
      </c>
      <c r="W21" s="1">
        <f t="shared" si="10"/>
        <v>30.435107707689291</v>
      </c>
      <c r="X21">
        <f t="shared" si="11"/>
        <v>4.751131221719457</v>
      </c>
      <c r="Y21" s="1">
        <f t="shared" si="12"/>
        <v>72.056131325982676</v>
      </c>
      <c r="Z21">
        <f t="shared" si="13"/>
        <v>0.67873303167420806</v>
      </c>
      <c r="AA21">
        <f t="shared" si="14"/>
        <v>19.393418491316275</v>
      </c>
      <c r="AB21" s="1">
        <f t="shared" si="15"/>
        <v>73.80554440380341</v>
      </c>
      <c r="AC21">
        <f t="shared" si="16"/>
        <v>-2.1700037836745878</v>
      </c>
      <c r="AD21">
        <f t="shared" si="0"/>
        <v>71.635540620128822</v>
      </c>
    </row>
    <row r="22" spans="1:30" x14ac:dyDescent="0.3">
      <c r="E22" t="s">
        <v>87</v>
      </c>
      <c r="F22">
        <f>2.787*10^-4</f>
        <v>2.787E-4</v>
      </c>
      <c r="G22" t="s">
        <v>87</v>
      </c>
      <c r="H22">
        <f>4.349*10^-4</f>
        <v>4.3490000000000005E-4</v>
      </c>
      <c r="I22" t="s">
        <v>87</v>
      </c>
      <c r="J22">
        <f>4.349*10^-4</f>
        <v>4.3490000000000005E-4</v>
      </c>
      <c r="M22">
        <v>700</v>
      </c>
      <c r="N22">
        <f t="shared" si="1"/>
        <v>0.24754777440119252</v>
      </c>
      <c r="O22" s="1">
        <f t="shared" si="2"/>
        <v>61.820300496701329</v>
      </c>
      <c r="P22">
        <f t="shared" si="3"/>
        <v>1.3860460240243736E-2</v>
      </c>
      <c r="Q22" s="1">
        <f t="shared" si="4"/>
        <v>40.937682366535022</v>
      </c>
      <c r="R22">
        <f t="shared" si="5"/>
        <v>6.0202884379897638E-3</v>
      </c>
      <c r="S22">
        <f t="shared" si="6"/>
        <v>-12.772147203718571</v>
      </c>
      <c r="T22">
        <f t="shared" si="7"/>
        <v>11.997806115453173</v>
      </c>
      <c r="U22" s="1">
        <f t="shared" si="8"/>
        <v>67.494748996323978</v>
      </c>
      <c r="V22">
        <f t="shared" si="9"/>
        <v>11.997806115453173</v>
      </c>
      <c r="W22" s="1">
        <f t="shared" si="10"/>
        <v>29.039382598759399</v>
      </c>
      <c r="X22">
        <f t="shared" si="11"/>
        <v>5.5429864253393655</v>
      </c>
      <c r="Y22" s="1">
        <f t="shared" si="12"/>
        <v>71.353057386362408</v>
      </c>
      <c r="Z22">
        <f t="shared" si="13"/>
        <v>0.79185520361990946</v>
      </c>
      <c r="AA22">
        <f t="shared" si="14"/>
        <v>19.377612759211381</v>
      </c>
      <c r="AB22" s="1">
        <f t="shared" si="15"/>
        <v>73.181888097993863</v>
      </c>
      <c r="AC22">
        <f t="shared" si="16"/>
        <v>-1.3830326182040067</v>
      </c>
      <c r="AD22">
        <f t="shared" si="0"/>
        <v>71.79885547978985</v>
      </c>
    </row>
    <row r="23" spans="1:30" x14ac:dyDescent="0.3">
      <c r="E23" t="s">
        <v>88</v>
      </c>
      <c r="F23">
        <v>6</v>
      </c>
      <c r="G23" t="s">
        <v>88</v>
      </c>
      <c r="H23">
        <v>6</v>
      </c>
      <c r="I23" t="s">
        <v>88</v>
      </c>
      <c r="J23">
        <v>6</v>
      </c>
      <c r="M23">
        <v>800</v>
      </c>
      <c r="N23">
        <f t="shared" si="1"/>
        <v>0.28291174217279147</v>
      </c>
      <c r="O23" s="1">
        <f t="shared" si="2"/>
        <v>61.022956469387672</v>
      </c>
      <c r="P23">
        <f t="shared" si="3"/>
        <v>1.5840525988849986E-2</v>
      </c>
      <c r="Q23" s="1">
        <f t="shared" si="4"/>
        <v>42.900652282309643</v>
      </c>
      <c r="R23">
        <f t="shared" si="5"/>
        <v>6.8803296434168737E-3</v>
      </c>
      <c r="S23">
        <f t="shared" si="6"/>
        <v>-10.562666852590361</v>
      </c>
      <c r="T23">
        <f t="shared" si="7"/>
        <v>13.711778417660769</v>
      </c>
      <c r="U23" s="1">
        <f t="shared" si="8"/>
        <v>67.175793287946689</v>
      </c>
      <c r="V23">
        <f t="shared" si="9"/>
        <v>13.711778417660769</v>
      </c>
      <c r="W23" s="1">
        <f t="shared" si="10"/>
        <v>27.77430581978804</v>
      </c>
      <c r="X23">
        <f t="shared" si="11"/>
        <v>6.3348416289592757</v>
      </c>
      <c r="Y23" s="1">
        <f t="shared" si="12"/>
        <v>70.589074326958198</v>
      </c>
      <c r="Z23">
        <f t="shared" si="13"/>
        <v>0.90497737556561075</v>
      </c>
      <c r="AA23">
        <f t="shared" si="14"/>
        <v>19.335289652771461</v>
      </c>
      <c r="AB23" s="1">
        <f t="shared" si="15"/>
        <v>72.54242881463945</v>
      </c>
      <c r="AC23">
        <f t="shared" si="16"/>
        <v>-0.79460657411842606</v>
      </c>
      <c r="AD23">
        <f t="shared" si="0"/>
        <v>71.747822240521018</v>
      </c>
    </row>
    <row r="24" spans="1:30" x14ac:dyDescent="0.3">
      <c r="E24" t="s">
        <v>89</v>
      </c>
      <c r="F24">
        <f>(F27/B10^2)*SIN(F26)^2</f>
        <v>4.4979560575214815E-3</v>
      </c>
      <c r="G24" t="s">
        <v>123</v>
      </c>
      <c r="H24">
        <v>0.33</v>
      </c>
      <c r="I24" t="s">
        <v>121</v>
      </c>
      <c r="J24">
        <v>0.6</v>
      </c>
      <c r="M24">
        <v>900</v>
      </c>
      <c r="N24">
        <f t="shared" si="1"/>
        <v>0.31827570994439042</v>
      </c>
      <c r="O24" s="1">
        <f t="shared" si="2"/>
        <v>60.269485189198129</v>
      </c>
      <c r="P24">
        <f t="shared" si="3"/>
        <v>1.7820591737456235E-2</v>
      </c>
      <c r="Q24" s="1">
        <f t="shared" si="4"/>
        <v>44.57487433143298</v>
      </c>
      <c r="R24">
        <f t="shared" si="5"/>
        <v>7.7403708488439811E-3</v>
      </c>
      <c r="S24">
        <f t="shared" si="6"/>
        <v>-8.63312178961481</v>
      </c>
      <c r="T24">
        <f t="shared" si="7"/>
        <v>15.425750719868365</v>
      </c>
      <c r="U24" s="1">
        <f t="shared" si="8"/>
        <v>66.894454414486091</v>
      </c>
      <c r="V24">
        <f t="shared" si="9"/>
        <v>15.425750719868365</v>
      </c>
      <c r="W24" s="1">
        <f t="shared" si="10"/>
        <v>26.62418584158026</v>
      </c>
      <c r="X24">
        <f t="shared" si="11"/>
        <v>7.1266968325791851</v>
      </c>
      <c r="Y24" s="1">
        <f t="shared" si="12"/>
        <v>69.809906193355872</v>
      </c>
      <c r="Z24">
        <f t="shared" si="13"/>
        <v>1.0180995475113122</v>
      </c>
      <c r="AA24">
        <f t="shared" si="14"/>
        <v>19.235965075316777</v>
      </c>
      <c r="AB24" s="1">
        <f t="shared" si="15"/>
        <v>71.919120760560119</v>
      </c>
      <c r="AC24">
        <f t="shared" si="16"/>
        <v>-0.34641558835306263</v>
      </c>
      <c r="AD24">
        <f t="shared" si="0"/>
        <v>71.572705172207051</v>
      </c>
    </row>
    <row r="25" spans="1:30" x14ac:dyDescent="0.3">
      <c r="E25" t="s">
        <v>83</v>
      </c>
      <c r="F25">
        <f>F27/F28</f>
        <v>1.5151515151515151</v>
      </c>
      <c r="G25" t="s">
        <v>124</v>
      </c>
      <c r="H25">
        <v>2</v>
      </c>
      <c r="I25" t="s">
        <v>122</v>
      </c>
      <c r="J25">
        <v>4</v>
      </c>
      <c r="M25">
        <v>1000</v>
      </c>
      <c r="N25">
        <f t="shared" si="1"/>
        <v>0.35363967771598936</v>
      </c>
      <c r="O25" s="1">
        <f t="shared" si="2"/>
        <v>59.561083723614672</v>
      </c>
      <c r="P25">
        <f t="shared" si="3"/>
        <v>1.9800657486062481E-2</v>
      </c>
      <c r="Q25" s="1">
        <f t="shared" si="4"/>
        <v>46.020485939588795</v>
      </c>
      <c r="R25">
        <f t="shared" si="5"/>
        <v>8.6004120542710911E-3</v>
      </c>
      <c r="S25">
        <f t="shared" si="6"/>
        <v>-6.9252026259281934</v>
      </c>
      <c r="T25">
        <f t="shared" si="7"/>
        <v>17.139723022075962</v>
      </c>
      <c r="U25" s="1">
        <f t="shared" si="8"/>
        <v>66.64278821640238</v>
      </c>
      <c r="V25">
        <f t="shared" si="9"/>
        <v>17.139723022075962</v>
      </c>
      <c r="W25" s="1">
        <f t="shared" si="10"/>
        <v>25.573352973624914</v>
      </c>
      <c r="X25">
        <f t="shared" si="11"/>
        <v>7.9185520361990944</v>
      </c>
      <c r="Y25" s="1">
        <f t="shared" si="12"/>
        <v>69.039714147057722</v>
      </c>
      <c r="Z25">
        <f t="shared" si="13"/>
        <v>1.1312217194570136</v>
      </c>
      <c r="AA25">
        <f t="shared" si="14"/>
        <v>19.028123099219382</v>
      </c>
      <c r="AB25" s="1">
        <f t="shared" si="15"/>
        <v>71.327944246047778</v>
      </c>
      <c r="AC25">
        <f t="shared" si="16"/>
        <v>1.415276948792954E-4</v>
      </c>
      <c r="AD25">
        <f t="shared" si="0"/>
        <v>71.328085773742657</v>
      </c>
    </row>
    <row r="26" spans="1:30" x14ac:dyDescent="0.3">
      <c r="E26" t="s">
        <v>111</v>
      </c>
      <c r="F26">
        <f>0.611</f>
        <v>0.61099999999999999</v>
      </c>
      <c r="G26" t="s">
        <v>89</v>
      </c>
      <c r="H26">
        <f>H25*(H24/B10)^2</f>
        <v>2.976619596079008E-4</v>
      </c>
      <c r="I26" t="s">
        <v>89</v>
      </c>
      <c r="J26">
        <f>J25*(J24/B10)^2</f>
        <v>1.9680129560852942E-3</v>
      </c>
      <c r="M26">
        <v>2000</v>
      </c>
      <c r="N26">
        <f t="shared" si="1"/>
        <v>0.70727935543197873</v>
      </c>
      <c r="O26" s="1">
        <f t="shared" si="2"/>
        <v>54.344062657038172</v>
      </c>
      <c r="P26">
        <f t="shared" si="3"/>
        <v>3.9601314972124962E-2</v>
      </c>
      <c r="Q26" s="1">
        <f t="shared" si="4"/>
        <v>53.855865079427176</v>
      </c>
      <c r="R26">
        <f t="shared" si="5"/>
        <v>1.7200824108542182E-2</v>
      </c>
      <c r="S26">
        <f t="shared" si="6"/>
        <v>3.6539731950049843</v>
      </c>
      <c r="T26">
        <f t="shared" si="7"/>
        <v>34.279446044151925</v>
      </c>
      <c r="U26" s="1">
        <f t="shared" si="8"/>
        <v>64.987123240250483</v>
      </c>
      <c r="V26">
        <f t="shared" si="9"/>
        <v>34.279446044151925</v>
      </c>
      <c r="W26" s="1">
        <f t="shared" si="10"/>
        <v>18.351388409374344</v>
      </c>
      <c r="X26">
        <f t="shared" si="11"/>
        <v>15.837104072398189</v>
      </c>
      <c r="Y26" s="1">
        <f t="shared" si="12"/>
        <v>62.81500699616987</v>
      </c>
      <c r="Z26">
        <f t="shared" si="13"/>
        <v>2.2624434389140271</v>
      </c>
      <c r="AA26">
        <f t="shared" si="14"/>
        <v>5.6191634472563088</v>
      </c>
      <c r="AB26" s="1">
        <f t="shared" si="15"/>
        <v>67.466290098260444</v>
      </c>
      <c r="AC26">
        <f t="shared" si="16"/>
        <v>1.201674176077685</v>
      </c>
      <c r="AD26">
        <f t="shared" si="0"/>
        <v>68.667964274338132</v>
      </c>
    </row>
    <row r="27" spans="1:30" x14ac:dyDescent="0.3">
      <c r="E27" t="s">
        <v>110</v>
      </c>
      <c r="F27">
        <v>10</v>
      </c>
      <c r="G27" t="s">
        <v>83</v>
      </c>
      <c r="H27">
        <v>0.35</v>
      </c>
      <c r="I27" t="s">
        <v>83</v>
      </c>
      <c r="J27">
        <v>0.7</v>
      </c>
      <c r="M27">
        <v>3000</v>
      </c>
      <c r="N27">
        <f t="shared" si="1"/>
        <v>1.0609190331479681</v>
      </c>
      <c r="O27" s="1">
        <f t="shared" si="2"/>
        <v>51.028423156243186</v>
      </c>
      <c r="P27">
        <f t="shared" si="3"/>
        <v>5.9401972458187451E-2</v>
      </c>
      <c r="Q27" s="1">
        <f t="shared" si="4"/>
        <v>56.632162975317414</v>
      </c>
      <c r="R27">
        <f t="shared" si="5"/>
        <v>2.5801236162813272E-2</v>
      </c>
      <c r="S27">
        <f t="shared" si="6"/>
        <v>8.97061461525068</v>
      </c>
      <c r="T27">
        <f t="shared" si="7"/>
        <v>51.41916906622788</v>
      </c>
      <c r="U27" s="1">
        <f t="shared" si="8"/>
        <v>64.018621315444236</v>
      </c>
      <c r="V27">
        <f t="shared" si="9"/>
        <v>51.41916906622788</v>
      </c>
      <c r="W27" s="1">
        <f t="shared" si="10"/>
        <v>14.006414793329148</v>
      </c>
      <c r="X27">
        <f t="shared" si="11"/>
        <v>23.755656108597282</v>
      </c>
      <c r="Y27" s="1">
        <f t="shared" si="12"/>
        <v>58.67389440503807</v>
      </c>
      <c r="Z27">
        <f t="shared" si="13"/>
        <v>3.3936651583710407</v>
      </c>
      <c r="AA27">
        <f t="shared" si="14"/>
        <v>-8.2897720979788971</v>
      </c>
      <c r="AB27" s="1">
        <f t="shared" si="15"/>
        <v>65.850979813422882</v>
      </c>
      <c r="AC27">
        <f t="shared" si="16"/>
        <v>1.2284560262974789</v>
      </c>
      <c r="AD27">
        <f t="shared" si="0"/>
        <v>67.079435839720361</v>
      </c>
    </row>
    <row r="28" spans="1:30" x14ac:dyDescent="0.3">
      <c r="E28" t="s">
        <v>112</v>
      </c>
      <c r="F28">
        <v>6.6</v>
      </c>
      <c r="G28" t="s">
        <v>81</v>
      </c>
      <c r="H28">
        <f>(B13*H27)*(1-B7*COS(B14))/(B7*B9)</f>
        <v>3.1674208144796379</v>
      </c>
      <c r="I28" t="s">
        <v>81</v>
      </c>
      <c r="J28">
        <f>(B13*J27)*(1-B7*COS(B14))/(B7*B9)</f>
        <v>6.3348416289592757</v>
      </c>
      <c r="M28">
        <v>4000</v>
      </c>
      <c r="N28">
        <f t="shared" si="1"/>
        <v>1.4145587108639575</v>
      </c>
      <c r="O28" s="1">
        <f t="shared" si="2"/>
        <v>48.616705529383715</v>
      </c>
      <c r="P28">
        <f t="shared" si="3"/>
        <v>7.9202629944249925E-2</v>
      </c>
      <c r="Q28" s="1">
        <f t="shared" si="4"/>
        <v>57.64357702547354</v>
      </c>
      <c r="R28">
        <f t="shared" si="5"/>
        <v>3.4401648217084364E-2</v>
      </c>
      <c r="S28">
        <f t="shared" si="6"/>
        <v>12.122978982492764</v>
      </c>
      <c r="T28">
        <f t="shared" si="7"/>
        <v>68.55889208830385</v>
      </c>
      <c r="U28" s="1">
        <f t="shared" si="8"/>
        <v>63.331458264098586</v>
      </c>
      <c r="V28">
        <f t="shared" si="9"/>
        <v>68.55889208830385</v>
      </c>
      <c r="W28" s="1">
        <f t="shared" si="10"/>
        <v>10.903083796353609</v>
      </c>
      <c r="X28">
        <f t="shared" si="11"/>
        <v>31.674208144796378</v>
      </c>
      <c r="Y28" s="1">
        <f t="shared" si="12"/>
        <v>55.643509561909276</v>
      </c>
      <c r="Z28">
        <f t="shared" si="13"/>
        <v>4.5248868778280542</v>
      </c>
      <c r="AA28">
        <f t="shared" si="14"/>
        <v>-18.278213167547626</v>
      </c>
      <c r="AB28" s="1">
        <f t="shared" si="15"/>
        <v>65.016387895908025</v>
      </c>
      <c r="AC28">
        <f t="shared" si="16"/>
        <v>0.96359790524507294</v>
      </c>
      <c r="AD28">
        <f t="shared" si="0"/>
        <v>65.979985801153092</v>
      </c>
    </row>
    <row r="29" spans="1:30" x14ac:dyDescent="0.3">
      <c r="E29" t="s">
        <v>113</v>
      </c>
      <c r="F29">
        <f>(B13*F25)*(1-B7*COS(B14))/(B7*B9)</f>
        <v>13.711778417660769</v>
      </c>
      <c r="G29" t="s">
        <v>125</v>
      </c>
      <c r="H29">
        <f>13.59*H28^2*(H28^2+12.5)^-2.25</f>
        <v>0.12325584302648188</v>
      </c>
      <c r="I29" t="s">
        <v>125</v>
      </c>
      <c r="J29">
        <f>13.59*J28^2*(J28^2+12.5)^-2.25</f>
        <v>7.3099068375036616E-2</v>
      </c>
      <c r="M29">
        <v>5000</v>
      </c>
      <c r="N29">
        <f t="shared" si="1"/>
        <v>1.7681983885799466</v>
      </c>
      <c r="O29" s="1">
        <f t="shared" si="2"/>
        <v>46.724574890778996</v>
      </c>
      <c r="P29">
        <f t="shared" si="3"/>
        <v>9.900328743031242E-2</v>
      </c>
      <c r="Q29" s="1">
        <f t="shared" si="4"/>
        <v>57.887522513019441</v>
      </c>
      <c r="R29">
        <f t="shared" si="5"/>
        <v>4.3002060271355454E-2</v>
      </c>
      <c r="S29">
        <f t="shared" si="6"/>
        <v>14.119262012667491</v>
      </c>
      <c r="T29">
        <f t="shared" si="7"/>
        <v>85.698615110379819</v>
      </c>
      <c r="U29" s="1">
        <f t="shared" si="8"/>
        <v>62.798453192554284</v>
      </c>
      <c r="V29">
        <f t="shared" si="9"/>
        <v>85.698615110379819</v>
      </c>
      <c r="W29" s="1">
        <f t="shared" si="10"/>
        <v>8.4896682870902787</v>
      </c>
      <c r="X29">
        <f t="shared" si="11"/>
        <v>39.592760180995469</v>
      </c>
      <c r="Y29" s="1">
        <f t="shared" si="12"/>
        <v>53.264145671411811</v>
      </c>
      <c r="Z29">
        <f t="shared" si="13"/>
        <v>5.6561085972850673</v>
      </c>
      <c r="AA29">
        <f t="shared" si="14"/>
        <v>-26.030397268503652</v>
      </c>
      <c r="AB29" s="1">
        <f t="shared" si="15"/>
        <v>64.438445462226809</v>
      </c>
      <c r="AC29">
        <f t="shared" si="16"/>
        <v>0.55443415814925312</v>
      </c>
      <c r="AD29">
        <f t="shared" si="0"/>
        <v>64.992879620376058</v>
      </c>
    </row>
    <row r="30" spans="1:30" x14ac:dyDescent="0.3">
      <c r="E30" t="s">
        <v>114</v>
      </c>
      <c r="F30">
        <f>0.1406*F29^-0.55</f>
        <v>3.3310698387401992E-2</v>
      </c>
      <c r="G30" t="s">
        <v>126</v>
      </c>
      <c r="H30">
        <f>3/2*SIN(B14)^2</f>
        <v>1.5</v>
      </c>
      <c r="I30" t="s">
        <v>126</v>
      </c>
      <c r="J30">
        <f>3/2*SIN(B14)^2</f>
        <v>1.5</v>
      </c>
      <c r="M30">
        <v>6000</v>
      </c>
      <c r="N30">
        <f t="shared" si="1"/>
        <v>2.1218380662959362</v>
      </c>
      <c r="O30" s="1">
        <f t="shared" si="2"/>
        <v>45.168737523252219</v>
      </c>
      <c r="P30">
        <f t="shared" si="3"/>
        <v>0.1188039449163749</v>
      </c>
      <c r="Q30" s="1">
        <f t="shared" si="4"/>
        <v>57.762943195011502</v>
      </c>
      <c r="R30">
        <f t="shared" si="5"/>
        <v>5.1602472325626543E-2</v>
      </c>
      <c r="S30">
        <f t="shared" si="6"/>
        <v>15.420107229200234</v>
      </c>
      <c r="T30">
        <f t="shared" si="7"/>
        <v>102.83833813245576</v>
      </c>
      <c r="U30" s="1">
        <f t="shared" si="8"/>
        <v>62.362956339292346</v>
      </c>
      <c r="V30">
        <f t="shared" si="9"/>
        <v>102.83833813245576</v>
      </c>
      <c r="W30" s="1">
        <f t="shared" si="10"/>
        <v>6.5152116403229297</v>
      </c>
      <c r="X30">
        <f t="shared" si="11"/>
        <v>47.511312217194565</v>
      </c>
      <c r="Y30" s="1">
        <f t="shared" si="12"/>
        <v>51.308263452981286</v>
      </c>
      <c r="Z30">
        <f t="shared" si="13"/>
        <v>6.7873303167420813</v>
      </c>
      <c r="AA30">
        <f t="shared" si="14"/>
        <v>-32.364801497932149</v>
      </c>
      <c r="AB30" s="1">
        <f t="shared" si="15"/>
        <v>63.95946239560719</v>
      </c>
      <c r="AC30">
        <f t="shared" si="16"/>
        <v>5.0112726333026991E-2</v>
      </c>
      <c r="AD30">
        <f t="shared" si="0"/>
        <v>64.009575121940216</v>
      </c>
    </row>
    <row r="31" spans="1:30" x14ac:dyDescent="0.3">
      <c r="E31" t="s">
        <v>115</v>
      </c>
      <c r="F31">
        <f>3*(SIN(F26)*COS(B14)+COS(F26)*SIN(B14)*COS(B16))^2</f>
        <v>2.0124490340259262</v>
      </c>
      <c r="G31" t="s">
        <v>90</v>
      </c>
      <c r="H31">
        <f>H22*B7^H23*H26*(B12*B9^2*B10^2)</f>
        <v>4.1436331006750888E-3</v>
      </c>
      <c r="I31" t="s">
        <v>90</v>
      </c>
      <c r="J31">
        <f>J22*B7^J23*J26*(B12*B9^2*B10^2)</f>
        <v>2.7395921326777442E-2</v>
      </c>
      <c r="M31">
        <v>7000</v>
      </c>
      <c r="N31">
        <f t="shared" si="1"/>
        <v>2.4754777440119251</v>
      </c>
      <c r="O31" s="1">
        <f t="shared" si="2"/>
        <v>43.848063877888414</v>
      </c>
      <c r="P31">
        <f t="shared" si="3"/>
        <v>0.13860460240243738</v>
      </c>
      <c r="Q31" s="1">
        <f t="shared" si="4"/>
        <v>57.452870954976625</v>
      </c>
      <c r="R31">
        <f t="shared" si="5"/>
        <v>6.0202884379897632E-2</v>
      </c>
      <c r="S31">
        <f t="shared" si="6"/>
        <v>16.27326809995321</v>
      </c>
      <c r="T31">
        <f t="shared" si="7"/>
        <v>119.97806115453173</v>
      </c>
      <c r="U31" s="1">
        <f t="shared" si="8"/>
        <v>61.994748996323978</v>
      </c>
      <c r="V31">
        <f t="shared" si="9"/>
        <v>119.97806115453173</v>
      </c>
      <c r="W31" s="1">
        <f t="shared" si="10"/>
        <v>4.8446029396944743</v>
      </c>
      <c r="X31">
        <f t="shared" si="11"/>
        <v>55.42986425339366</v>
      </c>
      <c r="Y31" s="1">
        <f t="shared" si="12"/>
        <v>49.648880981696479</v>
      </c>
      <c r="Z31">
        <f t="shared" si="13"/>
        <v>7.9185520361990944</v>
      </c>
      <c r="AA31">
        <f t="shared" si="14"/>
        <v>-37.720524169072121</v>
      </c>
      <c r="AB31" s="1">
        <f t="shared" si="15"/>
        <v>63.532975211396334</v>
      </c>
      <c r="AC31">
        <f t="shared" si="16"/>
        <v>-0.5231027020581247</v>
      </c>
      <c r="AD31">
        <f t="shared" si="0"/>
        <v>63.009872509338209</v>
      </c>
    </row>
    <row r="32" spans="1:30" x14ac:dyDescent="0.3">
      <c r="E32" t="s">
        <v>90</v>
      </c>
      <c r="F32">
        <f>F22*B7^F23*F24*(B12*B9^3*B10^2)</f>
        <v>13.642678461821985</v>
      </c>
      <c r="G32" t="s">
        <v>91</v>
      </c>
      <c r="H32">
        <f>(B12*B9*H31*H30*H29)/(4*PI()*B15^2*(1-B7*COS(B14))^4)</f>
        <v>1.7486831171250699E-6</v>
      </c>
      <c r="I32" t="s">
        <v>91</v>
      </c>
      <c r="J32">
        <f>(B12*B9*J31*J30*J29)/(4*PI()*B15^2*(1-B7*COS(B14))^4)</f>
        <v>6.8567775375412798E-6</v>
      </c>
      <c r="M32">
        <v>8000</v>
      </c>
      <c r="N32">
        <f t="shared" si="1"/>
        <v>2.8291174217279149</v>
      </c>
      <c r="O32" s="1">
        <f t="shared" si="2"/>
        <v>42.700978518103476</v>
      </c>
      <c r="P32">
        <f t="shared" si="3"/>
        <v>0.15840525988849985</v>
      </c>
      <c r="Q32" s="1">
        <f t="shared" si="4"/>
        <v>57.048798159626237</v>
      </c>
      <c r="R32">
        <f t="shared" si="5"/>
        <v>6.8803296434168729E-2</v>
      </c>
      <c r="S32">
        <f t="shared" si="6"/>
        <v>16.825272040911535</v>
      </c>
      <c r="T32">
        <f t="shared" si="7"/>
        <v>137.1177841766077</v>
      </c>
      <c r="U32" s="1">
        <f t="shared" si="8"/>
        <v>61.675793287946696</v>
      </c>
      <c r="V32">
        <f t="shared" si="9"/>
        <v>137.1177841766077</v>
      </c>
      <c r="W32" s="1">
        <f t="shared" si="10"/>
        <v>3.3967915113044018</v>
      </c>
      <c r="X32">
        <f t="shared" si="11"/>
        <v>63.348416289592755</v>
      </c>
      <c r="Y32" s="1">
        <f t="shared" si="12"/>
        <v>48.208366486190698</v>
      </c>
      <c r="Z32">
        <f t="shared" si="13"/>
        <v>9.0497737556561084</v>
      </c>
      <c r="AA32">
        <f t="shared" si="14"/>
        <v>-42.359874395041189</v>
      </c>
      <c r="AB32" s="1">
        <f t="shared" si="15"/>
        <v>63.144170419366802</v>
      </c>
      <c r="AC32">
        <f t="shared" si="16"/>
        <v>-1.1468793432843185</v>
      </c>
      <c r="AD32">
        <f t="shared" si="0"/>
        <v>61.997291076082483</v>
      </c>
    </row>
    <row r="33" spans="5:30" x14ac:dyDescent="0.3">
      <c r="E33" t="s">
        <v>91</v>
      </c>
      <c r="F33">
        <f>(B12*B9*F32*F31*F30)/(4*PI()*B15^2*(1-B7*COS(B14))^2)</f>
        <v>2.0875616988660761E-3</v>
      </c>
      <c r="G33" t="s">
        <v>85</v>
      </c>
      <c r="H33">
        <f>10*LOG10(H32/B17^2)</f>
        <v>36.406511257822174</v>
      </c>
      <c r="I33" t="s">
        <v>85</v>
      </c>
      <c r="J33">
        <f>10*LOG10(J32/B17^2)</f>
        <v>42.340600680418135</v>
      </c>
      <c r="M33">
        <v>9000</v>
      </c>
      <c r="N33">
        <f t="shared" si="1"/>
        <v>3.1827570994439038</v>
      </c>
      <c r="O33" s="1">
        <f t="shared" si="2"/>
        <v>41.687247469882394</v>
      </c>
      <c r="P33">
        <f t="shared" si="3"/>
        <v>0.17820591737456234</v>
      </c>
      <c r="Q33" s="1">
        <f t="shared" si="4"/>
        <v>56.59919982577955</v>
      </c>
      <c r="R33">
        <f t="shared" si="5"/>
        <v>7.7403708488439818E-2</v>
      </c>
      <c r="S33">
        <f t="shared" si="6"/>
        <v>17.168319842329144</v>
      </c>
      <c r="T33">
        <f t="shared" si="7"/>
        <v>154.25750719868367</v>
      </c>
      <c r="U33" s="1">
        <f t="shared" si="8"/>
        <v>61.394454414486091</v>
      </c>
      <c r="V33">
        <f t="shared" si="9"/>
        <v>154.25750719868367</v>
      </c>
      <c r="W33" s="1">
        <f t="shared" si="10"/>
        <v>2.1193411330309093</v>
      </c>
      <c r="X33">
        <f t="shared" si="11"/>
        <v>71.266968325791851</v>
      </c>
      <c r="Y33" s="1">
        <f t="shared" si="12"/>
        <v>46.935923728326337</v>
      </c>
      <c r="Z33">
        <f t="shared" si="13"/>
        <v>10.180995475113122</v>
      </c>
      <c r="AA33">
        <f t="shared" si="14"/>
        <v>-46.452074423510837</v>
      </c>
      <c r="AB33" s="1">
        <f t="shared" si="15"/>
        <v>62.787108254821092</v>
      </c>
      <c r="AC33">
        <f t="shared" si="16"/>
        <v>-1.8068953612431837</v>
      </c>
      <c r="AD33">
        <f t="shared" si="0"/>
        <v>60.980212893577907</v>
      </c>
    </row>
    <row r="34" spans="5:30" x14ac:dyDescent="0.3">
      <c r="E34" t="s">
        <v>85</v>
      </c>
      <c r="F34">
        <f>10*LOG10(F33/B17^2)</f>
        <v>67.175793287946689</v>
      </c>
      <c r="M34">
        <v>10000</v>
      </c>
      <c r="N34">
        <f t="shared" si="1"/>
        <v>3.5363967771598932</v>
      </c>
      <c r="O34" s="1">
        <f t="shared" si="2"/>
        <v>40.779150960552371</v>
      </c>
      <c r="P34">
        <f t="shared" si="3"/>
        <v>0.19800657486062484</v>
      </c>
      <c r="Q34" s="1">
        <f>10*LOG10((($B$12*$B$9*$H$16*$H$15*(0.613*(10*P34)^4*((10*P34)^1.5+0.5)^-4))/(4*PI()*$B$15^2*(1-$B$7*COS($B$14))^4))/$B$17^2)</f>
        <v>56.130792407603565</v>
      </c>
      <c r="R34">
        <f t="shared" si="5"/>
        <v>8.6004120542710907E-2</v>
      </c>
      <c r="S34">
        <f t="shared" si="6"/>
        <v>17.363032875918933</v>
      </c>
      <c r="T34">
        <f t="shared" si="7"/>
        <v>171.39723022075964</v>
      </c>
      <c r="U34" s="1">
        <f t="shared" si="8"/>
        <v>61.14278821640238</v>
      </c>
      <c r="V34">
        <f t="shared" si="9"/>
        <v>171.39723022075964</v>
      </c>
      <c r="W34" s="1">
        <f t="shared" si="10"/>
        <v>0.97637870467555521</v>
      </c>
      <c r="X34">
        <f t="shared" si="11"/>
        <v>79.185520361990939</v>
      </c>
      <c r="Y34" s="1">
        <f t="shared" si="12"/>
        <v>45.796545653838805</v>
      </c>
      <c r="Z34">
        <f t="shared" si="13"/>
        <v>11.312217194570135</v>
      </c>
      <c r="AA34">
        <f t="shared" si="14"/>
        <v>-50.11267302552578</v>
      </c>
      <c r="AB34" s="1">
        <f t="shared" si="15"/>
        <v>62.458316193489594</v>
      </c>
      <c r="AC34">
        <f t="shared" si="16"/>
        <v>-2.4915694246069107</v>
      </c>
      <c r="AD34">
        <f t="shared" si="0"/>
        <v>59.966746768882686</v>
      </c>
    </row>
    <row r="35" spans="5:30" x14ac:dyDescent="0.3">
      <c r="M35">
        <v>20000</v>
      </c>
      <c r="N35">
        <f t="shared" si="1"/>
        <v>7.0727935543197864</v>
      </c>
      <c r="O35">
        <f t="shared" si="2"/>
        <v>34.785207805190915</v>
      </c>
      <c r="P35">
        <f t="shared" si="3"/>
        <v>0.39601314972124968</v>
      </c>
      <c r="Q35">
        <f>10*LOG10((($B$12*$B$9*$H$16*$H$15*(0.613*(10*P35)^4*((10*P35)^1.5+0.5)^-4))/(4*PI()*$B$15^2*(1-$B$7*COS($B$14))^4))/$B$17^2)</f>
        <v>51.908796346615844</v>
      </c>
      <c r="R35">
        <f t="shared" si="5"/>
        <v>0.17200824108542181</v>
      </c>
      <c r="S35">
        <f t="shared" si="6"/>
        <v>16.319041939479032</v>
      </c>
      <c r="T35">
        <f t="shared" si="7"/>
        <v>342.79446044151928</v>
      </c>
      <c r="U35">
        <f t="shared" si="8"/>
        <v>59.487123240250483</v>
      </c>
      <c r="V35">
        <f t="shared" si="9"/>
        <v>342.79446044151928</v>
      </c>
      <c r="W35">
        <f t="shared" si="10"/>
        <v>-6.5462536254205963</v>
      </c>
      <c r="X35">
        <f t="shared" si="11"/>
        <v>158.37104072398188</v>
      </c>
      <c r="Y35">
        <f t="shared" si="12"/>
        <v>38.285387461387003</v>
      </c>
      <c r="Z35">
        <f t="shared" si="13"/>
        <v>22.624434389140269</v>
      </c>
      <c r="AA35">
        <f t="shared" si="14"/>
        <v>-74.195072194668214</v>
      </c>
      <c r="AB35">
        <f t="shared" si="15"/>
        <v>60.226752920312549</v>
      </c>
      <c r="AC35">
        <f t="shared" si="16"/>
        <v>-9.3467937594815851</v>
      </c>
      <c r="AD35">
        <f t="shared" si="0"/>
        <v>50.879959160830964</v>
      </c>
    </row>
    <row r="36" spans="5:30" x14ac:dyDescent="0.3">
      <c r="E36" t="s">
        <v>116</v>
      </c>
      <c r="M36">
        <v>30000</v>
      </c>
      <c r="N36">
        <f t="shared" si="1"/>
        <v>10.609190331479681</v>
      </c>
      <c r="O36">
        <f t="shared" si="2"/>
        <v>31.270032223353731</v>
      </c>
      <c r="P36">
        <f t="shared" si="3"/>
        <v>0.59401972458187446</v>
      </c>
      <c r="Q36">
        <f>10*LOG10((($B$12*$B$9*$H$16*$H$15*(0.613*(10*P36)^4*((10*P36)^1.5+0.5)^-4))/(4*PI()*$B$15^2*(1-$B$7*COS($B$14))^4))/$B$17^2)</f>
        <v>48.865772191829642</v>
      </c>
      <c r="R36">
        <f t="shared" si="5"/>
        <v>0.25801236162813274</v>
      </c>
      <c r="S36">
        <f t="shared" si="6"/>
        <v>14.296209971337884</v>
      </c>
      <c r="T36">
        <f t="shared" si="7"/>
        <v>514.19169066227892</v>
      </c>
      <c r="U36">
        <f t="shared" si="8"/>
        <v>58.518621315444236</v>
      </c>
      <c r="V36">
        <f t="shared" si="9"/>
        <v>514.19169066227892</v>
      </c>
      <c r="W36">
        <f t="shared" si="10"/>
        <v>-10.947957666441901</v>
      </c>
      <c r="X36">
        <f t="shared" si="11"/>
        <v>237.55656108597285</v>
      </c>
      <c r="Y36">
        <f t="shared" si="12"/>
        <v>33.885810544288844</v>
      </c>
      <c r="Z36">
        <f t="shared" si="13"/>
        <v>33.936651583710407</v>
      </c>
      <c r="AA36">
        <f t="shared" si="14"/>
        <v>-88.282372917298829</v>
      </c>
      <c r="AB36">
        <f t="shared" si="15"/>
        <v>58.986245307416489</v>
      </c>
      <c r="AC36">
        <f t="shared" si="16"/>
        <v>-14.969811759715991</v>
      </c>
      <c r="AD36">
        <f t="shared" si="0"/>
        <v>44.016433547700501</v>
      </c>
    </row>
    <row r="37" spans="5:30" x14ac:dyDescent="0.3">
      <c r="E37" t="s">
        <v>87</v>
      </c>
      <c r="F37">
        <f>2.753*10^-4</f>
        <v>2.7530000000000002E-4</v>
      </c>
      <c r="M37">
        <v>40000</v>
      </c>
      <c r="N37">
        <f t="shared" si="1"/>
        <v>14.145587108639573</v>
      </c>
      <c r="O37">
        <f t="shared" si="2"/>
        <v>28.77404227508616</v>
      </c>
      <c r="P37">
        <f t="shared" si="3"/>
        <v>0.79202629944249936</v>
      </c>
      <c r="Q37">
        <f>10*LOG10((($B$12*$B$9*$H$16*$H$15*(0.613*(10*P37)^4*((10*P37)^1.5+0.5)^-4))/(4*PI()*$B$15^2*(1-$B$7*COS($B$14))^4))/$B$17^2)</f>
        <v>46.571446478758496</v>
      </c>
      <c r="R37">
        <f t="shared" si="5"/>
        <v>0.34401648217084363</v>
      </c>
      <c r="S37">
        <f t="shared" si="6"/>
        <v>12.465586863835219</v>
      </c>
      <c r="T37">
        <f t="shared" si="7"/>
        <v>685.58892088303855</v>
      </c>
      <c r="U37">
        <f t="shared" si="8"/>
        <v>57.831458264098586</v>
      </c>
      <c r="V37">
        <f t="shared" si="9"/>
        <v>685.58892088303855</v>
      </c>
      <c r="W37">
        <f t="shared" si="10"/>
        <v>-14.071223971207941</v>
      </c>
      <c r="X37">
        <f t="shared" si="11"/>
        <v>316.74208144796376</v>
      </c>
      <c r="Y37">
        <f t="shared" si="12"/>
        <v>30.763288901709078</v>
      </c>
      <c r="Z37">
        <f t="shared" si="13"/>
        <v>45.248868778280539</v>
      </c>
      <c r="AA37">
        <f t="shared" si="14"/>
        <v>-98.277471845896187</v>
      </c>
      <c r="AB37">
        <f t="shared" si="15"/>
        <v>58.15785720829281</v>
      </c>
      <c r="AC37">
        <f t="shared" si="16"/>
        <v>-19.409938448212671</v>
      </c>
      <c r="AD37">
        <f t="shared" si="0"/>
        <v>38.74791876008014</v>
      </c>
    </row>
    <row r="38" spans="5:30" x14ac:dyDescent="0.3">
      <c r="E38" t="s">
        <v>88</v>
      </c>
      <c r="F38">
        <v>6</v>
      </c>
      <c r="M38" t="s">
        <v>152</v>
      </c>
      <c r="O38">
        <f>10*LOG10(10^(O7/10)+10^(O8/10)+10^(O9/10)+10^(O10/10)+10^(O11/10)+10^(O12/10)+10^(O13/10)+10^(O14/10)+10^(O15/10)+10^(O16/10)+10^(O17/10)+10^(O18/10)+10^(O19/10)+10^(O20/10)+10^(O21/10)+10^(O22/10)+10^(O23/10)+10^(O24/10)+10^(O25/10)+10^(O26/10)+10^(O27/10)+10^(O28/10)+10^(O29/10)+10^(O30/10)+10^(O31/10)+10^(O32/10)+10^(O33/10)+10^(O34/10))</f>
        <v>73.172961750800752</v>
      </c>
      <c r="Q38">
        <f t="shared" ref="Q38:AB38" si="17">10*LOG10(10^(Q7/10)+10^(Q8/10)+10^(Q9/10)+10^(Q10/10)+10^(Q11/10)+10^(Q12/10)+10^(Q13/10)+10^(Q14/10)+10^(Q15/10)+10^(Q16/10)+10^(Q17/10)+10^(Q18/10)+10^(Q19/10)+10^(Q20/10)+10^(Q21/10)+10^(Q22/10)+10^(Q23/10)+10^(Q24/10)+10^(Q25/10)+10^(Q26/10)+10^(Q27/10)+10^(Q28/10)+10^(Q29/10)+10^(Q30/10)+10^(Q31/10)+10^(Q32/10)+10^(Q33/10)+10^(Q34/10))</f>
        <v>66.57180776043522</v>
      </c>
      <c r="S38">
        <f t="shared" si="17"/>
        <v>24.54578049005319</v>
      </c>
      <c r="U38">
        <f t="shared" si="17"/>
        <v>85.474209290594004</v>
      </c>
      <c r="W38">
        <f t="shared" si="17"/>
        <v>44.568795514808393</v>
      </c>
      <c r="Y38">
        <f t="shared" si="17"/>
        <v>81.641297722500042</v>
      </c>
      <c r="AA38">
        <f t="shared" si="17"/>
        <v>32.165210697084994</v>
      </c>
      <c r="AB38">
        <f t="shared" si="17"/>
        <v>87.193086999565494</v>
      </c>
      <c r="AD38">
        <f>10*LOG10(10^(AD7/10)+10^(AD8/10)+10^(AD9/10)+10^(AD10/10)+10^(AD11/10)+10^(AD12/10)+10^(AD13/10)+10^(AD14/10)+10^(AD15/10)+10^(AD16/10)+10^(AD17/10)+10^(AD18/10)+10^(AD19/10)+10^(AD20/10)+10^(AD21/10)+10^(AD22/10)+10^(AD23/10)+10^(AD24/10)+10^(AD25/10)+10^(AD26/10)+10^(AD27/10)+10^(AD28/10)+10^(AD29/10)+10^(AD30/10)+10^(AD31/10)+10^(AD32/10)+10^(AD33/10)+10^(AD34/10))</f>
        <v>81.205526158127569</v>
      </c>
    </row>
    <row r="39" spans="5:30" x14ac:dyDescent="0.3">
      <c r="E39" t="s">
        <v>117</v>
      </c>
      <c r="F39">
        <v>0.1</v>
      </c>
      <c r="AA39" t="s">
        <v>161</v>
      </c>
      <c r="AB39">
        <f>'6 bladed propeller ATR-72'!F76+20*LOG10(450/B18)</f>
        <v>84.52782146691186</v>
      </c>
    </row>
    <row r="40" spans="5:30" x14ac:dyDescent="0.3">
      <c r="E40" t="s">
        <v>118</v>
      </c>
      <c r="F40">
        <v>0.7</v>
      </c>
      <c r="M40" t="s">
        <v>153</v>
      </c>
      <c r="O40">
        <f>O38-20*LOG10($B$18-1)</f>
        <v>31.625603645117629</v>
      </c>
      <c r="Q40">
        <f>Q38-20*LOG10($B$18-1)</f>
        <v>25.024449654752097</v>
      </c>
      <c r="S40">
        <f>S38-20*LOG10($B$18-1)</f>
        <v>-17.001577615629934</v>
      </c>
      <c r="U40">
        <f>U38-20*LOG10($B$18-1)</f>
        <v>43.92685118491088</v>
      </c>
      <c r="W40">
        <f>W38-20*LOG10($B$18-1)</f>
        <v>3.0214374091252694</v>
      </c>
      <c r="Y40">
        <f>Y38-20*LOG10($B$18-1)</f>
        <v>40.093939616816918</v>
      </c>
      <c r="AA40">
        <f>AA38-20*LOG10($B$18-1)</f>
        <v>-9.3821474085981293</v>
      </c>
      <c r="AB40">
        <f>10*LOG10(10^((AB38)/10)+10^(AB39/10))</f>
        <v>89.072083179692413</v>
      </c>
      <c r="AD40">
        <f>AD38-20*LOG10($B$18-1)</f>
        <v>39.658168052444445</v>
      </c>
    </row>
    <row r="41" spans="5:30" x14ac:dyDescent="0.3">
      <c r="E41" t="s">
        <v>89</v>
      </c>
      <c r="F41">
        <f>(F39/B10)^2*(F40/F39)</f>
        <v>9.5667296476368443E-5</v>
      </c>
    </row>
    <row r="42" spans="5:30" x14ac:dyDescent="0.3">
      <c r="E42" t="s">
        <v>83</v>
      </c>
      <c r="F42">
        <f>F39</f>
        <v>0.1</v>
      </c>
    </row>
    <row r="43" spans="5:30" x14ac:dyDescent="0.3">
      <c r="E43" t="s">
        <v>81</v>
      </c>
      <c r="F43">
        <f>(B13*F42)*(1-B7*COS(B14))/(B7*B9)</f>
        <v>0.90497737556561075</v>
      </c>
    </row>
    <row r="44" spans="5:30" x14ac:dyDescent="0.3">
      <c r="E44" t="s">
        <v>125</v>
      </c>
      <c r="F44">
        <f>5.325*(30+F43^8)^-1</f>
        <v>0.17487750618523792</v>
      </c>
    </row>
    <row r="45" spans="5:30" x14ac:dyDescent="0.3">
      <c r="E45" t="s">
        <v>127</v>
      </c>
      <c r="F45">
        <f>3*SIN(B16)^2*SIN(B14)^2</f>
        <v>2.999900001333324E-4</v>
      </c>
    </row>
    <row r="46" spans="5:30" x14ac:dyDescent="0.3">
      <c r="E46" t="s">
        <v>90</v>
      </c>
      <c r="F46">
        <f>F37*B7^F38*F41*(B12*B9^3*B10^2)</f>
        <v>0.28662705341271227</v>
      </c>
    </row>
    <row r="47" spans="5:30" x14ac:dyDescent="0.3">
      <c r="E47" t="s">
        <v>91</v>
      </c>
      <c r="F47">
        <f>(B12*B9*F46*F45*F44)/(4*PI()*B15^2*(1-B7*COS(B14))^2)</f>
        <v>3.432329370516821E-8</v>
      </c>
    </row>
    <row r="48" spans="5:30" x14ac:dyDescent="0.3">
      <c r="E48" t="s">
        <v>85</v>
      </c>
      <c r="F48">
        <f>10*LOG10(F47/B17^2)</f>
        <v>19.335289652771461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6 bladed propeller Aquila</vt:lpstr>
      <vt:lpstr>Propeller</vt:lpstr>
      <vt:lpstr>6 bladed propeller ATR-72</vt:lpstr>
      <vt:lpstr>8 bladed propeller</vt:lpstr>
      <vt:lpstr>Approach Aquila</vt:lpstr>
      <vt:lpstr>Approach</vt:lpstr>
      <vt:lpstr>Fly-over Aquila</vt:lpstr>
      <vt:lpstr>Fly-over</vt:lpstr>
      <vt:lpstr>Approach ATR 72</vt:lpstr>
      <vt:lpstr>Fly-over ATR 72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Lousseaux</dc:creator>
  <cp:lastModifiedBy>benja</cp:lastModifiedBy>
  <dcterms:created xsi:type="dcterms:W3CDTF">2019-06-04T09:08:28Z</dcterms:created>
  <dcterms:modified xsi:type="dcterms:W3CDTF">2019-06-20T14:32:06Z</dcterms:modified>
</cp:coreProperties>
</file>