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enja\Documents\TUD\DSE\sinkorporated\"/>
    </mc:Choice>
  </mc:AlternateContent>
  <xr:revisionPtr revIDLastSave="0" documentId="13_ncr:1_{8DEEC07E-7767-4DE3-A5DB-6363C976E098}" xr6:coauthVersionLast="43" xr6:coauthVersionMax="43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6 bladed propeller" sheetId="1" r:id="rId1"/>
    <sheet name="8 bladed propeller" sheetId="3" r:id="rId2"/>
    <sheet name="Approach Aquila" sheetId="2" r:id="rId3"/>
    <sheet name="Frequency" sheetId="8" r:id="rId4"/>
    <sheet name="Approach" sheetId="7" r:id="rId5"/>
    <sheet name="Fly-over Aquila" sheetId="5" r:id="rId6"/>
    <sheet name="Approach ATR 72" sheetId="4" r:id="rId7"/>
    <sheet name="Fly-over ATR 72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7" i="1" l="1"/>
  <c r="B92" i="1" s="1"/>
  <c r="B95" i="1" s="1"/>
  <c r="B98" i="1" s="1"/>
  <c r="B99" i="1"/>
  <c r="B90" i="1"/>
  <c r="F42" i="6"/>
  <c r="F41" i="6"/>
  <c r="AC37" i="6"/>
  <c r="F37" i="6"/>
  <c r="F46" i="6" s="1"/>
  <c r="AC36" i="6"/>
  <c r="AC35" i="6"/>
  <c r="AC34" i="6"/>
  <c r="AC33" i="6"/>
  <c r="AC32" i="6"/>
  <c r="AC31" i="6"/>
  <c r="AC30" i="6"/>
  <c r="X30" i="6"/>
  <c r="AC29" i="6"/>
  <c r="AC28" i="6"/>
  <c r="AC27" i="6"/>
  <c r="H28" i="6"/>
  <c r="H29" i="6" s="1"/>
  <c r="AC26" i="6"/>
  <c r="J26" i="6"/>
  <c r="H26" i="6"/>
  <c r="F26" i="6"/>
  <c r="AC25" i="6"/>
  <c r="F25" i="6"/>
  <c r="F29" i="6" s="1"/>
  <c r="F30" i="6" s="1"/>
  <c r="AC24" i="6"/>
  <c r="F24" i="6"/>
  <c r="AC23" i="6"/>
  <c r="AC22" i="6"/>
  <c r="J22" i="6"/>
  <c r="H22" i="6"/>
  <c r="F22" i="6"/>
  <c r="F32" i="6" s="1"/>
  <c r="AC21" i="6"/>
  <c r="AC20" i="6"/>
  <c r="AC19" i="6"/>
  <c r="AC18" i="6"/>
  <c r="B18" i="6"/>
  <c r="AC17" i="6"/>
  <c r="B17" i="6"/>
  <c r="AC16" i="6"/>
  <c r="AC15" i="6"/>
  <c r="AC14" i="6"/>
  <c r="B14" i="6"/>
  <c r="Z27" i="6" s="1"/>
  <c r="AC13" i="6"/>
  <c r="Z13" i="6"/>
  <c r="AC12" i="6"/>
  <c r="X12" i="6"/>
  <c r="T12" i="6"/>
  <c r="AC11" i="6"/>
  <c r="B11" i="6"/>
  <c r="F9" i="6" s="1"/>
  <c r="F10" i="6" s="1"/>
  <c r="N14" i="6" s="1"/>
  <c r="AC10" i="6"/>
  <c r="Z10" i="6"/>
  <c r="AC9" i="6"/>
  <c r="X9" i="6"/>
  <c r="T9" i="6"/>
  <c r="AC8" i="6"/>
  <c r="X8" i="6"/>
  <c r="T8" i="6"/>
  <c r="AC7" i="6"/>
  <c r="J7" i="6"/>
  <c r="H7" i="6"/>
  <c r="F7" i="6"/>
  <c r="B3" i="6"/>
  <c r="B1" i="6"/>
  <c r="B18" i="5"/>
  <c r="N39" i="5" s="1"/>
  <c r="F42" i="5"/>
  <c r="F41" i="5"/>
  <c r="AC37" i="5"/>
  <c r="F37" i="5"/>
  <c r="F46" i="5" s="1"/>
  <c r="AC36" i="5"/>
  <c r="AC35" i="5"/>
  <c r="AC34" i="5"/>
  <c r="AC33" i="5"/>
  <c r="AC32" i="5"/>
  <c r="AC31" i="5"/>
  <c r="AC30" i="5"/>
  <c r="AC29" i="5"/>
  <c r="AC28" i="5"/>
  <c r="AC27" i="5"/>
  <c r="J27" i="5"/>
  <c r="H27" i="5"/>
  <c r="H28" i="5" s="1"/>
  <c r="H29" i="5" s="1"/>
  <c r="AC26" i="5"/>
  <c r="J26" i="5"/>
  <c r="J31" i="5" s="1"/>
  <c r="H26" i="5"/>
  <c r="F26" i="5"/>
  <c r="AC25" i="5"/>
  <c r="F25" i="5"/>
  <c r="T34" i="5" s="1"/>
  <c r="AC24" i="5"/>
  <c r="F24" i="5"/>
  <c r="AC23" i="5"/>
  <c r="AC22" i="5"/>
  <c r="Z22" i="5"/>
  <c r="J22" i="5"/>
  <c r="H22" i="5"/>
  <c r="F22" i="5"/>
  <c r="F32" i="5" s="1"/>
  <c r="AC21" i="5"/>
  <c r="V21" i="5"/>
  <c r="AC20" i="5"/>
  <c r="AC19" i="5"/>
  <c r="X19" i="5"/>
  <c r="AC18" i="5"/>
  <c r="AC17" i="5"/>
  <c r="T17" i="5"/>
  <c r="B17" i="5"/>
  <c r="AC16" i="5"/>
  <c r="X16" i="5"/>
  <c r="AC15" i="5"/>
  <c r="T15" i="5"/>
  <c r="H15" i="5"/>
  <c r="AC14" i="5"/>
  <c r="X14" i="5"/>
  <c r="B14" i="5"/>
  <c r="Z32" i="5" s="1"/>
  <c r="AC13" i="5"/>
  <c r="AC12" i="5"/>
  <c r="AC11" i="5"/>
  <c r="F11" i="5"/>
  <c r="B11" i="5"/>
  <c r="AC10" i="5"/>
  <c r="X10" i="5"/>
  <c r="V10" i="5"/>
  <c r="AC9" i="5"/>
  <c r="Z9" i="5"/>
  <c r="X9" i="5"/>
  <c r="J9" i="5"/>
  <c r="J10" i="5" s="1"/>
  <c r="H9" i="5"/>
  <c r="H10" i="5" s="1"/>
  <c r="F9" i="5"/>
  <c r="F10" i="5" s="1"/>
  <c r="AC8" i="5"/>
  <c r="X8" i="5"/>
  <c r="V8" i="5"/>
  <c r="AC7" i="5"/>
  <c r="J7" i="5"/>
  <c r="H7" i="5"/>
  <c r="H16" i="5" s="1"/>
  <c r="F7" i="5"/>
  <c r="B1" i="5"/>
  <c r="B3" i="5" s="1"/>
  <c r="B52" i="1"/>
  <c r="F42" i="4"/>
  <c r="F41" i="4"/>
  <c r="AC37" i="4"/>
  <c r="F37" i="4"/>
  <c r="AC36" i="4"/>
  <c r="AC35" i="4"/>
  <c r="AC34" i="4"/>
  <c r="AC33" i="4"/>
  <c r="AC32" i="4"/>
  <c r="AC31" i="4"/>
  <c r="AC30" i="4"/>
  <c r="AC29" i="4"/>
  <c r="AC28" i="4"/>
  <c r="AC27" i="4"/>
  <c r="AC26" i="4"/>
  <c r="J26" i="4"/>
  <c r="H26" i="4"/>
  <c r="F26" i="4"/>
  <c r="AC25" i="4"/>
  <c r="F25" i="4"/>
  <c r="AC24" i="4"/>
  <c r="AC23" i="4"/>
  <c r="AC22" i="4"/>
  <c r="J22" i="4"/>
  <c r="J31" i="4" s="1"/>
  <c r="H22" i="4"/>
  <c r="H31" i="4" s="1"/>
  <c r="F22" i="4"/>
  <c r="AC21" i="4"/>
  <c r="AC20" i="4"/>
  <c r="AC19" i="4"/>
  <c r="AC18" i="4"/>
  <c r="AC17" i="4"/>
  <c r="B17" i="4"/>
  <c r="AC16" i="4"/>
  <c r="AC15" i="4"/>
  <c r="AC14" i="4"/>
  <c r="B14" i="4"/>
  <c r="V27" i="4" s="1"/>
  <c r="AC13" i="4"/>
  <c r="AC12" i="4"/>
  <c r="AC11" i="4"/>
  <c r="B11" i="4"/>
  <c r="F9" i="4" s="1"/>
  <c r="F10" i="4" s="1"/>
  <c r="N10" i="4" s="1"/>
  <c r="AC10" i="4"/>
  <c r="AC9" i="4"/>
  <c r="J9" i="4"/>
  <c r="J10" i="4" s="1"/>
  <c r="J13" i="4" s="1"/>
  <c r="J14" i="4" s="1"/>
  <c r="AC8" i="4"/>
  <c r="AC7" i="4"/>
  <c r="J7" i="4"/>
  <c r="H7" i="4"/>
  <c r="F7" i="4"/>
  <c r="B1" i="4"/>
  <c r="B3" i="4" s="1"/>
  <c r="F7" i="2"/>
  <c r="B17" i="2"/>
  <c r="D74" i="1"/>
  <c r="B11" i="2"/>
  <c r="F9" i="2" s="1"/>
  <c r="F11" i="2" s="1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7" i="2"/>
  <c r="F22" i="2"/>
  <c r="F42" i="2"/>
  <c r="F41" i="2"/>
  <c r="J27" i="2"/>
  <c r="J26" i="2"/>
  <c r="J31" i="2" s="1"/>
  <c r="H27" i="2"/>
  <c r="H26" i="2"/>
  <c r="H31" i="2" s="1"/>
  <c r="J22" i="2"/>
  <c r="F37" i="2"/>
  <c r="H22" i="2"/>
  <c r="F25" i="2"/>
  <c r="F24" i="2"/>
  <c r="F32" i="2" s="1"/>
  <c r="F26" i="2"/>
  <c r="J7" i="2"/>
  <c r="H7" i="2"/>
  <c r="J16" i="5" l="1"/>
  <c r="X27" i="2"/>
  <c r="H9" i="4"/>
  <c r="F46" i="4"/>
  <c r="F31" i="5"/>
  <c r="Z7" i="6"/>
  <c r="H9" i="6"/>
  <c r="H10" i="6" s="1"/>
  <c r="P9" i="6" s="1"/>
  <c r="V10" i="6"/>
  <c r="Z11" i="6"/>
  <c r="V13" i="6"/>
  <c r="J15" i="6"/>
  <c r="T24" i="6"/>
  <c r="U24" i="6" s="1"/>
  <c r="V26" i="6"/>
  <c r="T29" i="6"/>
  <c r="J9" i="6"/>
  <c r="J10" i="6" s="1"/>
  <c r="X10" i="6"/>
  <c r="X13" i="6"/>
  <c r="Z15" i="6"/>
  <c r="V18" i="6"/>
  <c r="Z34" i="6"/>
  <c r="Z24" i="2"/>
  <c r="V8" i="6"/>
  <c r="V9" i="6"/>
  <c r="V12" i="6"/>
  <c r="V16" i="6"/>
  <c r="V19" i="6"/>
  <c r="Z25" i="6"/>
  <c r="X35" i="6"/>
  <c r="Z35" i="6"/>
  <c r="Z19" i="6"/>
  <c r="X22" i="6"/>
  <c r="F46" i="2"/>
  <c r="X22" i="2"/>
  <c r="X37" i="5"/>
  <c r="Z36" i="5"/>
  <c r="T7" i="6"/>
  <c r="U7" i="6" s="1"/>
  <c r="Z8" i="6"/>
  <c r="Z9" i="6"/>
  <c r="T11" i="6"/>
  <c r="Z12" i="6"/>
  <c r="F14" i="6"/>
  <c r="F31" i="6"/>
  <c r="X28" i="6"/>
  <c r="X32" i="6"/>
  <c r="X36" i="6"/>
  <c r="Z21" i="2"/>
  <c r="V7" i="6"/>
  <c r="V11" i="6"/>
  <c r="V14" i="6"/>
  <c r="Z17" i="6"/>
  <c r="H31" i="6"/>
  <c r="X28" i="2"/>
  <c r="H31" i="5"/>
  <c r="X7" i="6"/>
  <c r="T10" i="6"/>
  <c r="X11" i="6"/>
  <c r="Y11" i="6" s="1"/>
  <c r="T13" i="6"/>
  <c r="X21" i="6"/>
  <c r="J31" i="6"/>
  <c r="T33" i="6"/>
  <c r="V37" i="6"/>
  <c r="T20" i="6"/>
  <c r="T27" i="6"/>
  <c r="T21" i="6"/>
  <c r="U21" i="6" s="1"/>
  <c r="V23" i="6"/>
  <c r="T31" i="6"/>
  <c r="J16" i="6"/>
  <c r="R27" i="6"/>
  <c r="R17" i="6"/>
  <c r="R34" i="6"/>
  <c r="R15" i="6"/>
  <c r="S15" i="6" s="1"/>
  <c r="R25" i="6"/>
  <c r="N23" i="6"/>
  <c r="H16" i="6"/>
  <c r="N16" i="6"/>
  <c r="F11" i="6"/>
  <c r="O36" i="6" s="1"/>
  <c r="N22" i="6"/>
  <c r="O22" i="6" s="1"/>
  <c r="N12" i="6"/>
  <c r="N36" i="6"/>
  <c r="N32" i="6"/>
  <c r="N30" i="6"/>
  <c r="N28" i="6"/>
  <c r="F12" i="6"/>
  <c r="F13" i="6" s="1"/>
  <c r="N9" i="6"/>
  <c r="N19" i="6"/>
  <c r="N7" i="6"/>
  <c r="N35" i="6"/>
  <c r="N11" i="6"/>
  <c r="O11" i="6" s="1"/>
  <c r="N37" i="6"/>
  <c r="N34" i="6"/>
  <c r="N25" i="6"/>
  <c r="N17" i="6"/>
  <c r="O17" i="6" s="1"/>
  <c r="N15" i="6"/>
  <c r="O15" i="6" s="1"/>
  <c r="N27" i="6"/>
  <c r="N21" i="6"/>
  <c r="O21" i="6" s="1"/>
  <c r="N13" i="6"/>
  <c r="O13" i="6" s="1"/>
  <c r="N33" i="6"/>
  <c r="N31" i="6"/>
  <c r="O31" i="6" s="1"/>
  <c r="N29" i="6"/>
  <c r="N24" i="6"/>
  <c r="N20" i="6"/>
  <c r="O20" i="6" s="1"/>
  <c r="N10" i="6"/>
  <c r="N8" i="6"/>
  <c r="S27" i="6"/>
  <c r="O9" i="6"/>
  <c r="O27" i="6"/>
  <c r="O24" i="6"/>
  <c r="O10" i="6"/>
  <c r="O19" i="6"/>
  <c r="O14" i="6"/>
  <c r="P35" i="6"/>
  <c r="P11" i="6"/>
  <c r="P34" i="6"/>
  <c r="P25" i="6"/>
  <c r="P17" i="6"/>
  <c r="P15" i="6"/>
  <c r="P27" i="6"/>
  <c r="P21" i="6"/>
  <c r="P13" i="6"/>
  <c r="P33" i="6"/>
  <c r="P31" i="6"/>
  <c r="P29" i="6"/>
  <c r="P24" i="6"/>
  <c r="P20" i="6"/>
  <c r="P10" i="6"/>
  <c r="P8" i="6"/>
  <c r="P30" i="6"/>
  <c r="P19" i="6"/>
  <c r="P7" i="6"/>
  <c r="H13" i="6"/>
  <c r="H14" i="6" s="1"/>
  <c r="P37" i="6"/>
  <c r="P26" i="6"/>
  <c r="P23" i="6"/>
  <c r="P18" i="6"/>
  <c r="P16" i="6"/>
  <c r="P14" i="6"/>
  <c r="P22" i="6"/>
  <c r="P12" i="6"/>
  <c r="P36" i="6"/>
  <c r="P32" i="6"/>
  <c r="N26" i="6"/>
  <c r="O26" i="6" s="1"/>
  <c r="AA22" i="6"/>
  <c r="S17" i="6"/>
  <c r="S25" i="6"/>
  <c r="S34" i="6"/>
  <c r="N18" i="6"/>
  <c r="O18" i="6" s="1"/>
  <c r="F33" i="6"/>
  <c r="F34" i="6" s="1"/>
  <c r="Y28" i="6"/>
  <c r="U10" i="6"/>
  <c r="Y21" i="6"/>
  <c r="Y13" i="6"/>
  <c r="U12" i="6"/>
  <c r="Y8" i="6"/>
  <c r="Y9" i="6"/>
  <c r="U8" i="6"/>
  <c r="Y10" i="6"/>
  <c r="U9" i="6"/>
  <c r="U11" i="6"/>
  <c r="Y7" i="6"/>
  <c r="Y30" i="6"/>
  <c r="U29" i="6"/>
  <c r="U20" i="6"/>
  <c r="Y36" i="6"/>
  <c r="U33" i="6"/>
  <c r="U27" i="6"/>
  <c r="Y22" i="6"/>
  <c r="U13" i="6"/>
  <c r="Y12" i="6"/>
  <c r="Y32" i="6"/>
  <c r="U31" i="6"/>
  <c r="Y35" i="6"/>
  <c r="P28" i="6"/>
  <c r="R9" i="6"/>
  <c r="S9" i="6" s="1"/>
  <c r="J13" i="6"/>
  <c r="J14" i="6" s="1"/>
  <c r="J17" i="6" s="1"/>
  <c r="J18" i="6" s="1"/>
  <c r="X14" i="6"/>
  <c r="Y14" i="6" s="1"/>
  <c r="H15" i="6"/>
  <c r="Q23" i="6" s="1"/>
  <c r="T15" i="6"/>
  <c r="U15" i="6" s="1"/>
  <c r="X16" i="6"/>
  <c r="Y16" i="6" s="1"/>
  <c r="T17" i="6"/>
  <c r="U17" i="6" s="1"/>
  <c r="X18" i="6"/>
  <c r="Y18" i="6" s="1"/>
  <c r="V20" i="6"/>
  <c r="X23" i="6"/>
  <c r="Y23" i="6" s="1"/>
  <c r="V24" i="6"/>
  <c r="T25" i="6"/>
  <c r="U25" i="6" s="1"/>
  <c r="X26" i="6"/>
  <c r="Y26" i="6" s="1"/>
  <c r="R28" i="6"/>
  <c r="S28" i="6" s="1"/>
  <c r="Z28" i="6"/>
  <c r="V29" i="6"/>
  <c r="R30" i="6"/>
  <c r="S30" i="6" s="1"/>
  <c r="Z30" i="6"/>
  <c r="V31" i="6"/>
  <c r="R32" i="6"/>
  <c r="S32" i="6" s="1"/>
  <c r="Z32" i="6"/>
  <c r="V33" i="6"/>
  <c r="T34" i="6"/>
  <c r="U34" i="6" s="1"/>
  <c r="R36" i="6"/>
  <c r="S36" i="6" s="1"/>
  <c r="Z36" i="6"/>
  <c r="X37" i="6"/>
  <c r="Y37" i="6" s="1"/>
  <c r="N39" i="6"/>
  <c r="F43" i="6"/>
  <c r="F44" i="6" s="1"/>
  <c r="R11" i="6"/>
  <c r="S11" i="6" s="1"/>
  <c r="R35" i="6"/>
  <c r="S35" i="6" s="1"/>
  <c r="R12" i="6"/>
  <c r="S12" i="6" s="1"/>
  <c r="X19" i="6"/>
  <c r="Y19" i="6" s="1"/>
  <c r="V21" i="6"/>
  <c r="R22" i="6"/>
  <c r="S22" i="6" s="1"/>
  <c r="Z22" i="6"/>
  <c r="V27" i="6"/>
  <c r="T35" i="6"/>
  <c r="U35" i="6" s="1"/>
  <c r="R14" i="6"/>
  <c r="S14" i="6" s="1"/>
  <c r="Z14" i="6"/>
  <c r="V15" i="6"/>
  <c r="R16" i="6"/>
  <c r="S16" i="6" s="1"/>
  <c r="Z16" i="6"/>
  <c r="V17" i="6"/>
  <c r="R18" i="6"/>
  <c r="S18" i="6" s="1"/>
  <c r="Z18" i="6"/>
  <c r="X20" i="6"/>
  <c r="Y20" i="6" s="1"/>
  <c r="R23" i="6"/>
  <c r="S23" i="6" s="1"/>
  <c r="Z23" i="6"/>
  <c r="X24" i="6"/>
  <c r="Y24" i="6" s="1"/>
  <c r="V25" i="6"/>
  <c r="R26" i="6"/>
  <c r="S26" i="6" s="1"/>
  <c r="Z26" i="6"/>
  <c r="T28" i="6"/>
  <c r="U28" i="6" s="1"/>
  <c r="X29" i="6"/>
  <c r="Y29" i="6" s="1"/>
  <c r="H30" i="6"/>
  <c r="W17" i="6" s="1"/>
  <c r="T30" i="6"/>
  <c r="U30" i="6" s="1"/>
  <c r="X31" i="6"/>
  <c r="Y31" i="6" s="1"/>
  <c r="T32" i="6"/>
  <c r="U32" i="6" s="1"/>
  <c r="X33" i="6"/>
  <c r="Y33" i="6" s="1"/>
  <c r="V34" i="6"/>
  <c r="T36" i="6"/>
  <c r="U36" i="6" s="1"/>
  <c r="R37" i="6"/>
  <c r="S37" i="6" s="1"/>
  <c r="Z37" i="6"/>
  <c r="F45" i="6"/>
  <c r="AA13" i="6" s="1"/>
  <c r="R19" i="6"/>
  <c r="S19" i="6" s="1"/>
  <c r="T22" i="6"/>
  <c r="U22" i="6" s="1"/>
  <c r="X27" i="6"/>
  <c r="Y27" i="6" s="1"/>
  <c r="J28" i="6"/>
  <c r="J29" i="6" s="1"/>
  <c r="J30" i="6"/>
  <c r="V35" i="6"/>
  <c r="R7" i="6"/>
  <c r="S7" i="6" s="1"/>
  <c r="R8" i="6"/>
  <c r="S8" i="6" s="1"/>
  <c r="R10" i="6"/>
  <c r="S10" i="6" s="1"/>
  <c r="T14" i="6"/>
  <c r="U14" i="6" s="1"/>
  <c r="X15" i="6"/>
  <c r="Y15" i="6" s="1"/>
  <c r="T16" i="6"/>
  <c r="U16" i="6" s="1"/>
  <c r="X17" i="6"/>
  <c r="Y17" i="6" s="1"/>
  <c r="T18" i="6"/>
  <c r="U18" i="6" s="1"/>
  <c r="R20" i="6"/>
  <c r="S20" i="6" s="1"/>
  <c r="Z20" i="6"/>
  <c r="T23" i="6"/>
  <c r="U23" i="6" s="1"/>
  <c r="R24" i="6"/>
  <c r="S24" i="6" s="1"/>
  <c r="Z24" i="6"/>
  <c r="X25" i="6"/>
  <c r="Y25" i="6" s="1"/>
  <c r="T26" i="6"/>
  <c r="U26" i="6" s="1"/>
  <c r="V28" i="6"/>
  <c r="R29" i="6"/>
  <c r="S29" i="6" s="1"/>
  <c r="Z29" i="6"/>
  <c r="V30" i="6"/>
  <c r="R31" i="6"/>
  <c r="S31" i="6" s="1"/>
  <c r="Z31" i="6"/>
  <c r="V32" i="6"/>
  <c r="R33" i="6"/>
  <c r="S33" i="6" s="1"/>
  <c r="Z33" i="6"/>
  <c r="X34" i="6"/>
  <c r="Y34" i="6" s="1"/>
  <c r="V36" i="6"/>
  <c r="T37" i="6"/>
  <c r="U37" i="6" s="1"/>
  <c r="R13" i="6"/>
  <c r="S13" i="6" s="1"/>
  <c r="T19" i="6"/>
  <c r="U19" i="6" s="1"/>
  <c r="R21" i="6"/>
  <c r="S21" i="6" s="1"/>
  <c r="Z21" i="6"/>
  <c r="V22" i="6"/>
  <c r="N33" i="5"/>
  <c r="N31" i="5"/>
  <c r="N29" i="5"/>
  <c r="N24" i="5"/>
  <c r="N20" i="5"/>
  <c r="N7" i="5"/>
  <c r="N19" i="5"/>
  <c r="N16" i="5"/>
  <c r="N14" i="5"/>
  <c r="O14" i="5" s="1"/>
  <c r="N37" i="5"/>
  <c r="N26" i="5"/>
  <c r="N23" i="5"/>
  <c r="N18" i="5"/>
  <c r="N12" i="5"/>
  <c r="N27" i="5"/>
  <c r="N21" i="5"/>
  <c r="N8" i="5"/>
  <c r="N22" i="5"/>
  <c r="F12" i="5"/>
  <c r="F13" i="5" s="1"/>
  <c r="N9" i="5"/>
  <c r="N36" i="5"/>
  <c r="N32" i="5"/>
  <c r="N30" i="5"/>
  <c r="N28" i="5"/>
  <c r="N11" i="5"/>
  <c r="O11" i="5" s="1"/>
  <c r="N35" i="5"/>
  <c r="N17" i="5"/>
  <c r="N15" i="5"/>
  <c r="N10" i="5"/>
  <c r="N34" i="5"/>
  <c r="N25" i="5"/>
  <c r="O25" i="5" s="1"/>
  <c r="N13" i="5"/>
  <c r="P37" i="5"/>
  <c r="Q37" i="5" s="1"/>
  <c r="P26" i="5"/>
  <c r="Q26" i="5" s="1"/>
  <c r="P23" i="5"/>
  <c r="P18" i="5"/>
  <c r="H13" i="5"/>
  <c r="H14" i="5" s="1"/>
  <c r="P12" i="5"/>
  <c r="P22" i="5"/>
  <c r="Q22" i="5" s="1"/>
  <c r="P9" i="5"/>
  <c r="Q9" i="5" s="1"/>
  <c r="P36" i="5"/>
  <c r="Q36" i="5" s="1"/>
  <c r="P32" i="5"/>
  <c r="Q32" i="5" s="1"/>
  <c r="P30" i="5"/>
  <c r="Q30" i="5" s="1"/>
  <c r="P28" i="5"/>
  <c r="P11" i="5"/>
  <c r="P35" i="5"/>
  <c r="P17" i="5"/>
  <c r="Q17" i="5" s="1"/>
  <c r="P15" i="5"/>
  <c r="Q15" i="5" s="1"/>
  <c r="P19" i="5"/>
  <c r="Q19" i="5" s="1"/>
  <c r="P34" i="5"/>
  <c r="Q34" i="5" s="1"/>
  <c r="P25" i="5"/>
  <c r="Q25" i="5" s="1"/>
  <c r="P13" i="5"/>
  <c r="P27" i="5"/>
  <c r="P21" i="5"/>
  <c r="P10" i="5"/>
  <c r="Q10" i="5" s="1"/>
  <c r="P8" i="5"/>
  <c r="P16" i="5"/>
  <c r="Q16" i="5" s="1"/>
  <c r="P33" i="5"/>
  <c r="Q33" i="5" s="1"/>
  <c r="P31" i="5"/>
  <c r="Q31" i="5" s="1"/>
  <c r="P29" i="5"/>
  <c r="P24" i="5"/>
  <c r="P20" i="5"/>
  <c r="P7" i="5"/>
  <c r="Q7" i="5" s="1"/>
  <c r="P14" i="5"/>
  <c r="Q14" i="5" s="1"/>
  <c r="AA14" i="5"/>
  <c r="Q28" i="5"/>
  <c r="Q11" i="5"/>
  <c r="Q12" i="5"/>
  <c r="Q35" i="5"/>
  <c r="Q13" i="5"/>
  <c r="Q23" i="5"/>
  <c r="Q27" i="5"/>
  <c r="Q21" i="5"/>
  <c r="Q8" i="5"/>
  <c r="Q29" i="5"/>
  <c r="Q24" i="5"/>
  <c r="Q20" i="5"/>
  <c r="Q18" i="5"/>
  <c r="H17" i="5"/>
  <c r="H18" i="5" s="1"/>
  <c r="R36" i="5"/>
  <c r="S36" i="5" s="1"/>
  <c r="R32" i="5"/>
  <c r="R30" i="5"/>
  <c r="R28" i="5"/>
  <c r="R11" i="5"/>
  <c r="R9" i="5"/>
  <c r="R35" i="5"/>
  <c r="R17" i="5"/>
  <c r="R15" i="5"/>
  <c r="R34" i="5"/>
  <c r="R25" i="5"/>
  <c r="R13" i="5"/>
  <c r="R27" i="5"/>
  <c r="R21" i="5"/>
  <c r="R10" i="5"/>
  <c r="R8" i="5"/>
  <c r="R33" i="5"/>
  <c r="R31" i="5"/>
  <c r="R29" i="5"/>
  <c r="S29" i="5" s="1"/>
  <c r="R24" i="5"/>
  <c r="R20" i="5"/>
  <c r="R7" i="5"/>
  <c r="R19" i="5"/>
  <c r="R16" i="5"/>
  <c r="R14" i="5"/>
  <c r="R22" i="5"/>
  <c r="R37" i="5"/>
  <c r="S37" i="5" s="1"/>
  <c r="R26" i="5"/>
  <c r="R23" i="5"/>
  <c r="R18" i="5"/>
  <c r="R12" i="5"/>
  <c r="J13" i="5"/>
  <c r="J14" i="5" s="1"/>
  <c r="X7" i="5"/>
  <c r="Y7" i="5" s="1"/>
  <c r="T11" i="5"/>
  <c r="Z12" i="5"/>
  <c r="V13" i="5"/>
  <c r="Y14" i="5"/>
  <c r="J15" i="5"/>
  <c r="U15" i="5"/>
  <c r="Y16" i="5"/>
  <c r="U17" i="5"/>
  <c r="Z18" i="5"/>
  <c r="Y19" i="5"/>
  <c r="X20" i="5"/>
  <c r="Y20" i="5" s="1"/>
  <c r="Z23" i="5"/>
  <c r="X24" i="5"/>
  <c r="V25" i="5"/>
  <c r="Z26" i="5"/>
  <c r="O27" i="5"/>
  <c r="T28" i="5"/>
  <c r="U28" i="5" s="1"/>
  <c r="X29" i="5"/>
  <c r="Y29" i="5" s="1"/>
  <c r="H30" i="5"/>
  <c r="T30" i="5"/>
  <c r="U30" i="5" s="1"/>
  <c r="X31" i="5"/>
  <c r="T32" i="5"/>
  <c r="U32" i="5" s="1"/>
  <c r="X33" i="5"/>
  <c r="V34" i="5"/>
  <c r="T36" i="5"/>
  <c r="Z37" i="5"/>
  <c r="U34" i="5"/>
  <c r="T35" i="5"/>
  <c r="U35" i="5" s="1"/>
  <c r="T9" i="5"/>
  <c r="U9" i="5" s="1"/>
  <c r="U11" i="5"/>
  <c r="Z14" i="5"/>
  <c r="V15" i="5"/>
  <c r="Z16" i="5"/>
  <c r="V17" i="5"/>
  <c r="Z19" i="5"/>
  <c r="X21" i="5"/>
  <c r="Y21" i="5" s="1"/>
  <c r="T22" i="5"/>
  <c r="U22" i="5" s="1"/>
  <c r="Y24" i="5"/>
  <c r="X27" i="5"/>
  <c r="Y27" i="5" s="1"/>
  <c r="J28" i="5"/>
  <c r="J29" i="5" s="1"/>
  <c r="J32" i="5" s="1"/>
  <c r="J33" i="5" s="1"/>
  <c r="J30" i="5"/>
  <c r="Y31" i="5"/>
  <c r="Y33" i="5"/>
  <c r="O34" i="5"/>
  <c r="V35" i="5"/>
  <c r="U36" i="5"/>
  <c r="F43" i="5"/>
  <c r="F44" i="5" s="1"/>
  <c r="V27" i="5"/>
  <c r="Z7" i="5"/>
  <c r="Y8" i="5"/>
  <c r="Y10" i="5"/>
  <c r="V11" i="5"/>
  <c r="T12" i="5"/>
  <c r="U12" i="5" s="1"/>
  <c r="X13" i="5"/>
  <c r="Y13" i="5" s="1"/>
  <c r="F14" i="5"/>
  <c r="O15" i="5" s="1"/>
  <c r="T18" i="5"/>
  <c r="U18" i="5" s="1"/>
  <c r="Z20" i="5"/>
  <c r="T23" i="5"/>
  <c r="U23" i="5" s="1"/>
  <c r="Z24" i="5"/>
  <c r="AA24" i="5" s="1"/>
  <c r="X25" i="5"/>
  <c r="Y25" i="5" s="1"/>
  <c r="T26" i="5"/>
  <c r="U26" i="5" s="1"/>
  <c r="V28" i="5"/>
  <c r="Z29" i="5"/>
  <c r="V30" i="5"/>
  <c r="Z31" i="5"/>
  <c r="V32" i="5"/>
  <c r="Z33" i="5"/>
  <c r="X34" i="5"/>
  <c r="Y34" i="5" s="1"/>
  <c r="V36" i="5"/>
  <c r="T37" i="5"/>
  <c r="U37" i="5" s="1"/>
  <c r="Z8" i="5"/>
  <c r="V9" i="5"/>
  <c r="Z10" i="5"/>
  <c r="T14" i="5"/>
  <c r="U14" i="5" s="1"/>
  <c r="X15" i="5"/>
  <c r="Y15" i="5" s="1"/>
  <c r="T16" i="5"/>
  <c r="U16" i="5" s="1"/>
  <c r="X17" i="5"/>
  <c r="Y17" i="5" s="1"/>
  <c r="T19" i="5"/>
  <c r="U19" i="5" s="1"/>
  <c r="Z21" i="5"/>
  <c r="V22" i="5"/>
  <c r="Z27" i="5"/>
  <c r="F29" i="5"/>
  <c r="F30" i="5" s="1"/>
  <c r="F33" i="5" s="1"/>
  <c r="F34" i="5" s="1"/>
  <c r="O30" i="5"/>
  <c r="O32" i="5"/>
  <c r="X35" i="5"/>
  <c r="Y35" i="5" s="1"/>
  <c r="O36" i="5"/>
  <c r="F45" i="5"/>
  <c r="AA9" i="5" s="1"/>
  <c r="Y37" i="5"/>
  <c r="T7" i="5"/>
  <c r="U7" i="5" s="1"/>
  <c r="O9" i="5"/>
  <c r="X11" i="5"/>
  <c r="V12" i="5"/>
  <c r="Z13" i="5"/>
  <c r="V18" i="5"/>
  <c r="T20" i="5"/>
  <c r="O22" i="5"/>
  <c r="V23" i="5"/>
  <c r="T24" i="5"/>
  <c r="U24" i="5" s="1"/>
  <c r="Z25" i="5"/>
  <c r="V26" i="5"/>
  <c r="X28" i="5"/>
  <c r="Y28" i="5" s="1"/>
  <c r="T29" i="5"/>
  <c r="X30" i="5"/>
  <c r="Y30" i="5" s="1"/>
  <c r="T31" i="5"/>
  <c r="X32" i="5"/>
  <c r="Y32" i="5" s="1"/>
  <c r="T33" i="5"/>
  <c r="U33" i="5" s="1"/>
  <c r="Z34" i="5"/>
  <c r="X36" i="5"/>
  <c r="Y36" i="5" s="1"/>
  <c r="V37" i="5"/>
  <c r="T8" i="5"/>
  <c r="U8" i="5" s="1"/>
  <c r="T10" i="5"/>
  <c r="Y11" i="5"/>
  <c r="O12" i="5"/>
  <c r="V14" i="5"/>
  <c r="Z15" i="5"/>
  <c r="V16" i="5"/>
  <c r="Z17" i="5"/>
  <c r="O18" i="5"/>
  <c r="V19" i="5"/>
  <c r="U20" i="5"/>
  <c r="T21" i="5"/>
  <c r="U21" i="5" s="1"/>
  <c r="X22" i="5"/>
  <c r="Y22" i="5" s="1"/>
  <c r="O23" i="5"/>
  <c r="O26" i="5"/>
  <c r="T27" i="5"/>
  <c r="U27" i="5" s="1"/>
  <c r="U29" i="5"/>
  <c r="U31" i="5"/>
  <c r="Z35" i="5"/>
  <c r="O37" i="5"/>
  <c r="V7" i="5"/>
  <c r="Y9" i="5"/>
  <c r="U10" i="5"/>
  <c r="Z11" i="5"/>
  <c r="X12" i="5"/>
  <c r="Y12" i="5" s="1"/>
  <c r="T13" i="5"/>
  <c r="U13" i="5" s="1"/>
  <c r="F15" i="5"/>
  <c r="F16" i="5" s="1"/>
  <c r="X18" i="5"/>
  <c r="Y18" i="5" s="1"/>
  <c r="V20" i="5"/>
  <c r="X23" i="5"/>
  <c r="Y23" i="5" s="1"/>
  <c r="V24" i="5"/>
  <c r="T25" i="5"/>
  <c r="U25" i="5" s="1"/>
  <c r="X26" i="5"/>
  <c r="Y26" i="5" s="1"/>
  <c r="Z28" i="5"/>
  <c r="V29" i="5"/>
  <c r="Z30" i="5"/>
  <c r="V31" i="5"/>
  <c r="V33" i="5"/>
  <c r="T17" i="2"/>
  <c r="T15" i="2"/>
  <c r="T32" i="2"/>
  <c r="T25" i="2"/>
  <c r="V16" i="2"/>
  <c r="T22" i="2"/>
  <c r="V7" i="2"/>
  <c r="V29" i="2"/>
  <c r="T28" i="2"/>
  <c r="V12" i="2"/>
  <c r="T13" i="2"/>
  <c r="V35" i="2"/>
  <c r="V19" i="2"/>
  <c r="T18" i="2"/>
  <c r="V34" i="2"/>
  <c r="J16" i="4"/>
  <c r="F11" i="4"/>
  <c r="F10" i="2"/>
  <c r="N21" i="4"/>
  <c r="T34" i="4"/>
  <c r="V33" i="4"/>
  <c r="V31" i="4"/>
  <c r="W31" i="4" s="1"/>
  <c r="V29" i="4"/>
  <c r="T25" i="4"/>
  <c r="V24" i="4"/>
  <c r="V20" i="4"/>
  <c r="T13" i="4"/>
  <c r="V7" i="4"/>
  <c r="T27" i="4"/>
  <c r="T21" i="4"/>
  <c r="V19" i="4"/>
  <c r="V16" i="4"/>
  <c r="V14" i="4"/>
  <c r="T10" i="4"/>
  <c r="T8" i="4"/>
  <c r="V37" i="4"/>
  <c r="T33" i="4"/>
  <c r="T31" i="4"/>
  <c r="T29" i="4"/>
  <c r="V26" i="4"/>
  <c r="T24" i="4"/>
  <c r="V23" i="4"/>
  <c r="T20" i="4"/>
  <c r="V18" i="4"/>
  <c r="V12" i="4"/>
  <c r="T7" i="4"/>
  <c r="F29" i="4"/>
  <c r="F30" i="4" s="1"/>
  <c r="V22" i="4"/>
  <c r="T19" i="4"/>
  <c r="T16" i="4"/>
  <c r="T14" i="4"/>
  <c r="V9" i="4"/>
  <c r="T37" i="4"/>
  <c r="V36" i="4"/>
  <c r="W36" i="4" s="1"/>
  <c r="V32" i="4"/>
  <c r="V30" i="4"/>
  <c r="V28" i="4"/>
  <c r="T26" i="4"/>
  <c r="T23" i="4"/>
  <c r="T18" i="4"/>
  <c r="T12" i="4"/>
  <c r="V11" i="4"/>
  <c r="V35" i="4"/>
  <c r="T36" i="4"/>
  <c r="V34" i="4"/>
  <c r="T32" i="4"/>
  <c r="T30" i="4"/>
  <c r="T28" i="4"/>
  <c r="V25" i="4"/>
  <c r="V13" i="4"/>
  <c r="W13" i="4" s="1"/>
  <c r="T11" i="4"/>
  <c r="T35" i="4"/>
  <c r="J30" i="4"/>
  <c r="R19" i="4"/>
  <c r="V15" i="4"/>
  <c r="W15" i="4" s="1"/>
  <c r="H16" i="4"/>
  <c r="H10" i="4"/>
  <c r="X14" i="4"/>
  <c r="V21" i="4"/>
  <c r="T22" i="4"/>
  <c r="X27" i="4"/>
  <c r="T15" i="4"/>
  <c r="N8" i="4"/>
  <c r="R36" i="4"/>
  <c r="R32" i="4"/>
  <c r="R30" i="4"/>
  <c r="R28" i="4"/>
  <c r="R11" i="4"/>
  <c r="R21" i="4"/>
  <c r="R35" i="4"/>
  <c r="R17" i="4"/>
  <c r="S17" i="4" s="1"/>
  <c r="R15" i="4"/>
  <c r="R8" i="4"/>
  <c r="R34" i="4"/>
  <c r="R25" i="4"/>
  <c r="R13" i="4"/>
  <c r="R10" i="4"/>
  <c r="R27" i="4"/>
  <c r="R33" i="4"/>
  <c r="S33" i="4" s="1"/>
  <c r="R31" i="4"/>
  <c r="R29" i="4"/>
  <c r="R24" i="4"/>
  <c r="R20" i="4"/>
  <c r="R7" i="4"/>
  <c r="R37" i="4"/>
  <c r="R26" i="4"/>
  <c r="R23" i="4"/>
  <c r="R18" i="4"/>
  <c r="R12" i="4"/>
  <c r="V10" i="4"/>
  <c r="Z14" i="4"/>
  <c r="N17" i="4"/>
  <c r="X21" i="4"/>
  <c r="Z22" i="4"/>
  <c r="Z16" i="4"/>
  <c r="R22" i="4"/>
  <c r="R9" i="4"/>
  <c r="T17" i="4"/>
  <c r="Z32" i="4"/>
  <c r="Z30" i="4"/>
  <c r="Z28" i="4"/>
  <c r="X26" i="4"/>
  <c r="X23" i="4"/>
  <c r="X18" i="4"/>
  <c r="X12" i="4"/>
  <c r="Z11" i="4"/>
  <c r="X17" i="4"/>
  <c r="X22" i="4"/>
  <c r="Z17" i="4"/>
  <c r="Z15" i="4"/>
  <c r="X9" i="4"/>
  <c r="Z21" i="4"/>
  <c r="X15" i="4"/>
  <c r="Z10" i="4"/>
  <c r="Z25" i="4"/>
  <c r="Z13" i="4"/>
  <c r="X11" i="4"/>
  <c r="Z8" i="4"/>
  <c r="F45" i="4"/>
  <c r="AA34" i="4" s="1"/>
  <c r="X35" i="4"/>
  <c r="Z27" i="4"/>
  <c r="Z31" i="4"/>
  <c r="Z29" i="4"/>
  <c r="Z24" i="4"/>
  <c r="Z20" i="4"/>
  <c r="F14" i="4"/>
  <c r="X13" i="4"/>
  <c r="Z7" i="4"/>
  <c r="F43" i="4"/>
  <c r="F44" i="4" s="1"/>
  <c r="Z37" i="4"/>
  <c r="H30" i="4"/>
  <c r="W29" i="4" s="1"/>
  <c r="X29" i="4"/>
  <c r="Z26" i="4"/>
  <c r="X24" i="4"/>
  <c r="Z23" i="4"/>
  <c r="X20" i="4"/>
  <c r="Z18" i="4"/>
  <c r="J15" i="4"/>
  <c r="S8" i="4" s="1"/>
  <c r="Z12" i="4"/>
  <c r="X7" i="4"/>
  <c r="N27" i="4"/>
  <c r="N33" i="4"/>
  <c r="N31" i="4"/>
  <c r="N29" i="4"/>
  <c r="N24" i="4"/>
  <c r="N20" i="4"/>
  <c r="N7" i="4"/>
  <c r="N19" i="4"/>
  <c r="N16" i="4"/>
  <c r="N14" i="4"/>
  <c r="N37" i="4"/>
  <c r="N26" i="4"/>
  <c r="N23" i="4"/>
  <c r="N18" i="4"/>
  <c r="N12" i="4"/>
  <c r="N22" i="4"/>
  <c r="N9" i="4"/>
  <c r="F12" i="4"/>
  <c r="F13" i="4" s="1"/>
  <c r="N36" i="4"/>
  <c r="N32" i="4"/>
  <c r="N30" i="4"/>
  <c r="N28" i="4"/>
  <c r="N11" i="4"/>
  <c r="N35" i="4"/>
  <c r="N34" i="4"/>
  <c r="N25" i="4"/>
  <c r="N13" i="4"/>
  <c r="Z19" i="4"/>
  <c r="S13" i="4"/>
  <c r="S27" i="4"/>
  <c r="V8" i="4"/>
  <c r="W8" i="4" s="1"/>
  <c r="T9" i="4"/>
  <c r="H15" i="4"/>
  <c r="R16" i="4"/>
  <c r="S16" i="4" s="1"/>
  <c r="V17" i="4"/>
  <c r="W17" i="4" s="1"/>
  <c r="W20" i="4"/>
  <c r="F24" i="4"/>
  <c r="F32" i="4" s="1"/>
  <c r="F31" i="4"/>
  <c r="H28" i="4"/>
  <c r="H29" i="4" s="1"/>
  <c r="H32" i="4" s="1"/>
  <c r="H33" i="4" s="1"/>
  <c r="J28" i="4"/>
  <c r="J29" i="4" s="1"/>
  <c r="W19" i="4"/>
  <c r="W16" i="4"/>
  <c r="W14" i="4"/>
  <c r="W26" i="4"/>
  <c r="W23" i="4"/>
  <c r="W11" i="4"/>
  <c r="W22" i="4"/>
  <c r="W32" i="4"/>
  <c r="W30" i="4"/>
  <c r="W28" i="4"/>
  <c r="W35" i="4"/>
  <c r="W27" i="4"/>
  <c r="W21" i="4"/>
  <c r="W10" i="4"/>
  <c r="X19" i="4"/>
  <c r="R14" i="4"/>
  <c r="S14" i="4" s="1"/>
  <c r="X10" i="4"/>
  <c r="X8" i="4"/>
  <c r="Z9" i="4"/>
  <c r="N15" i="4"/>
  <c r="X16" i="4"/>
  <c r="X37" i="4"/>
  <c r="S28" i="4"/>
  <c r="Z36" i="4"/>
  <c r="X31" i="4"/>
  <c r="X33" i="4"/>
  <c r="X25" i="4"/>
  <c r="Z33" i="4"/>
  <c r="X34" i="4"/>
  <c r="X28" i="4"/>
  <c r="X30" i="4"/>
  <c r="X32" i="4"/>
  <c r="Z34" i="4"/>
  <c r="X36" i="4"/>
  <c r="Z35" i="4"/>
  <c r="J9" i="2"/>
  <c r="J16" i="2" s="1"/>
  <c r="H9" i="2"/>
  <c r="H10" i="2" s="1"/>
  <c r="P32" i="2"/>
  <c r="P17" i="2"/>
  <c r="P22" i="2"/>
  <c r="P20" i="2"/>
  <c r="H16" i="2"/>
  <c r="B14" i="2"/>
  <c r="Z12" i="2" s="1"/>
  <c r="B3" i="2"/>
  <c r="B1" i="2"/>
  <c r="B5" i="3"/>
  <c r="B22" i="3" s="1"/>
  <c r="D75" i="3"/>
  <c r="D74" i="3"/>
  <c r="D73" i="3"/>
  <c r="D72" i="3"/>
  <c r="D71" i="3"/>
  <c r="D70" i="3"/>
  <c r="B70" i="3"/>
  <c r="D69" i="3"/>
  <c r="B69" i="3"/>
  <c r="B52" i="3"/>
  <c r="B50" i="3"/>
  <c r="B47" i="3"/>
  <c r="B17" i="3"/>
  <c r="B49" i="3" s="1"/>
  <c r="B16" i="3"/>
  <c r="B48" i="3" s="1"/>
  <c r="B53" i="3" s="1"/>
  <c r="B7" i="3"/>
  <c r="B7" i="1"/>
  <c r="B70" i="1"/>
  <c r="B69" i="1"/>
  <c r="B47" i="1"/>
  <c r="B17" i="1"/>
  <c r="B16" i="1"/>
  <c r="B5" i="1"/>
  <c r="B10" i="1" s="1"/>
  <c r="B11" i="1" s="1"/>
  <c r="D69" i="1"/>
  <c r="D75" i="1"/>
  <c r="D73" i="1"/>
  <c r="D72" i="1"/>
  <c r="D71" i="1"/>
  <c r="D70" i="1"/>
  <c r="B50" i="1"/>
  <c r="B22" i="1"/>
  <c r="B24" i="1" s="1"/>
  <c r="B63" i="1" s="1"/>
  <c r="E63" i="1" s="1"/>
  <c r="B49" i="1"/>
  <c r="B48" i="1"/>
  <c r="W24" i="6" l="1"/>
  <c r="V26" i="2"/>
  <c r="V11" i="2"/>
  <c r="V13" i="2"/>
  <c r="T20" i="2"/>
  <c r="V30" i="2"/>
  <c r="T24" i="2"/>
  <c r="T9" i="2"/>
  <c r="V31" i="2"/>
  <c r="AA25" i="6"/>
  <c r="O32" i="6"/>
  <c r="X20" i="2"/>
  <c r="Z13" i="2"/>
  <c r="X14" i="2"/>
  <c r="Z16" i="2"/>
  <c r="V10" i="2"/>
  <c r="X19" i="2"/>
  <c r="P37" i="2"/>
  <c r="S22" i="4"/>
  <c r="S31" i="4"/>
  <c r="S15" i="4"/>
  <c r="S36" i="4"/>
  <c r="W9" i="4"/>
  <c r="W18" i="4"/>
  <c r="W37" i="4"/>
  <c r="W7" i="4"/>
  <c r="T10" i="2"/>
  <c r="V27" i="2"/>
  <c r="T37" i="2"/>
  <c r="T36" i="2"/>
  <c r="T14" i="2"/>
  <c r="F29" i="2"/>
  <c r="F30" i="2" s="1"/>
  <c r="V24" i="2"/>
  <c r="O28" i="5"/>
  <c r="O21" i="5"/>
  <c r="O16" i="5"/>
  <c r="W32" i="6"/>
  <c r="J32" i="6"/>
  <c r="J33" i="6" s="1"/>
  <c r="W20" i="6"/>
  <c r="AA7" i="6"/>
  <c r="X36" i="2"/>
  <c r="Z29" i="2"/>
  <c r="X30" i="2"/>
  <c r="Z32" i="2"/>
  <c r="X35" i="2"/>
  <c r="W30" i="6"/>
  <c r="AA31" i="6"/>
  <c r="AB31" i="6" s="1"/>
  <c r="AD31" i="6" s="1"/>
  <c r="Z37" i="2"/>
  <c r="X7" i="2"/>
  <c r="X8" i="2"/>
  <c r="Z11" i="2"/>
  <c r="S12" i="4"/>
  <c r="F12" i="2"/>
  <c r="F13" i="2" s="1"/>
  <c r="T26" i="2"/>
  <c r="T11" i="2"/>
  <c r="V20" i="2"/>
  <c r="V37" i="2"/>
  <c r="T30" i="2"/>
  <c r="V17" i="2"/>
  <c r="T33" i="2"/>
  <c r="W35" i="6"/>
  <c r="W25" i="6"/>
  <c r="W33" i="6"/>
  <c r="X13" i="2"/>
  <c r="Z14" i="2"/>
  <c r="X16" i="2"/>
  <c r="Z19" i="2"/>
  <c r="H28" i="2"/>
  <c r="H29" i="2" s="1"/>
  <c r="P29" i="2"/>
  <c r="J17" i="4"/>
  <c r="J18" i="4" s="1"/>
  <c r="T34" i="2"/>
  <c r="T19" i="2"/>
  <c r="V28" i="2"/>
  <c r="T29" i="2"/>
  <c r="T7" i="2"/>
  <c r="T8" i="2"/>
  <c r="V25" i="2"/>
  <c r="AA27" i="5"/>
  <c r="O35" i="5"/>
  <c r="O17" i="5"/>
  <c r="S35" i="5"/>
  <c r="W29" i="6"/>
  <c r="W8" i="6"/>
  <c r="O12" i="6"/>
  <c r="O7" i="6"/>
  <c r="O35" i="6"/>
  <c r="O29" i="6"/>
  <c r="O25" i="6"/>
  <c r="F15" i="6"/>
  <c r="F16" i="6" s="1"/>
  <c r="O16" i="6"/>
  <c r="Z20" i="2"/>
  <c r="X21" i="2"/>
  <c r="Z22" i="2"/>
  <c r="X24" i="2"/>
  <c r="Z27" i="2"/>
  <c r="F45" i="2"/>
  <c r="F31" i="2"/>
  <c r="J15" i="2"/>
  <c r="Z23" i="2"/>
  <c r="F43" i="2"/>
  <c r="F44" i="2" s="1"/>
  <c r="X31" i="2"/>
  <c r="J30" i="2"/>
  <c r="Z25" i="2"/>
  <c r="X15" i="2"/>
  <c r="X25" i="2"/>
  <c r="Z10" i="2"/>
  <c r="X10" i="2"/>
  <c r="H30" i="2"/>
  <c r="H15" i="2"/>
  <c r="Z9" i="2"/>
  <c r="X9" i="2"/>
  <c r="X33" i="2"/>
  <c r="Z26" i="2"/>
  <c r="X26" i="2"/>
  <c r="T23" i="2"/>
  <c r="Z33" i="2"/>
  <c r="X18" i="2"/>
  <c r="Z18" i="2"/>
  <c r="X34" i="2"/>
  <c r="F14" i="2"/>
  <c r="Z15" i="2"/>
  <c r="Z31" i="2"/>
  <c r="X23" i="2"/>
  <c r="J28" i="2"/>
  <c r="J29" i="2" s="1"/>
  <c r="Z17" i="2"/>
  <c r="X17" i="2"/>
  <c r="Z34" i="2"/>
  <c r="S19" i="4"/>
  <c r="V21" i="2"/>
  <c r="W21" i="2" s="1"/>
  <c r="T27" i="2"/>
  <c r="V36" i="2"/>
  <c r="W36" i="2" s="1"/>
  <c r="V14" i="2"/>
  <c r="W14" i="2" s="1"/>
  <c r="V15" i="2"/>
  <c r="T31" i="2"/>
  <c r="T16" i="2"/>
  <c r="W37" i="6"/>
  <c r="W27" i="6"/>
  <c r="O34" i="6"/>
  <c r="O28" i="6"/>
  <c r="Q32" i="6"/>
  <c r="Z28" i="2"/>
  <c r="X29" i="2"/>
  <c r="Z30" i="2"/>
  <c r="X32" i="2"/>
  <c r="Z35" i="2"/>
  <c r="X12" i="2"/>
  <c r="W9" i="6"/>
  <c r="P23" i="2"/>
  <c r="V18" i="2"/>
  <c r="W18" i="2" s="1"/>
  <c r="T21" i="2"/>
  <c r="T35" i="2"/>
  <c r="U35" i="2" s="1"/>
  <c r="T12" i="2"/>
  <c r="U12" i="2" s="1"/>
  <c r="V22" i="2"/>
  <c r="W22" i="2" s="1"/>
  <c r="V33" i="2"/>
  <c r="V23" i="2"/>
  <c r="V8" i="2"/>
  <c r="O19" i="5"/>
  <c r="W14" i="6"/>
  <c r="O8" i="6"/>
  <c r="O38" i="6" s="1"/>
  <c r="O39" i="6" s="1"/>
  <c r="O33" i="6"/>
  <c r="O37" i="6"/>
  <c r="O30" i="6"/>
  <c r="O23" i="6"/>
  <c r="Z36" i="2"/>
  <c r="X37" i="2"/>
  <c r="Z7" i="2"/>
  <c r="Z8" i="2"/>
  <c r="V9" i="2"/>
  <c r="X11" i="2"/>
  <c r="V32" i="2"/>
  <c r="E24" i="1"/>
  <c r="Q34" i="6"/>
  <c r="Q10" i="6"/>
  <c r="Q27" i="6"/>
  <c r="Q36" i="6"/>
  <c r="Q15" i="6"/>
  <c r="Q11" i="6"/>
  <c r="Q31" i="6"/>
  <c r="S38" i="6"/>
  <c r="S39" i="6" s="1"/>
  <c r="W12" i="6"/>
  <c r="W22" i="6"/>
  <c r="W31" i="6"/>
  <c r="Q12" i="6"/>
  <c r="Q26" i="6"/>
  <c r="Q20" i="6"/>
  <c r="Q35" i="6"/>
  <c r="W36" i="6"/>
  <c r="AA9" i="6"/>
  <c r="AA14" i="6"/>
  <c r="AA19" i="6"/>
  <c r="AA33" i="6"/>
  <c r="H17" i="6"/>
  <c r="H18" i="6" s="1"/>
  <c r="Q37" i="6"/>
  <c r="Q24" i="6"/>
  <c r="Q30" i="6"/>
  <c r="AA28" i="6"/>
  <c r="AA16" i="6"/>
  <c r="F47" i="6"/>
  <c r="F48" i="6" s="1"/>
  <c r="W23" i="6"/>
  <c r="W21" i="6"/>
  <c r="W10" i="6"/>
  <c r="Q22" i="6"/>
  <c r="Q28" i="6"/>
  <c r="AB28" i="6" s="1"/>
  <c r="AD28" i="6" s="1"/>
  <c r="Q29" i="6"/>
  <c r="Q8" i="6"/>
  <c r="Y38" i="6"/>
  <c r="Y39" i="6" s="1"/>
  <c r="AA30" i="6"/>
  <c r="AA18" i="6"/>
  <c r="AA8" i="6"/>
  <c r="AA21" i="6"/>
  <c r="AB14" i="6"/>
  <c r="AD14" i="6" s="1"/>
  <c r="AA32" i="6"/>
  <c r="AB32" i="6" s="1"/>
  <c r="AD32" i="6" s="1"/>
  <c r="AA23" i="6"/>
  <c r="AA10" i="6"/>
  <c r="W13" i="6"/>
  <c r="W19" i="6"/>
  <c r="Q14" i="6"/>
  <c r="Q7" i="6"/>
  <c r="Q33" i="6"/>
  <c r="Q17" i="6"/>
  <c r="AA11" i="6"/>
  <c r="AA36" i="6"/>
  <c r="AA26" i="6"/>
  <c r="AA20" i="6"/>
  <c r="W28" i="6"/>
  <c r="W11" i="6"/>
  <c r="W34" i="6"/>
  <c r="AB34" i="6" s="1"/>
  <c r="AD34" i="6" s="1"/>
  <c r="W15" i="6"/>
  <c r="H32" i="6"/>
  <c r="H33" i="6" s="1"/>
  <c r="W26" i="6"/>
  <c r="W18" i="6"/>
  <c r="W7" i="6"/>
  <c r="Q16" i="6"/>
  <c r="Q19" i="6"/>
  <c r="Q13" i="6"/>
  <c r="Q25" i="6"/>
  <c r="AB25" i="6" s="1"/>
  <c r="AD25" i="6" s="1"/>
  <c r="AA35" i="6"/>
  <c r="AA34" i="6"/>
  <c r="AA37" i="6"/>
  <c r="AA24" i="6"/>
  <c r="AB24" i="6" s="1"/>
  <c r="AD24" i="6" s="1"/>
  <c r="W16" i="6"/>
  <c r="AB16" i="6" s="1"/>
  <c r="AD16" i="6" s="1"/>
  <c r="U38" i="6"/>
  <c r="U39" i="6" s="1"/>
  <c r="Q18" i="6"/>
  <c r="Q9" i="6"/>
  <c r="AB9" i="6" s="1"/>
  <c r="AD9" i="6" s="1"/>
  <c r="Q21" i="6"/>
  <c r="AB21" i="6" s="1"/>
  <c r="AD21" i="6" s="1"/>
  <c r="AA17" i="6"/>
  <c r="AA12" i="6"/>
  <c r="AA15" i="6"/>
  <c r="AA29" i="6"/>
  <c r="AA27" i="6"/>
  <c r="AB27" i="6" s="1"/>
  <c r="AD27" i="6" s="1"/>
  <c r="S17" i="5"/>
  <c r="W19" i="5"/>
  <c r="AA35" i="5"/>
  <c r="Q38" i="5"/>
  <c r="Q39" i="5" s="1"/>
  <c r="U38" i="5"/>
  <c r="U39" i="5" s="1"/>
  <c r="W29" i="5"/>
  <c r="W30" i="5"/>
  <c r="AA22" i="5"/>
  <c r="AA16" i="5"/>
  <c r="AA29" i="5"/>
  <c r="AA13" i="5"/>
  <c r="S9" i="5"/>
  <c r="S32" i="5"/>
  <c r="S31" i="5"/>
  <c r="S13" i="5"/>
  <c r="W8" i="5"/>
  <c r="W34" i="5"/>
  <c r="W32" i="5"/>
  <c r="W23" i="5"/>
  <c r="W18" i="5"/>
  <c r="O33" i="5"/>
  <c r="O31" i="5"/>
  <c r="O29" i="5"/>
  <c r="AB29" i="5" s="1"/>
  <c r="AD29" i="5" s="1"/>
  <c r="O24" i="5"/>
  <c r="O7" i="5"/>
  <c r="O20" i="5"/>
  <c r="O13" i="5"/>
  <c r="AA36" i="5"/>
  <c r="AA19" i="5"/>
  <c r="AA31" i="5"/>
  <c r="AA25" i="5"/>
  <c r="J17" i="5"/>
  <c r="J18" i="5" s="1"/>
  <c r="S14" i="5"/>
  <c r="S33" i="5"/>
  <c r="S25" i="5"/>
  <c r="W10" i="5"/>
  <c r="W15" i="5"/>
  <c r="W36" i="5"/>
  <c r="W26" i="5"/>
  <c r="AA12" i="5"/>
  <c r="AA28" i="5"/>
  <c r="AA33" i="5"/>
  <c r="AA34" i="5"/>
  <c r="S22" i="5"/>
  <c r="S16" i="5"/>
  <c r="S8" i="5"/>
  <c r="S34" i="5"/>
  <c r="W21" i="5"/>
  <c r="W17" i="5"/>
  <c r="W31" i="5"/>
  <c r="W37" i="5"/>
  <c r="O10" i="5"/>
  <c r="AA18" i="5"/>
  <c r="AA30" i="5"/>
  <c r="AA11" i="5"/>
  <c r="F47" i="5"/>
  <c r="F48" i="5" s="1"/>
  <c r="S12" i="5"/>
  <c r="S19" i="5"/>
  <c r="S10" i="5"/>
  <c r="S11" i="5"/>
  <c r="W27" i="5"/>
  <c r="W35" i="5"/>
  <c r="W9" i="5"/>
  <c r="AB9" i="5" s="1"/>
  <c r="AD9" i="5" s="1"/>
  <c r="W7" i="5"/>
  <c r="W25" i="5"/>
  <c r="Y38" i="5"/>
  <c r="Y39" i="5" s="1"/>
  <c r="O8" i="5"/>
  <c r="AA23" i="5"/>
  <c r="AA32" i="5"/>
  <c r="AA8" i="5"/>
  <c r="AA15" i="5"/>
  <c r="S18" i="5"/>
  <c r="AB18" i="5" s="1"/>
  <c r="AD18" i="5" s="1"/>
  <c r="S7" i="5"/>
  <c r="S21" i="5"/>
  <c r="S28" i="5"/>
  <c r="H32" i="5"/>
  <c r="H33" i="5" s="1"/>
  <c r="W20" i="5"/>
  <c r="W22" i="5"/>
  <c r="AB22" i="5" s="1"/>
  <c r="AD22" i="5" s="1"/>
  <c r="W14" i="5"/>
  <c r="AB34" i="5"/>
  <c r="AD34" i="5" s="1"/>
  <c r="AA26" i="5"/>
  <c r="AA7" i="5"/>
  <c r="AA10" i="5"/>
  <c r="AA17" i="5"/>
  <c r="S23" i="5"/>
  <c r="S20" i="5"/>
  <c r="S27" i="5"/>
  <c r="AB27" i="5" s="1"/>
  <c r="AD27" i="5" s="1"/>
  <c r="S15" i="5"/>
  <c r="AB15" i="5" s="1"/>
  <c r="AD15" i="5" s="1"/>
  <c r="W33" i="5"/>
  <c r="W11" i="5"/>
  <c r="W24" i="5"/>
  <c r="W16" i="5"/>
  <c r="AB32" i="5"/>
  <c r="AD32" i="5" s="1"/>
  <c r="AA37" i="5"/>
  <c r="AA20" i="5"/>
  <c r="AA21" i="5"/>
  <c r="S26" i="5"/>
  <c r="S24" i="5"/>
  <c r="S30" i="5"/>
  <c r="W13" i="5"/>
  <c r="W28" i="5"/>
  <c r="W12" i="5"/>
  <c r="S37" i="4"/>
  <c r="S10" i="4"/>
  <c r="S7" i="4"/>
  <c r="S20" i="4"/>
  <c r="S25" i="4"/>
  <c r="O20" i="4"/>
  <c r="S24" i="4"/>
  <c r="S34" i="4"/>
  <c r="S9" i="4"/>
  <c r="S29" i="4"/>
  <c r="W12" i="4"/>
  <c r="W33" i="4"/>
  <c r="J32" i="4"/>
  <c r="J33" i="4" s="1"/>
  <c r="S32" i="4"/>
  <c r="S21" i="4"/>
  <c r="O26" i="4"/>
  <c r="O25" i="4"/>
  <c r="S35" i="4"/>
  <c r="O15" i="4"/>
  <c r="O9" i="4"/>
  <c r="F15" i="4"/>
  <c r="F16" i="4" s="1"/>
  <c r="J10" i="2"/>
  <c r="U27" i="4"/>
  <c r="Y22" i="4"/>
  <c r="U21" i="4"/>
  <c r="U10" i="4"/>
  <c r="Y9" i="4"/>
  <c r="U8" i="4"/>
  <c r="U18" i="4"/>
  <c r="Y13" i="4"/>
  <c r="Y36" i="4"/>
  <c r="U33" i="4"/>
  <c r="Y32" i="4"/>
  <c r="U31" i="4"/>
  <c r="Y30" i="4"/>
  <c r="U29" i="4"/>
  <c r="Y28" i="4"/>
  <c r="U24" i="4"/>
  <c r="U20" i="4"/>
  <c r="Y11" i="4"/>
  <c r="U7" i="4"/>
  <c r="U12" i="4"/>
  <c r="Y35" i="4"/>
  <c r="U19" i="4"/>
  <c r="Y17" i="4"/>
  <c r="U16" i="4"/>
  <c r="Y15" i="4"/>
  <c r="U14" i="4"/>
  <c r="U37" i="4"/>
  <c r="Y34" i="4"/>
  <c r="F33" i="4"/>
  <c r="F34" i="4" s="1"/>
  <c r="U26" i="4"/>
  <c r="Y25" i="4"/>
  <c r="U23" i="4"/>
  <c r="Y27" i="4"/>
  <c r="U22" i="4"/>
  <c r="Y21" i="4"/>
  <c r="Y10" i="4"/>
  <c r="U9" i="4"/>
  <c r="Y8" i="4"/>
  <c r="U36" i="4"/>
  <c r="Y33" i="4"/>
  <c r="U35" i="4"/>
  <c r="Y19" i="4"/>
  <c r="U17" i="4"/>
  <c r="Y16" i="4"/>
  <c r="U15" i="4"/>
  <c r="Y14" i="4"/>
  <c r="Y37" i="4"/>
  <c r="U34" i="4"/>
  <c r="Y24" i="4"/>
  <c r="Y20" i="4"/>
  <c r="Y7" i="4"/>
  <c r="Y31" i="4"/>
  <c r="Y29" i="4"/>
  <c r="U13" i="4"/>
  <c r="U28" i="4"/>
  <c r="Y18" i="4"/>
  <c r="U32" i="4"/>
  <c r="U30" i="4"/>
  <c r="Y26" i="4"/>
  <c r="U25" i="4"/>
  <c r="U11" i="4"/>
  <c r="Y12" i="4"/>
  <c r="Y23" i="4"/>
  <c r="AA22" i="4"/>
  <c r="AA31" i="4"/>
  <c r="AA25" i="4"/>
  <c r="P37" i="4"/>
  <c r="Q37" i="4" s="1"/>
  <c r="P26" i="4"/>
  <c r="P23" i="4"/>
  <c r="Q23" i="4" s="1"/>
  <c r="P18" i="4"/>
  <c r="Q18" i="4" s="1"/>
  <c r="H13" i="4"/>
  <c r="H14" i="4" s="1"/>
  <c r="H17" i="4" s="1"/>
  <c r="H18" i="4" s="1"/>
  <c r="P12" i="4"/>
  <c r="P17" i="4"/>
  <c r="Q17" i="4" s="1"/>
  <c r="P15" i="4"/>
  <c r="Q15" i="4" s="1"/>
  <c r="P22" i="4"/>
  <c r="Q22" i="4" s="1"/>
  <c r="P9" i="4"/>
  <c r="Q9" i="4" s="1"/>
  <c r="P36" i="4"/>
  <c r="Q36" i="4" s="1"/>
  <c r="P32" i="4"/>
  <c r="Q32" i="4" s="1"/>
  <c r="P30" i="4"/>
  <c r="Q30" i="4" s="1"/>
  <c r="P28" i="4"/>
  <c r="Q28" i="4" s="1"/>
  <c r="P11" i="4"/>
  <c r="Q11" i="4" s="1"/>
  <c r="P35" i="4"/>
  <c r="P34" i="4"/>
  <c r="Q34" i="4" s="1"/>
  <c r="P25" i="4"/>
  <c r="P13" i="4"/>
  <c r="Q13" i="4" s="1"/>
  <c r="P33" i="4"/>
  <c r="Q33" i="4" s="1"/>
  <c r="P31" i="4"/>
  <c r="Q31" i="4" s="1"/>
  <c r="P29" i="4"/>
  <c r="Q29" i="4" s="1"/>
  <c r="P24" i="4"/>
  <c r="Q24" i="4" s="1"/>
  <c r="P20" i="4"/>
  <c r="Q20" i="4" s="1"/>
  <c r="P7" i="4"/>
  <c r="Q7" i="4" s="1"/>
  <c r="P19" i="4"/>
  <c r="Q19" i="4" s="1"/>
  <c r="P21" i="4"/>
  <c r="Q21" i="4" s="1"/>
  <c r="P8" i="4"/>
  <c r="Q8" i="4" s="1"/>
  <c r="P14" i="4"/>
  <c r="Q14" i="4" s="1"/>
  <c r="P16" i="4"/>
  <c r="P10" i="4"/>
  <c r="Q10" i="4" s="1"/>
  <c r="P27" i="4"/>
  <c r="Q27" i="4" s="1"/>
  <c r="O21" i="4"/>
  <c r="O36" i="4"/>
  <c r="O37" i="4"/>
  <c r="AA37" i="4"/>
  <c r="AA33" i="4"/>
  <c r="Q35" i="4"/>
  <c r="Q25" i="4"/>
  <c r="Q16" i="4"/>
  <c r="Q12" i="4"/>
  <c r="Q26" i="4"/>
  <c r="O27" i="4"/>
  <c r="O11" i="4"/>
  <c r="O14" i="4"/>
  <c r="AA18" i="4"/>
  <c r="AA12" i="4"/>
  <c r="AA30" i="4"/>
  <c r="AA26" i="4"/>
  <c r="AA11" i="4"/>
  <c r="AA23" i="4"/>
  <c r="AA28" i="4"/>
  <c r="AA7" i="4"/>
  <c r="AA16" i="4"/>
  <c r="AA8" i="4"/>
  <c r="AA15" i="4"/>
  <c r="O17" i="4"/>
  <c r="O22" i="4"/>
  <c r="O31" i="4"/>
  <c r="AA19" i="4"/>
  <c r="AA10" i="4"/>
  <c r="AA17" i="4"/>
  <c r="W34" i="4"/>
  <c r="O35" i="4"/>
  <c r="O12" i="4"/>
  <c r="O19" i="4"/>
  <c r="AA14" i="4"/>
  <c r="F47" i="4"/>
  <c r="F48" i="4" s="1"/>
  <c r="O29" i="4"/>
  <c r="O16" i="4"/>
  <c r="AA32" i="4"/>
  <c r="AA20" i="4"/>
  <c r="AA21" i="4"/>
  <c r="AA35" i="4"/>
  <c r="O13" i="4"/>
  <c r="O33" i="4"/>
  <c r="O28" i="4"/>
  <c r="O18" i="4"/>
  <c r="AA36" i="4"/>
  <c r="AA24" i="4"/>
  <c r="AA27" i="4"/>
  <c r="W25" i="4"/>
  <c r="O8" i="4"/>
  <c r="O30" i="4"/>
  <c r="O23" i="4"/>
  <c r="W24" i="4"/>
  <c r="O34" i="4"/>
  <c r="O7" i="4"/>
  <c r="S26" i="4"/>
  <c r="S30" i="4"/>
  <c r="S11" i="4"/>
  <c r="S23" i="4"/>
  <c r="AA9" i="4"/>
  <c r="AA29" i="4"/>
  <c r="AA13" i="4"/>
  <c r="O24" i="4"/>
  <c r="O10" i="4"/>
  <c r="O32" i="4"/>
  <c r="S18" i="4"/>
  <c r="P10" i="2"/>
  <c r="P11" i="2"/>
  <c r="Q11" i="2" s="1"/>
  <c r="P28" i="2"/>
  <c r="Q28" i="2" s="1"/>
  <c r="P18" i="2"/>
  <c r="P27" i="2"/>
  <c r="Q27" i="2" s="1"/>
  <c r="H13" i="2"/>
  <c r="H14" i="2" s="1"/>
  <c r="P34" i="2"/>
  <c r="Q34" i="2" s="1"/>
  <c r="P7" i="2"/>
  <c r="Q7" i="2" s="1"/>
  <c r="P25" i="2"/>
  <c r="P14" i="2"/>
  <c r="Q14" i="2" s="1"/>
  <c r="P31" i="2"/>
  <c r="P30" i="2"/>
  <c r="P16" i="2"/>
  <c r="P9" i="2"/>
  <c r="Q9" i="2" s="1"/>
  <c r="P33" i="2"/>
  <c r="Q33" i="2" s="1"/>
  <c r="P8" i="2"/>
  <c r="Q8" i="2" s="1"/>
  <c r="P36" i="2"/>
  <c r="P13" i="2"/>
  <c r="Q13" i="2" s="1"/>
  <c r="P24" i="2"/>
  <c r="Q24" i="2" s="1"/>
  <c r="P26" i="2"/>
  <c r="Q26" i="2" s="1"/>
  <c r="P19" i="2"/>
  <c r="Q19" i="2" s="1"/>
  <c r="P12" i="2"/>
  <c r="Q12" i="2" s="1"/>
  <c r="P21" i="2"/>
  <c r="Q21" i="2" s="1"/>
  <c r="P35" i="2"/>
  <c r="Q35" i="2" s="1"/>
  <c r="P15" i="2"/>
  <c r="Q37" i="2"/>
  <c r="N11" i="2"/>
  <c r="O11" i="2" s="1"/>
  <c r="N19" i="2"/>
  <c r="O19" i="2" s="1"/>
  <c r="N27" i="2"/>
  <c r="O27" i="2" s="1"/>
  <c r="N33" i="2"/>
  <c r="O33" i="2" s="1"/>
  <c r="N36" i="2"/>
  <c r="O36" i="2" s="1"/>
  <c r="N12" i="2"/>
  <c r="O12" i="2" s="1"/>
  <c r="N20" i="2"/>
  <c r="O20" i="2" s="1"/>
  <c r="N28" i="2"/>
  <c r="O28" i="2" s="1"/>
  <c r="N10" i="2"/>
  <c r="O10" i="2" s="1"/>
  <c r="N26" i="2"/>
  <c r="O26" i="2" s="1"/>
  <c r="N13" i="2"/>
  <c r="O13" i="2" s="1"/>
  <c r="N21" i="2"/>
  <c r="O21" i="2" s="1"/>
  <c r="N29" i="2"/>
  <c r="O29" i="2" s="1"/>
  <c r="N9" i="2"/>
  <c r="O9" i="2" s="1"/>
  <c r="N35" i="2"/>
  <c r="O35" i="2" s="1"/>
  <c r="N7" i="2"/>
  <c r="O7" i="2" s="1"/>
  <c r="N14" i="2"/>
  <c r="O14" i="2" s="1"/>
  <c r="N22" i="2"/>
  <c r="O22" i="2" s="1"/>
  <c r="N30" i="2"/>
  <c r="O30" i="2" s="1"/>
  <c r="N25" i="2"/>
  <c r="O25" i="2" s="1"/>
  <c r="N18" i="2"/>
  <c r="O18" i="2" s="1"/>
  <c r="N15" i="2"/>
  <c r="O15" i="2" s="1"/>
  <c r="N23" i="2"/>
  <c r="O23" i="2" s="1"/>
  <c r="N31" i="2"/>
  <c r="O31" i="2" s="1"/>
  <c r="N8" i="2"/>
  <c r="O8" i="2" s="1"/>
  <c r="N16" i="2"/>
  <c r="O16" i="2" s="1"/>
  <c r="N24" i="2"/>
  <c r="O24" i="2" s="1"/>
  <c r="N32" i="2"/>
  <c r="O32" i="2" s="1"/>
  <c r="N37" i="2"/>
  <c r="O37" i="2" s="1"/>
  <c r="N34" i="2"/>
  <c r="O34" i="2" s="1"/>
  <c r="N17" i="2"/>
  <c r="O17" i="2" s="1"/>
  <c r="Q32" i="2"/>
  <c r="Q36" i="2"/>
  <c r="Q22" i="2"/>
  <c r="Q10" i="2"/>
  <c r="Q15" i="2"/>
  <c r="Q18" i="2"/>
  <c r="Q20" i="2"/>
  <c r="Q29" i="2"/>
  <c r="Q31" i="2"/>
  <c r="Q25" i="2"/>
  <c r="Q16" i="2"/>
  <c r="Q30" i="2"/>
  <c r="R9" i="2"/>
  <c r="S9" i="2" s="1"/>
  <c r="R17" i="2"/>
  <c r="S17" i="2" s="1"/>
  <c r="R25" i="2"/>
  <c r="S25" i="2" s="1"/>
  <c r="R33" i="2"/>
  <c r="S33" i="2" s="1"/>
  <c r="R15" i="2"/>
  <c r="S15" i="2" s="1"/>
  <c r="R16" i="2"/>
  <c r="S16" i="2" s="1"/>
  <c r="R10" i="2"/>
  <c r="S10" i="2" s="1"/>
  <c r="R18" i="2"/>
  <c r="S18" i="2" s="1"/>
  <c r="R26" i="2"/>
  <c r="S26" i="2" s="1"/>
  <c r="R34" i="2"/>
  <c r="S34" i="2" s="1"/>
  <c r="R24" i="2"/>
  <c r="S24" i="2" s="1"/>
  <c r="R11" i="2"/>
  <c r="S11" i="2" s="1"/>
  <c r="R19" i="2"/>
  <c r="S19" i="2" s="1"/>
  <c r="R27" i="2"/>
  <c r="S27" i="2" s="1"/>
  <c r="R35" i="2"/>
  <c r="S35" i="2" s="1"/>
  <c r="R23" i="2"/>
  <c r="S23" i="2" s="1"/>
  <c r="R12" i="2"/>
  <c r="S12" i="2" s="1"/>
  <c r="R20" i="2"/>
  <c r="S20" i="2" s="1"/>
  <c r="R28" i="2"/>
  <c r="S28" i="2" s="1"/>
  <c r="R36" i="2"/>
  <c r="S36" i="2" s="1"/>
  <c r="R8" i="2"/>
  <c r="S8" i="2" s="1"/>
  <c r="R32" i="2"/>
  <c r="S32" i="2" s="1"/>
  <c r="R13" i="2"/>
  <c r="S13" i="2" s="1"/>
  <c r="R21" i="2"/>
  <c r="S21" i="2" s="1"/>
  <c r="R29" i="2"/>
  <c r="S29" i="2" s="1"/>
  <c r="R37" i="2"/>
  <c r="S37" i="2" s="1"/>
  <c r="R14" i="2"/>
  <c r="S14" i="2" s="1"/>
  <c r="R22" i="2"/>
  <c r="S22" i="2" s="1"/>
  <c r="R30" i="2"/>
  <c r="S30" i="2" s="1"/>
  <c r="R7" i="2"/>
  <c r="S7" i="2" s="1"/>
  <c r="R31" i="2"/>
  <c r="S31" i="2" s="1"/>
  <c r="J13" i="2"/>
  <c r="J14" i="2" s="1"/>
  <c r="J17" i="2" s="1"/>
  <c r="J18" i="2" s="1"/>
  <c r="Q23" i="2"/>
  <c r="Q17" i="2"/>
  <c r="B10" i="3"/>
  <c r="B11" i="3" s="1"/>
  <c r="D65" i="3"/>
  <c r="D59" i="3"/>
  <c r="D63" i="3"/>
  <c r="D57" i="3"/>
  <c r="D64" i="3"/>
  <c r="D62" i="3"/>
  <c r="D60" i="3"/>
  <c r="D58" i="3"/>
  <c r="D56" i="3"/>
  <c r="D61" i="3"/>
  <c r="B21" i="3"/>
  <c r="B53" i="1"/>
  <c r="D62" i="1" s="1"/>
  <c r="B58" i="1"/>
  <c r="E58" i="1" s="1"/>
  <c r="B59" i="1"/>
  <c r="E59" i="1" s="1"/>
  <c r="B64" i="1"/>
  <c r="E64" i="1" s="1"/>
  <c r="B57" i="1"/>
  <c r="E57" i="1" s="1"/>
  <c r="B60" i="1"/>
  <c r="E60" i="1" s="1"/>
  <c r="B65" i="1"/>
  <c r="E65" i="1" s="1"/>
  <c r="B61" i="1"/>
  <c r="E61" i="1" s="1"/>
  <c r="B62" i="1"/>
  <c r="E62" i="1" s="1"/>
  <c r="B54" i="1"/>
  <c r="B56" i="1" s="1"/>
  <c r="E56" i="1" s="1"/>
  <c r="B30" i="1"/>
  <c r="E30" i="1" s="1"/>
  <c r="B31" i="1"/>
  <c r="E31" i="1" s="1"/>
  <c r="B28" i="1"/>
  <c r="E28" i="1" s="1"/>
  <c r="B32" i="1"/>
  <c r="E32" i="1" s="1"/>
  <c r="B33" i="1"/>
  <c r="E33" i="1" s="1"/>
  <c r="B26" i="1"/>
  <c r="E26" i="1" s="1"/>
  <c r="B27" i="1"/>
  <c r="E27" i="1" s="1"/>
  <c r="B25" i="1"/>
  <c r="E25" i="1" s="1"/>
  <c r="B29" i="1"/>
  <c r="E29" i="1" s="1"/>
  <c r="B21" i="1"/>
  <c r="S38" i="2" l="1"/>
  <c r="AB30" i="5"/>
  <c r="AD30" i="5" s="1"/>
  <c r="AB37" i="5"/>
  <c r="AD37" i="5" s="1"/>
  <c r="AA20" i="2"/>
  <c r="AA27" i="2"/>
  <c r="AA24" i="2"/>
  <c r="AA15" i="2"/>
  <c r="AB15" i="2" s="1"/>
  <c r="AD15" i="2" s="1"/>
  <c r="AA18" i="2"/>
  <c r="AA10" i="2"/>
  <c r="AA36" i="2"/>
  <c r="F47" i="2"/>
  <c r="F48" i="2" s="1"/>
  <c r="AA7" i="2"/>
  <c r="AA12" i="2"/>
  <c r="AA19" i="2"/>
  <c r="AA34" i="2"/>
  <c r="AA16" i="2"/>
  <c r="AA30" i="2"/>
  <c r="AA25" i="2"/>
  <c r="AA8" i="2"/>
  <c r="AA31" i="2"/>
  <c r="AA23" i="2"/>
  <c r="AA11" i="2"/>
  <c r="AA26" i="2"/>
  <c r="AB26" i="2" s="1"/>
  <c r="AD26" i="2" s="1"/>
  <c r="AA37" i="2"/>
  <c r="AA33" i="2"/>
  <c r="AA22" i="2"/>
  <c r="AA29" i="2"/>
  <c r="AA13" i="2"/>
  <c r="AA14" i="2"/>
  <c r="AA21" i="2"/>
  <c r="AA17" i="2"/>
  <c r="AB17" i="2" s="1"/>
  <c r="AD17" i="2" s="1"/>
  <c r="AA9" i="2"/>
  <c r="AA28" i="2"/>
  <c r="AA35" i="2"/>
  <c r="AA32" i="2"/>
  <c r="F33" i="2"/>
  <c r="F34" i="2" s="1"/>
  <c r="W38" i="4"/>
  <c r="AB10" i="6"/>
  <c r="AD10" i="6" s="1"/>
  <c r="J32" i="2"/>
  <c r="J33" i="2" s="1"/>
  <c r="U36" i="2"/>
  <c r="W30" i="2"/>
  <c r="Q38" i="2"/>
  <c r="AB14" i="5"/>
  <c r="AD14" i="5" s="1"/>
  <c r="F15" i="2"/>
  <c r="F16" i="2" s="1"/>
  <c r="U37" i="2"/>
  <c r="U20" i="2"/>
  <c r="W25" i="2"/>
  <c r="AB25" i="2" s="1"/>
  <c r="AD25" i="2" s="1"/>
  <c r="W15" i="2"/>
  <c r="W20" i="2"/>
  <c r="W34" i="2"/>
  <c r="W17" i="2"/>
  <c r="W32" i="2"/>
  <c r="W7" i="2"/>
  <c r="W12" i="2"/>
  <c r="W8" i="2"/>
  <c r="AB8" i="2" s="1"/>
  <c r="AD8" i="2" s="1"/>
  <c r="W9" i="2"/>
  <c r="W16" i="2"/>
  <c r="W19" i="2"/>
  <c r="W26" i="2"/>
  <c r="W35" i="2"/>
  <c r="W29" i="2"/>
  <c r="W10" i="2"/>
  <c r="H32" i="2"/>
  <c r="H33" i="2" s="1"/>
  <c r="W37" i="2"/>
  <c r="W31" i="2"/>
  <c r="W33" i="2"/>
  <c r="W23" i="2"/>
  <c r="W28" i="2"/>
  <c r="W27" i="2"/>
  <c r="W13" i="2"/>
  <c r="AB35" i="5"/>
  <c r="AD35" i="5" s="1"/>
  <c r="AB18" i="6"/>
  <c r="AD18" i="6" s="1"/>
  <c r="AB13" i="6"/>
  <c r="AD13" i="6" s="1"/>
  <c r="AB33" i="6"/>
  <c r="AD33" i="6" s="1"/>
  <c r="U10" i="2"/>
  <c r="W11" i="2"/>
  <c r="O38" i="4"/>
  <c r="AB23" i="5"/>
  <c r="AD23" i="5" s="1"/>
  <c r="AB19" i="6"/>
  <c r="AD19" i="6" s="1"/>
  <c r="U27" i="2"/>
  <c r="O38" i="2"/>
  <c r="O39" i="2" s="1"/>
  <c r="AB20" i="6"/>
  <c r="AD20" i="6" s="1"/>
  <c r="Y29" i="2"/>
  <c r="Y28" i="2"/>
  <c r="Y21" i="2"/>
  <c r="Y27" i="2"/>
  <c r="U21" i="2"/>
  <c r="Y8" i="2"/>
  <c r="Y31" i="2"/>
  <c r="U25" i="2"/>
  <c r="Y26" i="2"/>
  <c r="U8" i="2"/>
  <c r="Y13" i="2"/>
  <c r="Y20" i="2"/>
  <c r="Y19" i="2"/>
  <c r="U13" i="2"/>
  <c r="Y23" i="2"/>
  <c r="U17" i="2"/>
  <c r="Y33" i="2"/>
  <c r="U30" i="2"/>
  <c r="U14" i="2"/>
  <c r="U26" i="2"/>
  <c r="Y14" i="2"/>
  <c r="Y12" i="2"/>
  <c r="Y11" i="2"/>
  <c r="Y34" i="2"/>
  <c r="U28" i="2"/>
  <c r="Y15" i="2"/>
  <c r="U9" i="2"/>
  <c r="U7" i="2"/>
  <c r="U19" i="2"/>
  <c r="AB19" i="2" s="1"/>
  <c r="AD19" i="2" s="1"/>
  <c r="Y7" i="2"/>
  <c r="Y25" i="2"/>
  <c r="U15" i="2"/>
  <c r="Y24" i="2"/>
  <c r="Y18" i="2"/>
  <c r="U11" i="2"/>
  <c r="Y30" i="2"/>
  <c r="U31" i="2"/>
  <c r="AB31" i="2" s="1"/>
  <c r="AD31" i="2" s="1"/>
  <c r="U24" i="2"/>
  <c r="U23" i="2"/>
  <c r="U22" i="2"/>
  <c r="Y10" i="2"/>
  <c r="Y17" i="2"/>
  <c r="Y32" i="2"/>
  <c r="U34" i="2"/>
  <c r="Y22" i="2"/>
  <c r="AB22" i="2" s="1"/>
  <c r="AD22" i="2" s="1"/>
  <c r="U32" i="2"/>
  <c r="Y37" i="2"/>
  <c r="Y36" i="2"/>
  <c r="U16" i="2"/>
  <c r="Y35" i="2"/>
  <c r="U29" i="2"/>
  <c r="Y16" i="2"/>
  <c r="U18" i="2"/>
  <c r="U33" i="2"/>
  <c r="Y9" i="2"/>
  <c r="W24" i="2"/>
  <c r="F62" i="1"/>
  <c r="AB37" i="6"/>
  <c r="AD37" i="6" s="1"/>
  <c r="AB23" i="6"/>
  <c r="AD23" i="6" s="1"/>
  <c r="AB8" i="6"/>
  <c r="AD8" i="6" s="1"/>
  <c r="AB15" i="6"/>
  <c r="AD15" i="6" s="1"/>
  <c r="AB7" i="6"/>
  <c r="AD7" i="6" s="1"/>
  <c r="AB11" i="6"/>
  <c r="AD11" i="6" s="1"/>
  <c r="AB17" i="6"/>
  <c r="AD17" i="6" s="1"/>
  <c r="AB12" i="6"/>
  <c r="AD12" i="6" s="1"/>
  <c r="AB29" i="6"/>
  <c r="AD29" i="6" s="1"/>
  <c r="AB22" i="6"/>
  <c r="AD22" i="6" s="1"/>
  <c r="AB26" i="6"/>
  <c r="AD26" i="6" s="1"/>
  <c r="AA38" i="6"/>
  <c r="AA39" i="6" s="1"/>
  <c r="AB30" i="6"/>
  <c r="AD30" i="6" s="1"/>
  <c r="AB36" i="6"/>
  <c r="AD36" i="6" s="1"/>
  <c r="AB35" i="6"/>
  <c r="AD35" i="6" s="1"/>
  <c r="Q38" i="6"/>
  <c r="Q39" i="6" s="1"/>
  <c r="W38" i="6"/>
  <c r="W39" i="6" s="1"/>
  <c r="AB16" i="5"/>
  <c r="AD16" i="5" s="1"/>
  <c r="AB36" i="5"/>
  <c r="AD36" i="5" s="1"/>
  <c r="AB26" i="5"/>
  <c r="AD26" i="5" s="1"/>
  <c r="AB11" i="5"/>
  <c r="AD11" i="5" s="1"/>
  <c r="AB10" i="5"/>
  <c r="AD10" i="5" s="1"/>
  <c r="AB28" i="5"/>
  <c r="AD28" i="5" s="1"/>
  <c r="AB8" i="5"/>
  <c r="AD8" i="5" s="1"/>
  <c r="AB21" i="5"/>
  <c r="AD21" i="5" s="1"/>
  <c r="AB19" i="5"/>
  <c r="AD19" i="5" s="1"/>
  <c r="AB25" i="5"/>
  <c r="AD25" i="5" s="1"/>
  <c r="AB13" i="5"/>
  <c r="AD13" i="5" s="1"/>
  <c r="AB12" i="5"/>
  <c r="AD12" i="5" s="1"/>
  <c r="AB17" i="5"/>
  <c r="AD17" i="5" s="1"/>
  <c r="AB20" i="5"/>
  <c r="AD20" i="5" s="1"/>
  <c r="S38" i="5"/>
  <c r="S39" i="5" s="1"/>
  <c r="O38" i="5"/>
  <c r="O39" i="5" s="1"/>
  <c r="AB7" i="5"/>
  <c r="AB24" i="5"/>
  <c r="AD24" i="5" s="1"/>
  <c r="W38" i="5"/>
  <c r="W39" i="5" s="1"/>
  <c r="AB31" i="5"/>
  <c r="AD31" i="5" s="1"/>
  <c r="AA38" i="5"/>
  <c r="AA39" i="5" s="1"/>
  <c r="AB33" i="5"/>
  <c r="AD33" i="5" s="1"/>
  <c r="Q38" i="4"/>
  <c r="Q39" i="4" s="1"/>
  <c r="Y38" i="4"/>
  <c r="Y39" i="4" s="1"/>
  <c r="U38" i="4"/>
  <c r="U39" i="4" s="1"/>
  <c r="O39" i="4"/>
  <c r="S38" i="4"/>
  <c r="S39" i="4" s="1"/>
  <c r="AB9" i="4"/>
  <c r="AD9" i="4" s="1"/>
  <c r="AA38" i="4"/>
  <c r="AA39" i="4" s="1"/>
  <c r="W39" i="4"/>
  <c r="AB18" i="4"/>
  <c r="AD18" i="4" s="1"/>
  <c r="AB16" i="4"/>
  <c r="AD16" i="4" s="1"/>
  <c r="AB20" i="4"/>
  <c r="AD20" i="4" s="1"/>
  <c r="AB25" i="4"/>
  <c r="AD25" i="4" s="1"/>
  <c r="AB15" i="4"/>
  <c r="AD15" i="4" s="1"/>
  <c r="AB32" i="4"/>
  <c r="AD32" i="4" s="1"/>
  <c r="AB26" i="4"/>
  <c r="AD26" i="4" s="1"/>
  <c r="H17" i="2"/>
  <c r="H18" i="2" s="1"/>
  <c r="AB28" i="4"/>
  <c r="AD28" i="4" s="1"/>
  <c r="AB33" i="4"/>
  <c r="AD33" i="4" s="1"/>
  <c r="AB8" i="4"/>
  <c r="AD8" i="4" s="1"/>
  <c r="AB13" i="4"/>
  <c r="AD13" i="4" s="1"/>
  <c r="AB31" i="4"/>
  <c r="AD31" i="4" s="1"/>
  <c r="AB14" i="4"/>
  <c r="AD14" i="4" s="1"/>
  <c r="AB36" i="4"/>
  <c r="AD36" i="4" s="1"/>
  <c r="AB23" i="4"/>
  <c r="AD23" i="4" s="1"/>
  <c r="AB37" i="4"/>
  <c r="AD37" i="4" s="1"/>
  <c r="AB24" i="4"/>
  <c r="AD24" i="4" s="1"/>
  <c r="AB22" i="4"/>
  <c r="AD22" i="4" s="1"/>
  <c r="AB11" i="4"/>
  <c r="AD11" i="4" s="1"/>
  <c r="AB21" i="4"/>
  <c r="AD21" i="4" s="1"/>
  <c r="AB7" i="4"/>
  <c r="AB19" i="4"/>
  <c r="AD19" i="4" s="1"/>
  <c r="AB34" i="4"/>
  <c r="AD34" i="4" s="1"/>
  <c r="AB12" i="4"/>
  <c r="AD12" i="4" s="1"/>
  <c r="AB17" i="4"/>
  <c r="AD17" i="4" s="1"/>
  <c r="AB27" i="4"/>
  <c r="AD27" i="4" s="1"/>
  <c r="AB30" i="4"/>
  <c r="AD30" i="4" s="1"/>
  <c r="AB10" i="4"/>
  <c r="AD10" i="4" s="1"/>
  <c r="AB35" i="4"/>
  <c r="AD35" i="4" s="1"/>
  <c r="AB29" i="4"/>
  <c r="AD29" i="4" s="1"/>
  <c r="AB30" i="2"/>
  <c r="AD30" i="2" s="1"/>
  <c r="AB36" i="2"/>
  <c r="AD36" i="2" s="1"/>
  <c r="AB21" i="2"/>
  <c r="AD21" i="2" s="1"/>
  <c r="S39" i="2"/>
  <c r="Q39" i="2"/>
  <c r="AB32" i="2"/>
  <c r="AD32" i="2" s="1"/>
  <c r="AB10" i="2"/>
  <c r="AD10" i="2" s="1"/>
  <c r="AB14" i="2"/>
  <c r="AD14" i="2" s="1"/>
  <c r="AB28" i="2"/>
  <c r="AD28" i="2" s="1"/>
  <c r="AB23" i="2"/>
  <c r="AD23" i="2" s="1"/>
  <c r="AB37" i="2"/>
  <c r="AD37" i="2" s="1"/>
  <c r="AB16" i="2"/>
  <c r="AD16" i="2" s="1"/>
  <c r="AB7" i="2"/>
  <c r="AB33" i="2"/>
  <c r="AD33" i="2" s="1"/>
  <c r="AB34" i="2"/>
  <c r="AD34" i="2" s="1"/>
  <c r="AB12" i="2"/>
  <c r="AD12" i="2" s="1"/>
  <c r="AB24" i="2"/>
  <c r="AD24" i="2" s="1"/>
  <c r="AB9" i="2"/>
  <c r="AD9" i="2" s="1"/>
  <c r="AB29" i="2"/>
  <c r="AD29" i="2" s="1"/>
  <c r="AB35" i="2"/>
  <c r="AD35" i="2" s="1"/>
  <c r="AB18" i="2"/>
  <c r="AD18" i="2" s="1"/>
  <c r="AB13" i="2"/>
  <c r="AD13" i="2" s="1"/>
  <c r="AB27" i="2"/>
  <c r="AD27" i="2" s="1"/>
  <c r="AB11" i="2"/>
  <c r="AD11" i="2" s="1"/>
  <c r="AB20" i="2"/>
  <c r="AD20" i="2" s="1"/>
  <c r="B24" i="3"/>
  <c r="B54" i="3"/>
  <c r="B56" i="3" s="1"/>
  <c r="E56" i="3" s="1"/>
  <c r="F56" i="3" s="1"/>
  <c r="C69" i="3" s="1"/>
  <c r="E69" i="3" s="1"/>
  <c r="D32" i="3"/>
  <c r="D30" i="3"/>
  <c r="D28" i="3"/>
  <c r="D26" i="3"/>
  <c r="D24" i="3"/>
  <c r="D33" i="3"/>
  <c r="D31" i="3"/>
  <c r="D29" i="3"/>
  <c r="D27" i="3"/>
  <c r="D25" i="3"/>
  <c r="D60" i="1"/>
  <c r="F60" i="1" s="1"/>
  <c r="D65" i="1"/>
  <c r="F65" i="1" s="1"/>
  <c r="D64" i="1"/>
  <c r="F64" i="1" s="1"/>
  <c r="D57" i="1"/>
  <c r="D59" i="1"/>
  <c r="F59" i="1" s="1"/>
  <c r="D61" i="1"/>
  <c r="F61" i="1" s="1"/>
  <c r="D58" i="1"/>
  <c r="F58" i="1" s="1"/>
  <c r="D63" i="1"/>
  <c r="F63" i="1" s="1"/>
  <c r="D56" i="1"/>
  <c r="D31" i="1"/>
  <c r="F31" i="1" s="1"/>
  <c r="D32" i="1"/>
  <c r="F32" i="1" s="1"/>
  <c r="D24" i="1"/>
  <c r="F24" i="1" s="1"/>
  <c r="C37" i="1" s="1"/>
  <c r="D37" i="1" s="1"/>
  <c r="D29" i="1"/>
  <c r="F29" i="1" s="1"/>
  <c r="D25" i="1"/>
  <c r="F25" i="1" s="1"/>
  <c r="C38" i="1" s="1"/>
  <c r="D38" i="1" s="1"/>
  <c r="D33" i="1"/>
  <c r="F33" i="1" s="1"/>
  <c r="D26" i="1"/>
  <c r="D27" i="1"/>
  <c r="F27" i="1" s="1"/>
  <c r="D28" i="1"/>
  <c r="F28" i="1" s="1"/>
  <c r="D30" i="1"/>
  <c r="F30" i="1" s="1"/>
  <c r="Y38" i="2" l="1"/>
  <c r="Y39" i="2" s="1"/>
  <c r="U38" i="2"/>
  <c r="U39" i="2" s="1"/>
  <c r="AB38" i="2"/>
  <c r="AB39" i="2" s="1"/>
  <c r="W38" i="2"/>
  <c r="W39" i="2" s="1"/>
  <c r="AA38" i="2"/>
  <c r="AA39" i="2" s="1"/>
  <c r="E71" i="1"/>
  <c r="AB38" i="6"/>
  <c r="AB39" i="6" s="1"/>
  <c r="AD38" i="6"/>
  <c r="AD39" i="6" s="1"/>
  <c r="AD7" i="5"/>
  <c r="AD38" i="5" s="1"/>
  <c r="AD39" i="5" s="1"/>
  <c r="AB38" i="5"/>
  <c r="AB39" i="5" s="1"/>
  <c r="AB38" i="4"/>
  <c r="AB39" i="4" s="1"/>
  <c r="AD7" i="4"/>
  <c r="AD7" i="2"/>
  <c r="F69" i="3"/>
  <c r="B65" i="3"/>
  <c r="E65" i="3" s="1"/>
  <c r="F65" i="3" s="1"/>
  <c r="B63" i="3"/>
  <c r="E63" i="3" s="1"/>
  <c r="F63" i="3" s="1"/>
  <c r="B61" i="3"/>
  <c r="E61" i="3" s="1"/>
  <c r="F61" i="3" s="1"/>
  <c r="B59" i="3"/>
  <c r="E59" i="3" s="1"/>
  <c r="F59" i="3" s="1"/>
  <c r="B57" i="3"/>
  <c r="E57" i="3" s="1"/>
  <c r="F57" i="3" s="1"/>
  <c r="C70" i="3" s="1"/>
  <c r="E70" i="3" s="1"/>
  <c r="F70" i="3" s="1"/>
  <c r="E24" i="3"/>
  <c r="F24" i="3" s="1"/>
  <c r="C37" i="3" s="1"/>
  <c r="D37" i="3" s="1"/>
  <c r="B29" i="3"/>
  <c r="E29" i="3" s="1"/>
  <c r="F29" i="3" s="1"/>
  <c r="B25" i="3"/>
  <c r="E25" i="3" s="1"/>
  <c r="F25" i="3" s="1"/>
  <c r="C38" i="3" s="1"/>
  <c r="D38" i="3" s="1"/>
  <c r="B32" i="3"/>
  <c r="E32" i="3" s="1"/>
  <c r="F32" i="3" s="1"/>
  <c r="B30" i="3"/>
  <c r="E30" i="3" s="1"/>
  <c r="F30" i="3" s="1"/>
  <c r="B28" i="3"/>
  <c r="E28" i="3" s="1"/>
  <c r="B26" i="3"/>
  <c r="E26" i="3" s="1"/>
  <c r="F26" i="3" s="1"/>
  <c r="B31" i="3"/>
  <c r="E31" i="3" s="1"/>
  <c r="F31" i="3" s="1"/>
  <c r="B27" i="3"/>
  <c r="E27" i="3" s="1"/>
  <c r="F27" i="3" s="1"/>
  <c r="B64" i="3"/>
  <c r="E64" i="3" s="1"/>
  <c r="F64" i="3" s="1"/>
  <c r="B62" i="3"/>
  <c r="E62" i="3" s="1"/>
  <c r="F62" i="3" s="1"/>
  <c r="B60" i="3"/>
  <c r="E60" i="3" s="1"/>
  <c r="F60" i="3" s="1"/>
  <c r="B58" i="3"/>
  <c r="E58" i="3" s="1"/>
  <c r="F58" i="3" s="1"/>
  <c r="B33" i="3"/>
  <c r="E33" i="3" s="1"/>
  <c r="F33" i="3" s="1"/>
  <c r="F28" i="3"/>
  <c r="D40" i="1"/>
  <c r="F26" i="1"/>
  <c r="D39" i="1" s="1"/>
  <c r="E72" i="1"/>
  <c r="F72" i="1" s="1"/>
  <c r="F57" i="1"/>
  <c r="C70" i="1" s="1"/>
  <c r="E70" i="1" s="1"/>
  <c r="F70" i="1" s="1"/>
  <c r="F56" i="1"/>
  <c r="C69" i="1" s="1"/>
  <c r="E69" i="1" s="1"/>
  <c r="F69" i="1" s="1"/>
  <c r="F71" i="1"/>
  <c r="AD38" i="2" l="1"/>
  <c r="AD39" i="2" s="1"/>
  <c r="D44" i="1"/>
  <c r="AD38" i="4"/>
  <c r="AD39" i="4" s="1"/>
  <c r="D39" i="3"/>
  <c r="E71" i="3"/>
  <c r="F71" i="3" s="1"/>
  <c r="D40" i="3"/>
  <c r="E72" i="3"/>
  <c r="F72" i="3" s="1"/>
  <c r="E76" i="1"/>
  <c r="F76" i="1"/>
  <c r="AB40" i="6" l="1"/>
  <c r="AB40" i="5"/>
  <c r="D44" i="3"/>
  <c r="F76" i="3"/>
  <c r="E76" i="3"/>
  <c r="AD40" i="6" l="1"/>
  <c r="AD42" i="6" s="1"/>
  <c r="AB42" i="6"/>
  <c r="AD40" i="5"/>
  <c r="AD42" i="5" s="1"/>
  <c r="AB42" i="5"/>
  <c r="J29" i="8"/>
  <c r="H7" i="8"/>
  <c r="H30" i="8"/>
  <c r="H25" i="8"/>
  <c r="J15" i="8"/>
  <c r="J3" i="8"/>
  <c r="H5" i="8"/>
  <c r="J4" i="8"/>
  <c r="J16" i="8"/>
  <c r="H24" i="8"/>
  <c r="H9" i="8"/>
  <c r="J26" i="8"/>
  <c r="J7" i="8"/>
  <c r="J25" i="8"/>
  <c r="J11" i="8"/>
  <c r="H3" i="8"/>
  <c r="J28" i="8"/>
  <c r="H22" i="8"/>
  <c r="H11" i="8"/>
  <c r="J5" i="8"/>
  <c r="H29" i="8"/>
  <c r="J9" i="8"/>
  <c r="H4" i="8"/>
  <c r="J12" i="8"/>
  <c r="H17" i="8"/>
  <c r="J30" i="8"/>
  <c r="H18" i="8"/>
  <c r="H28" i="8"/>
  <c r="J24" i="8"/>
  <c r="J22" i="8"/>
  <c r="H23" i="8"/>
  <c r="J13" i="8"/>
  <c r="H26" i="8"/>
  <c r="J23" i="8"/>
  <c r="H6" i="8"/>
  <c r="J19" i="8"/>
  <c r="J18" i="8"/>
  <c r="H15" i="8"/>
  <c r="J21" i="8"/>
  <c r="J17" i="8"/>
  <c r="J14" i="8"/>
  <c r="H19" i="8"/>
  <c r="H16" i="8"/>
  <c r="H8" i="8"/>
  <c r="H12" i="8"/>
  <c r="J20" i="8"/>
  <c r="H14" i="8"/>
  <c r="H13" i="8"/>
  <c r="H20" i="8"/>
  <c r="J8" i="8"/>
  <c r="H21" i="8"/>
  <c r="H27" i="8"/>
  <c r="J6" i="8"/>
  <c r="I9" i="8"/>
  <c r="O22" i="8"/>
  <c r="M30" i="8"/>
  <c r="G9" i="8"/>
  <c r="K14" i="8"/>
  <c r="M24" i="8"/>
  <c r="E28" i="8"/>
  <c r="M5" i="8"/>
  <c r="E25" i="8"/>
  <c r="E4" i="8"/>
  <c r="E3" i="8"/>
  <c r="O3" i="8"/>
  <c r="O20" i="8"/>
  <c r="M21" i="8"/>
  <c r="E16" i="8"/>
  <c r="E29" i="8"/>
  <c r="K20" i="8"/>
  <c r="M14" i="8"/>
  <c r="O7" i="8"/>
  <c r="I4" i="8"/>
  <c r="G15" i="8"/>
  <c r="M19" i="8"/>
  <c r="K16" i="8"/>
  <c r="M25" i="8"/>
  <c r="G8" i="8"/>
  <c r="E27" i="8"/>
  <c r="E23" i="8"/>
  <c r="G6" i="8"/>
  <c r="G29" i="8"/>
  <c r="K18" i="8"/>
  <c r="I21" i="8"/>
  <c r="O25" i="8"/>
  <c r="M27" i="8"/>
  <c r="M23" i="8"/>
  <c r="K17" i="8"/>
  <c r="M4" i="8"/>
  <c r="O10" i="8"/>
  <c r="O12" i="8"/>
  <c r="E9" i="8"/>
  <c r="M6" i="8"/>
  <c r="G24" i="8"/>
  <c r="G11" i="8"/>
  <c r="M15" i="8"/>
  <c r="K23" i="8"/>
  <c r="G27" i="8"/>
  <c r="I5" i="8"/>
  <c r="K24" i="8"/>
  <c r="I10" i="8"/>
  <c r="I13" i="8"/>
  <c r="I3" i="8"/>
  <c r="M22" i="8"/>
  <c r="M13" i="8"/>
  <c r="E19" i="8"/>
  <c r="O27" i="8"/>
  <c r="G30" i="8"/>
  <c r="K22" i="8"/>
  <c r="G19" i="8"/>
  <c r="E15" i="8"/>
  <c r="I24" i="8"/>
  <c r="K27" i="8"/>
  <c r="I26" i="8"/>
  <c r="G12" i="8"/>
  <c r="K9" i="8"/>
  <c r="I29" i="8"/>
  <c r="E26" i="8"/>
  <c r="K5" i="8"/>
  <c r="O5" i="8"/>
  <c r="K28" i="8"/>
  <c r="G16" i="8"/>
  <c r="K30" i="8"/>
  <c r="K8" i="8"/>
  <c r="G22" i="8"/>
  <c r="M12" i="8"/>
  <c r="I25" i="8"/>
  <c r="G21" i="8"/>
  <c r="O4" i="8"/>
  <c r="G23" i="8"/>
  <c r="O6" i="8"/>
  <c r="K15" i="8"/>
  <c r="K6" i="8"/>
  <c r="O14" i="8"/>
  <c r="O28" i="8"/>
  <c r="E30" i="8"/>
  <c r="K29" i="8"/>
  <c r="E8" i="8"/>
  <c r="I30" i="8"/>
  <c r="M9" i="8"/>
  <c r="G26" i="8"/>
  <c r="E17" i="8"/>
  <c r="G7" i="8"/>
  <c r="I15" i="8"/>
  <c r="E5" i="8"/>
  <c r="O18" i="8"/>
  <c r="O16" i="8"/>
  <c r="O23" i="8"/>
  <c r="E20" i="8"/>
  <c r="O8" i="8"/>
  <c r="I20" i="8"/>
  <c r="K13" i="8"/>
  <c r="O29" i="8"/>
  <c r="E14" i="8"/>
  <c r="E10" i="8"/>
  <c r="G10" i="8"/>
  <c r="O9" i="8"/>
  <c r="O15" i="8"/>
  <c r="O19" i="8"/>
  <c r="G20" i="8"/>
  <c r="I8" i="8"/>
  <c r="I23" i="8"/>
  <c r="E13" i="8"/>
  <c r="I18" i="8"/>
  <c r="K4" i="8"/>
  <c r="E21" i="8"/>
  <c r="K25" i="8"/>
  <c r="M26" i="8"/>
  <c r="E24" i="8"/>
  <c r="O11" i="8"/>
  <c r="M10" i="8"/>
  <c r="M16" i="8"/>
  <c r="M20" i="8"/>
  <c r="G25" i="8"/>
  <c r="M18" i="8"/>
  <c r="M3" i="8"/>
  <c r="I12" i="8"/>
  <c r="E11" i="8"/>
  <c r="E7" i="8"/>
  <c r="G28" i="8"/>
  <c r="K26" i="8"/>
  <c r="K19" i="8"/>
  <c r="G3" i="8"/>
  <c r="O26" i="8"/>
  <c r="E22" i="8"/>
  <c r="M7" i="8"/>
  <c r="I7" i="8"/>
  <c r="M17" i="8"/>
  <c r="I11" i="8"/>
  <c r="I28" i="8"/>
  <c r="E18" i="8"/>
  <c r="I27" i="8"/>
  <c r="O30" i="8"/>
  <c r="I17" i="8"/>
  <c r="O24" i="8"/>
  <c r="M8" i="8"/>
  <c r="G14" i="8"/>
  <c r="O13" i="8"/>
  <c r="G18" i="8"/>
  <c r="K7" i="8"/>
  <c r="K10" i="8"/>
  <c r="K3" i="8"/>
  <c r="E12" i="8"/>
  <c r="G5" i="8"/>
  <c r="G17" i="8"/>
  <c r="E6" i="8"/>
  <c r="I16" i="8"/>
  <c r="I6" i="8"/>
  <c r="I14" i="8"/>
  <c r="O17" i="8"/>
  <c r="I19" i="8"/>
  <c r="M11" i="8"/>
  <c r="K11" i="8"/>
  <c r="M28" i="8"/>
  <c r="G13" i="8"/>
  <c r="K21" i="8"/>
  <c r="G4" i="8"/>
  <c r="O21" i="8"/>
  <c r="K12" i="8"/>
  <c r="I22" i="8"/>
  <c r="M29" i="8"/>
  <c r="N3" i="8"/>
  <c r="N16" i="8"/>
  <c r="N10" i="8"/>
  <c r="N30" i="8"/>
  <c r="N27" i="8"/>
  <c r="N5" i="8"/>
  <c r="N9" i="8"/>
  <c r="N19" i="8"/>
  <c r="N23" i="8"/>
  <c r="N17" i="8"/>
  <c r="N11" i="8"/>
  <c r="N6" i="8"/>
  <c r="N29" i="8"/>
  <c r="N8" i="8"/>
  <c r="N21" i="8"/>
  <c r="N26" i="8"/>
  <c r="N7" i="8"/>
  <c r="N4" i="8"/>
  <c r="N12" i="8"/>
  <c r="N18" i="8"/>
  <c r="N15" i="8"/>
  <c r="N14" i="8"/>
  <c r="N20" i="8"/>
  <c r="N22" i="8"/>
  <c r="N25" i="8"/>
  <c r="N13" i="8"/>
  <c r="N24" i="8"/>
  <c r="N28" i="8"/>
  <c r="F17" i="8"/>
  <c r="F11" i="8"/>
  <c r="F5" i="8"/>
  <c r="F23" i="8"/>
  <c r="F26" i="8"/>
  <c r="F16" i="8"/>
  <c r="F9" i="8"/>
  <c r="F21" i="8"/>
  <c r="F24" i="8"/>
  <c r="F19" i="8"/>
  <c r="F27" i="8"/>
  <c r="F7" i="8"/>
  <c r="F6" i="8"/>
  <c r="F4" i="8"/>
  <c r="F20" i="8"/>
  <c r="F13" i="8"/>
  <c r="F22" i="8"/>
  <c r="F30" i="8"/>
  <c r="F28" i="8"/>
  <c r="F12" i="8"/>
  <c r="F29" i="8"/>
  <c r="F15" i="8"/>
  <c r="F18" i="8"/>
  <c r="F3" i="8"/>
  <c r="F8" i="8"/>
  <c r="F14" i="8"/>
  <c r="L29" i="8"/>
  <c r="L27" i="8"/>
  <c r="L28" i="8"/>
  <c r="L5" i="8"/>
  <c r="L20" i="8"/>
  <c r="L18" i="8"/>
  <c r="L26" i="8"/>
  <c r="L30" i="8"/>
  <c r="L3" i="8"/>
  <c r="L13" i="8"/>
  <c r="L11" i="8"/>
  <c r="L23" i="8"/>
  <c r="L4" i="8"/>
  <c r="L16" i="8"/>
  <c r="L25" i="8"/>
  <c r="L10" i="8"/>
  <c r="L19" i="8"/>
  <c r="L14" i="8"/>
  <c r="L15" i="8"/>
  <c r="L24" i="8"/>
  <c r="L8" i="8"/>
  <c r="L7" i="8"/>
  <c r="L22" i="8"/>
  <c r="L12" i="8"/>
  <c r="L21" i="8"/>
  <c r="L6" i="8"/>
  <c r="L9" i="8"/>
  <c r="J27" i="8"/>
  <c r="L17" i="8"/>
  <c r="D18" i="8"/>
  <c r="D21" i="8"/>
  <c r="D5" i="8"/>
  <c r="D17" i="8"/>
  <c r="D15" i="8"/>
  <c r="D25" i="8"/>
  <c r="D26" i="8"/>
  <c r="D6" i="8"/>
  <c r="D23" i="8"/>
  <c r="D19" i="8"/>
  <c r="D9" i="8"/>
  <c r="D8" i="8"/>
  <c r="D22" i="8"/>
  <c r="D29" i="8"/>
  <c r="D28" i="8"/>
  <c r="D10" i="8"/>
  <c r="D16" i="8"/>
  <c r="D7" i="8"/>
  <c r="D13" i="8"/>
  <c r="D3" i="8"/>
  <c r="D14" i="8"/>
  <c r="D11" i="8"/>
  <c r="D4" i="8"/>
  <c r="D20" i="8"/>
  <c r="D12" i="8"/>
  <c r="D24" i="8"/>
  <c r="D27" i="8"/>
  <c r="H10" i="8"/>
  <c r="D30" i="8"/>
  <c r="B6" i="8"/>
  <c r="B9" i="8"/>
  <c r="B29" i="8"/>
  <c r="B11" i="8"/>
  <c r="B13" i="8"/>
  <c r="B17" i="8"/>
  <c r="B28" i="8"/>
  <c r="B14" i="8"/>
  <c r="B21" i="8"/>
  <c r="B3" i="8"/>
  <c r="B23" i="8"/>
  <c r="B30" i="8"/>
  <c r="B4" i="8"/>
  <c r="B27" i="8"/>
  <c r="B10" i="8"/>
  <c r="B19" i="8"/>
  <c r="B18" i="8"/>
  <c r="B20" i="8"/>
  <c r="B7" i="8"/>
  <c r="B5" i="8"/>
  <c r="B24" i="8"/>
  <c r="B26" i="8"/>
  <c r="B22" i="8"/>
  <c r="B15" i="8"/>
  <c r="B16" i="8"/>
  <c r="B25" i="8"/>
  <c r="B8" i="8"/>
  <c r="L19" i="7"/>
  <c r="L30" i="7"/>
  <c r="L18" i="7"/>
  <c r="L11" i="7"/>
  <c r="L23" i="7"/>
  <c r="L28" i="7"/>
  <c r="L4" i="7"/>
  <c r="L21" i="7"/>
  <c r="L10" i="7"/>
  <c r="L25" i="7"/>
  <c r="L29" i="7"/>
  <c r="L6" i="7"/>
  <c r="L5" i="7"/>
  <c r="L9" i="7"/>
  <c r="L12" i="7"/>
  <c r="L22" i="7"/>
  <c r="L7" i="7"/>
  <c r="L15" i="7"/>
  <c r="L3" i="7"/>
  <c r="L27" i="7"/>
  <c r="L13" i="7"/>
  <c r="L26" i="7"/>
  <c r="L8" i="7"/>
  <c r="L17" i="7"/>
  <c r="L14" i="7"/>
  <c r="L24" i="7"/>
  <c r="L20" i="7"/>
  <c r="L16" i="7"/>
  <c r="F23" i="7"/>
  <c r="F21" i="7"/>
  <c r="F9" i="7"/>
  <c r="F13" i="7"/>
  <c r="F22" i="7"/>
  <c r="F12" i="7"/>
  <c r="F24" i="7"/>
  <c r="F8" i="7"/>
  <c r="F30" i="7"/>
  <c r="F15" i="7"/>
  <c r="F6" i="7"/>
  <c r="F14" i="7"/>
  <c r="F18" i="7"/>
  <c r="F4" i="7"/>
  <c r="F29" i="7"/>
  <c r="F7" i="7"/>
  <c r="F20" i="7"/>
  <c r="F19" i="7"/>
  <c r="F17" i="7"/>
  <c r="F27" i="7"/>
  <c r="F26" i="7"/>
  <c r="F5" i="7"/>
  <c r="F28" i="7"/>
  <c r="F16" i="7"/>
  <c r="F11" i="7"/>
  <c r="F3" i="7"/>
  <c r="J27" i="7"/>
  <c r="J19" i="7"/>
  <c r="H16" i="7"/>
  <c r="H27" i="7"/>
  <c r="H8" i="7"/>
  <c r="H12" i="7"/>
  <c r="H18" i="7"/>
  <c r="J29" i="7"/>
  <c r="J11" i="7"/>
  <c r="H6" i="7"/>
  <c r="J12" i="7"/>
  <c r="J15" i="7"/>
  <c r="H25" i="7"/>
  <c r="J14" i="7"/>
  <c r="J23" i="7"/>
  <c r="J22" i="7"/>
  <c r="J18" i="7"/>
  <c r="J4" i="7"/>
  <c r="H19" i="7"/>
  <c r="J6" i="7"/>
  <c r="H22" i="7"/>
  <c r="J24" i="7"/>
  <c r="H14" i="7"/>
  <c r="J30" i="7"/>
  <c r="J25" i="7"/>
  <c r="J21" i="7"/>
  <c r="J20" i="7"/>
  <c r="H26" i="7"/>
  <c r="J8" i="7"/>
  <c r="H9" i="7"/>
  <c r="J9" i="7"/>
  <c r="J17" i="7"/>
  <c r="J16" i="7"/>
  <c r="J7" i="7"/>
  <c r="J26" i="7"/>
  <c r="H7" i="7"/>
  <c r="H24" i="7"/>
  <c r="H30" i="7"/>
  <c r="J5" i="7"/>
  <c r="H13" i="7"/>
  <c r="H3" i="7"/>
  <c r="H29" i="7"/>
  <c r="J3" i="7"/>
  <c r="H28" i="7"/>
  <c r="H17" i="7"/>
  <c r="H11" i="7"/>
  <c r="H20" i="7"/>
  <c r="J28" i="7"/>
  <c r="H15" i="7"/>
  <c r="H4" i="7"/>
  <c r="H21" i="7"/>
  <c r="H23" i="7"/>
  <c r="J13" i="7"/>
  <c r="H5" i="7"/>
  <c r="K27" i="7"/>
  <c r="K28" i="7"/>
  <c r="M21" i="7"/>
  <c r="K25" i="7"/>
  <c r="I4" i="7"/>
  <c r="M5" i="7"/>
  <c r="G20" i="7"/>
  <c r="M27" i="7"/>
  <c r="K30" i="7"/>
  <c r="I11" i="7"/>
  <c r="M13" i="7"/>
  <c r="K10" i="7"/>
  <c r="K14" i="7"/>
  <c r="I5" i="7"/>
  <c r="M17" i="7"/>
  <c r="M30" i="7"/>
  <c r="O15" i="7"/>
  <c r="M9" i="7"/>
  <c r="I14" i="7"/>
  <c r="M28" i="7"/>
  <c r="G22" i="7"/>
  <c r="M19" i="7"/>
  <c r="E8" i="7"/>
  <c r="G28" i="7"/>
  <c r="K9" i="7"/>
  <c r="O16" i="7"/>
  <c r="O23" i="7"/>
  <c r="I24" i="7"/>
  <c r="K11" i="7"/>
  <c r="E25" i="7"/>
  <c r="K24" i="7"/>
  <c r="K21" i="7"/>
  <c r="I13" i="7"/>
  <c r="K6" i="7"/>
  <c r="M15" i="7"/>
  <c r="E24" i="7"/>
  <c r="G12" i="7"/>
  <c r="M26" i="7"/>
  <c r="O13" i="7"/>
  <c r="G16" i="7"/>
  <c r="K19" i="7"/>
  <c r="E23" i="7"/>
  <c r="E7" i="7"/>
  <c r="E29" i="7"/>
  <c r="M24" i="7"/>
  <c r="I27" i="7"/>
  <c r="E17" i="7"/>
  <c r="M18" i="7"/>
  <c r="O6" i="7"/>
  <c r="O8" i="7"/>
  <c r="K22" i="7"/>
  <c r="M12" i="7"/>
  <c r="E16" i="7"/>
  <c r="G29" i="7"/>
  <c r="E22" i="7"/>
  <c r="O22" i="7"/>
  <c r="M10" i="7"/>
  <c r="I25" i="7"/>
  <c r="O5" i="7"/>
  <c r="I16" i="7"/>
  <c r="G5" i="7"/>
  <c r="E30" i="7"/>
  <c r="K3" i="7"/>
  <c r="K13" i="7"/>
  <c r="I17" i="7"/>
  <c r="O27" i="7"/>
  <c r="G9" i="7"/>
  <c r="G30" i="7"/>
  <c r="O7" i="7"/>
  <c r="O10" i="7"/>
  <c r="O18" i="7"/>
  <c r="M14" i="7"/>
  <c r="K15" i="7"/>
  <c r="E6" i="7"/>
  <c r="M6" i="7"/>
  <c r="E19" i="7"/>
  <c r="G14" i="7"/>
  <c r="E14" i="7"/>
  <c r="E21" i="7"/>
  <c r="M4" i="7"/>
  <c r="M22" i="7"/>
  <c r="M23" i="7"/>
  <c r="G25" i="7"/>
  <c r="G6" i="7"/>
  <c r="K16" i="7"/>
  <c r="O4" i="7"/>
  <c r="K17" i="7"/>
  <c r="G21" i="7"/>
  <c r="E15" i="7"/>
  <c r="O14" i="7"/>
  <c r="I8" i="7"/>
  <c r="O12" i="7"/>
  <c r="K4" i="7"/>
  <c r="O28" i="7"/>
  <c r="O25" i="7"/>
  <c r="G4" i="7"/>
  <c r="I21" i="7"/>
  <c r="G15" i="7"/>
  <c r="E11" i="7"/>
  <c r="K20" i="7"/>
  <c r="O20" i="7"/>
  <c r="E12" i="7"/>
  <c r="O9" i="7"/>
  <c r="I12" i="7"/>
  <c r="I20" i="7"/>
  <c r="I18" i="7"/>
  <c r="E4" i="7"/>
  <c r="G19" i="7"/>
  <c r="G3" i="7"/>
  <c r="I10" i="7"/>
  <c r="I6" i="7"/>
  <c r="G27" i="7"/>
  <c r="I28" i="7"/>
  <c r="I30" i="7"/>
  <c r="K5" i="7"/>
  <c r="O3" i="7"/>
  <c r="O21" i="7"/>
  <c r="M16" i="7"/>
  <c r="E18" i="7"/>
  <c r="O19" i="7"/>
  <c r="E27" i="7"/>
  <c r="O26" i="7"/>
  <c r="M8" i="7"/>
  <c r="G13" i="7"/>
  <c r="K26" i="7"/>
  <c r="M29" i="7"/>
  <c r="G18" i="7"/>
  <c r="I19" i="7"/>
  <c r="O24" i="7"/>
  <c r="K18" i="7"/>
  <c r="M11" i="7"/>
  <c r="I15" i="7"/>
  <c r="K7" i="7"/>
  <c r="E13" i="7"/>
  <c r="G7" i="7"/>
  <c r="G23" i="7"/>
  <c r="I3" i="7"/>
  <c r="K29" i="7"/>
  <c r="M25" i="7"/>
  <c r="I29" i="7"/>
  <c r="O11" i="7"/>
  <c r="M7" i="7"/>
  <c r="M20" i="7"/>
  <c r="I9" i="7"/>
  <c r="G8" i="7"/>
  <c r="I7" i="7"/>
  <c r="G17" i="7"/>
  <c r="K23" i="7"/>
  <c r="O17" i="7"/>
  <c r="G11" i="7"/>
  <c r="E10" i="7"/>
  <c r="O30" i="7"/>
  <c r="I23" i="7"/>
  <c r="M3" i="7"/>
  <c r="K12" i="7"/>
  <c r="O29" i="7"/>
  <c r="E5" i="7"/>
  <c r="E26" i="7"/>
  <c r="G10" i="7"/>
  <c r="K8" i="7"/>
  <c r="E20" i="7"/>
  <c r="I26" i="7"/>
  <c r="E28" i="7"/>
  <c r="I22" i="7"/>
  <c r="E9" i="7"/>
  <c r="G24" i="7"/>
  <c r="E3" i="7"/>
  <c r="G26" i="7"/>
  <c r="N27" i="7"/>
  <c r="N10" i="7"/>
  <c r="N9" i="7"/>
  <c r="N29" i="7"/>
  <c r="N14" i="7"/>
  <c r="N30" i="7"/>
  <c r="N16" i="7"/>
  <c r="N7" i="7"/>
  <c r="N23" i="7"/>
  <c r="N15" i="7"/>
  <c r="N19" i="7"/>
  <c r="N13" i="7"/>
  <c r="N11" i="7"/>
  <c r="N6" i="7"/>
  <c r="N25" i="7"/>
  <c r="N22" i="7"/>
  <c r="N3" i="7"/>
  <c r="N12" i="7"/>
  <c r="N17" i="7"/>
  <c r="N4" i="7"/>
  <c r="N21" i="7"/>
  <c r="N28" i="7"/>
  <c r="N20" i="7"/>
  <c r="N26" i="7"/>
  <c r="N18" i="7"/>
  <c r="N24" i="7"/>
  <c r="N5" i="7"/>
  <c r="N8" i="7"/>
  <c r="D21" i="7"/>
  <c r="D6" i="7"/>
  <c r="D12" i="7"/>
  <c r="D17" i="7"/>
  <c r="D30" i="7"/>
  <c r="D23" i="7"/>
  <c r="D18" i="7"/>
  <c r="D29" i="7"/>
  <c r="D28" i="7"/>
  <c r="D20" i="7"/>
  <c r="D5" i="7"/>
  <c r="D13" i="7"/>
  <c r="D7" i="7"/>
  <c r="D15" i="7"/>
  <c r="D26" i="7"/>
  <c r="D22" i="7"/>
  <c r="D25" i="7"/>
  <c r="D8" i="7"/>
  <c r="D14" i="7"/>
  <c r="D16" i="7"/>
  <c r="D3" i="7"/>
  <c r="D4" i="7"/>
  <c r="D11" i="7"/>
  <c r="D24" i="7"/>
  <c r="D10" i="7"/>
  <c r="D27" i="7"/>
  <c r="D9" i="7"/>
  <c r="H10" i="7"/>
  <c r="D19" i="7"/>
  <c r="B11" i="7"/>
  <c r="B22" i="7"/>
  <c r="B20" i="7"/>
  <c r="B4" i="7"/>
  <c r="B14" i="7"/>
  <c r="B29" i="7"/>
  <c r="B26" i="7"/>
  <c r="B24" i="7"/>
  <c r="B8" i="7"/>
  <c r="B17" i="7"/>
  <c r="B5" i="7"/>
  <c r="B27" i="7"/>
  <c r="B7" i="7"/>
  <c r="B10" i="7"/>
  <c r="B25" i="7"/>
  <c r="B30" i="7"/>
  <c r="B15" i="7"/>
  <c r="B19" i="7"/>
  <c r="B21" i="7"/>
  <c r="B18" i="7"/>
  <c r="B16" i="7"/>
  <c r="B9" i="7"/>
  <c r="B6" i="7"/>
  <c r="B13" i="7"/>
  <c r="B23" i="7"/>
  <c r="B28" i="7"/>
  <c r="B3" i="7"/>
  <c r="C27" i="8"/>
  <c r="P27" i="8"/>
  <c r="C29" i="8"/>
  <c r="P29" i="8"/>
  <c r="C5" i="8"/>
  <c r="P5" i="8"/>
  <c r="C28" i="7"/>
  <c r="P28" i="7"/>
  <c r="C30" i="8"/>
  <c r="P30" i="8"/>
  <c r="C23" i="8"/>
  <c r="P23" i="8"/>
  <c r="C27" i="7"/>
  <c r="P27" i="7"/>
  <c r="C26" i="8"/>
  <c r="P26" i="8"/>
  <c r="C13" i="7"/>
  <c r="P13" i="7"/>
  <c r="C28" i="8"/>
  <c r="P28" i="8"/>
  <c r="C12" i="7"/>
  <c r="P12" i="7"/>
  <c r="C30" i="7"/>
  <c r="P30" i="7"/>
  <c r="C20" i="8"/>
  <c r="P20" i="8"/>
  <c r="C24" i="8"/>
  <c r="P24" i="8"/>
  <c r="C3" i="7"/>
  <c r="P3" i="7"/>
  <c r="C19" i="7"/>
  <c r="P19" i="7"/>
  <c r="C21" i="8"/>
  <c r="P21" i="8"/>
  <c r="C16" i="8"/>
  <c r="P16" i="8"/>
  <c r="C14" i="8"/>
  <c r="P14" i="8"/>
  <c r="C15" i="8"/>
  <c r="P15" i="8"/>
  <c r="C5" i="7"/>
  <c r="P5" i="7"/>
  <c r="C3" i="8"/>
  <c r="P3" i="8"/>
  <c r="C6" i="8"/>
  <c r="P6" i="8"/>
  <c r="C16" i="7"/>
  <c r="P16" i="7"/>
  <c r="C22" i="7"/>
  <c r="P22" i="7"/>
  <c r="C12" i="8"/>
  <c r="P12" i="8"/>
  <c r="C8" i="8"/>
  <c r="P8" i="8"/>
  <c r="C22" i="8"/>
  <c r="P22" i="8"/>
  <c r="C15" i="7"/>
  <c r="P15" i="7"/>
  <c r="C13" i="8"/>
  <c r="P13" i="8"/>
  <c r="C4" i="8"/>
  <c r="P4" i="8"/>
  <c r="C24" i="7"/>
  <c r="P24" i="7"/>
  <c r="C14" i="7"/>
  <c r="P14" i="7"/>
  <c r="C9" i="7"/>
  <c r="P9" i="7"/>
  <c r="C25" i="7"/>
  <c r="P25" i="7"/>
  <c r="C18" i="7"/>
  <c r="P18" i="7"/>
  <c r="C4" i="7"/>
  <c r="P4" i="7"/>
  <c r="C9" i="8"/>
  <c r="P9" i="8"/>
  <c r="C7" i="7"/>
  <c r="P7" i="7"/>
  <c r="C11" i="7"/>
  <c r="P11" i="7"/>
  <c r="C6" i="7"/>
  <c r="P6" i="7"/>
  <c r="C18" i="8"/>
  <c r="P18" i="8"/>
  <c r="C11" i="8"/>
  <c r="P11" i="8"/>
  <c r="C7" i="8"/>
  <c r="P7" i="8"/>
  <c r="C17" i="8"/>
  <c r="P17" i="8"/>
  <c r="C10" i="7"/>
  <c r="P10" i="7"/>
  <c r="C8" i="7"/>
  <c r="P8" i="7"/>
  <c r="C25" i="8"/>
  <c r="P25" i="8"/>
  <c r="C10" i="8"/>
  <c r="P10" i="8"/>
  <c r="C17" i="7"/>
  <c r="P17" i="7"/>
  <c r="C26" i="7"/>
  <c r="P26" i="7"/>
  <c r="C21" i="7"/>
  <c r="P21" i="7"/>
  <c r="C23" i="7"/>
  <c r="P23" i="7"/>
  <c r="F25" i="8"/>
  <c r="J10" i="8"/>
  <c r="F10" i="8"/>
  <c r="B12" i="8"/>
  <c r="C19" i="8"/>
  <c r="P19" i="8"/>
  <c r="C20" i="7"/>
  <c r="P20" i="7"/>
  <c r="F25" i="7"/>
  <c r="J10" i="7"/>
  <c r="F10" i="7"/>
  <c r="B12" i="7"/>
  <c r="C29" i="7"/>
  <c r="P29" i="7"/>
</calcChain>
</file>

<file path=xl/sharedStrings.xml><?xml version="1.0" encoding="utf-8"?>
<sst xmlns="http://schemas.openxmlformats.org/spreadsheetml/2006/main" count="880" uniqueCount="174">
  <si>
    <t>Propeller noise prediction (empirical)</t>
  </si>
  <si>
    <t>What</t>
  </si>
  <si>
    <t>Value</t>
  </si>
  <si>
    <t>Unit</t>
  </si>
  <si>
    <t>Pbr</t>
  </si>
  <si>
    <t>kW</t>
  </si>
  <si>
    <t>D</t>
  </si>
  <si>
    <t>m</t>
  </si>
  <si>
    <t>rpm</t>
  </si>
  <si>
    <t>np</t>
  </si>
  <si>
    <t>c</t>
  </si>
  <si>
    <t>m/s</t>
  </si>
  <si>
    <t>r</t>
  </si>
  <si>
    <t>Np</t>
  </si>
  <si>
    <t>-</t>
  </si>
  <si>
    <t>B</t>
  </si>
  <si>
    <t>Mt</t>
  </si>
  <si>
    <t>SPL_max,1</t>
  </si>
  <si>
    <t>L1</t>
  </si>
  <si>
    <t>dB</t>
  </si>
  <si>
    <t>Correction B</t>
  </si>
  <si>
    <t>Correction D</t>
  </si>
  <si>
    <t>Correction M</t>
  </si>
  <si>
    <t>Correction X</t>
  </si>
  <si>
    <t>Correction Fuselage</t>
  </si>
  <si>
    <t>Summation of first 5 steps</t>
  </si>
  <si>
    <t>JPL Nasa method Near-Field</t>
  </si>
  <si>
    <t>Hz</t>
  </si>
  <si>
    <t>fundamental blade passage frequency</t>
  </si>
  <si>
    <t>Harmonic order</t>
  </si>
  <si>
    <t>Frequency (Hz)</t>
  </si>
  <si>
    <t>Harmonic level, dB</t>
  </si>
  <si>
    <t>Harmonic level dB SPL</t>
  </si>
  <si>
    <t xml:space="preserve">Fundamental </t>
  </si>
  <si>
    <t>Preferred octave passbands</t>
  </si>
  <si>
    <t>Harmonics</t>
  </si>
  <si>
    <t>Harmonic levels dB</t>
  </si>
  <si>
    <t>45-90</t>
  </si>
  <si>
    <t>90-180</t>
  </si>
  <si>
    <t>180-355</t>
  </si>
  <si>
    <t>355-710</t>
  </si>
  <si>
    <t>710-1400</t>
  </si>
  <si>
    <t>1400-2800</t>
  </si>
  <si>
    <t>2800-3600</t>
  </si>
  <si>
    <t>5600-11200</t>
  </si>
  <si>
    <t>n.a.</t>
  </si>
  <si>
    <t>Overall</t>
  </si>
  <si>
    <t>Octave band level</t>
  </si>
  <si>
    <t>JPL Nasa Far-Field Noise</t>
  </si>
  <si>
    <t>far field d</t>
  </si>
  <si>
    <t>Correction Dir</t>
  </si>
  <si>
    <t>Correction Distance</t>
  </si>
  <si>
    <t>Summation</t>
  </si>
  <si>
    <t>fundamental blade frequency</t>
  </si>
  <si>
    <t>Molecular absorption</t>
  </si>
  <si>
    <t>Octave band level corrected</t>
  </si>
  <si>
    <t>379.8, 506.4, 633</t>
  </si>
  <si>
    <t>759.6, 886.2, 1012.8, 1139.4, 1266</t>
  </si>
  <si>
    <t>118.7, 115.7, 113.7</t>
  </si>
  <si>
    <t>112.7 111.7 111.7 111.7 111.7</t>
  </si>
  <si>
    <t>60.8, 57.8 55.8</t>
  </si>
  <si>
    <t>54.8 53.8 (4x)</t>
  </si>
  <si>
    <t>RA weight</t>
  </si>
  <si>
    <t>A corrected</t>
  </si>
  <si>
    <t>384, 512, 640</t>
  </si>
  <si>
    <t>768, 896, 1024, 1152, 1280</t>
  </si>
  <si>
    <t>Aircraft weight</t>
  </si>
  <si>
    <t>N</t>
  </si>
  <si>
    <t>V_cruise</t>
  </si>
  <si>
    <t>SPL_airframe</t>
  </si>
  <si>
    <t>Fink</t>
  </si>
  <si>
    <t>trailing-edge noise</t>
  </si>
  <si>
    <t>M</t>
  </si>
  <si>
    <t>Aw</t>
  </si>
  <si>
    <t>bw</t>
  </si>
  <si>
    <t>mu</t>
  </si>
  <si>
    <t>m2</t>
  </si>
  <si>
    <t>Pa*s</t>
  </si>
  <si>
    <t>rho</t>
  </si>
  <si>
    <t>kg/m3</t>
  </si>
  <si>
    <t>base_freq</t>
  </si>
  <si>
    <t>S</t>
  </si>
  <si>
    <t>theta</t>
  </si>
  <si>
    <t>L</t>
  </si>
  <si>
    <t>rad</t>
  </si>
  <si>
    <t>SPL</t>
  </si>
  <si>
    <t>New wing</t>
  </si>
  <si>
    <t>K</t>
  </si>
  <si>
    <t>a</t>
  </si>
  <si>
    <t>G</t>
  </si>
  <si>
    <t>P</t>
  </si>
  <si>
    <t>pe^2</t>
  </si>
  <si>
    <t>S_new</t>
  </si>
  <si>
    <t>F_new</t>
  </si>
  <si>
    <t>D_wing_new</t>
  </si>
  <si>
    <t>pref</t>
  </si>
  <si>
    <t>Horizontal tail</t>
  </si>
  <si>
    <t>bwh</t>
  </si>
  <si>
    <t>Ah</t>
  </si>
  <si>
    <t>Vertical Tail</t>
  </si>
  <si>
    <t>bwv</t>
  </si>
  <si>
    <t>Av</t>
  </si>
  <si>
    <t>S_hor</t>
  </si>
  <si>
    <t>F_hor</t>
  </si>
  <si>
    <t>D_hor</t>
  </si>
  <si>
    <t>S_ver</t>
  </si>
  <si>
    <t>F_ver</t>
  </si>
  <si>
    <t>D_ver</t>
  </si>
  <si>
    <t>phi</t>
  </si>
  <si>
    <t>Flaps</t>
  </si>
  <si>
    <t>Aflap</t>
  </si>
  <si>
    <t>delta</t>
  </si>
  <si>
    <t>bf</t>
  </si>
  <si>
    <t>S_flap</t>
  </si>
  <si>
    <t>F_flap</t>
  </si>
  <si>
    <t>D_flap</t>
  </si>
  <si>
    <t>Landing strut</t>
  </si>
  <si>
    <t>d_strut</t>
  </si>
  <si>
    <t>l_strut</t>
  </si>
  <si>
    <t>Nose LG</t>
  </si>
  <si>
    <t>Main lg</t>
  </si>
  <si>
    <t>dwheel_MG</t>
  </si>
  <si>
    <t>n_wheel_MG</t>
  </si>
  <si>
    <t>dwheel_NG</t>
  </si>
  <si>
    <t>n_wheel_NG</t>
  </si>
  <si>
    <t>F</t>
  </si>
  <si>
    <t>D_lg</t>
  </si>
  <si>
    <t>D_strut</t>
  </si>
  <si>
    <t>Frequency</t>
  </si>
  <si>
    <t>Wing</t>
  </si>
  <si>
    <t>S_wing</t>
  </si>
  <si>
    <t>SPL_wing</t>
  </si>
  <si>
    <t>Hor_tail</t>
  </si>
  <si>
    <t>Ver_tail</t>
  </si>
  <si>
    <t>S_hor_tail</t>
  </si>
  <si>
    <t>SPL_hor_tail</t>
  </si>
  <si>
    <t>S_ver_tail</t>
  </si>
  <si>
    <t>SPL_ver_tail</t>
  </si>
  <si>
    <t>S_flaps</t>
  </si>
  <si>
    <t>SPL_flaps</t>
  </si>
  <si>
    <t>Nose lg</t>
  </si>
  <si>
    <t>S_nose</t>
  </si>
  <si>
    <t>SPL_nose</t>
  </si>
  <si>
    <t>S_main</t>
  </si>
  <si>
    <t>SPL_main</t>
  </si>
  <si>
    <t>S_strut</t>
  </si>
  <si>
    <t>SPL_strut</t>
  </si>
  <si>
    <t>Strut</t>
  </si>
  <si>
    <t>Total</t>
  </si>
  <si>
    <t>SPL_tot</t>
  </si>
  <si>
    <t>A-frame correction</t>
  </si>
  <si>
    <t>SPL_tot_A</t>
  </si>
  <si>
    <t>Total noise</t>
  </si>
  <si>
    <t>Total at 120.5</t>
  </si>
  <si>
    <t>r2</t>
  </si>
  <si>
    <t>Propeller</t>
  </si>
  <si>
    <t>Combustor</t>
  </si>
  <si>
    <t>Total at</t>
  </si>
  <si>
    <t>gradient</t>
  </si>
  <si>
    <t>Combustors</t>
  </si>
  <si>
    <t>T_t,out</t>
  </si>
  <si>
    <t>T_t,in</t>
  </si>
  <si>
    <t>pt,in</t>
  </si>
  <si>
    <t>deltaT</t>
  </si>
  <si>
    <t>A_combustor</t>
  </si>
  <si>
    <t>eta</t>
  </si>
  <si>
    <t>f</t>
  </si>
  <si>
    <t>p_inf</t>
  </si>
  <si>
    <t>T_inf</t>
  </si>
  <si>
    <t>c_inf</t>
  </si>
  <si>
    <t>m_dot</t>
  </si>
  <si>
    <t>pi_comb</t>
  </si>
  <si>
    <t>p2</t>
  </si>
  <si>
    <t>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</si>
</sst>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61.559795187509664</c:v>
                </c:pt>
                <c:pt idx="1">
                  <c:v>73.239176400648461</c:v>
                </c:pt>
                <c:pt idx="2">
                  <c:v>79.825215210083286</c:v>
                </c:pt>
                <c:pt idx="3">
                  <c:v>84.296006404842984</c:v>
                </c:pt>
                <c:pt idx="4">
                  <c:v>87.593634389420032</c:v>
                </c:pt>
                <c:pt idx="5">
                  <c:v>90.14259586374763</c:v>
                </c:pt>
                <c:pt idx="6">
                  <c:v>92.172316366905633</c:v>
                </c:pt>
                <c:pt idx="7">
                  <c:v>93.821655936748115</c:v>
                </c:pt>
                <c:pt idx="8">
                  <c:v>95.181429820289623</c:v>
                </c:pt>
                <c:pt idx="9">
                  <c:v>96.314460879557828</c:v>
                </c:pt>
                <c:pt idx="10">
                  <c:v>101.40386931455956</c:v>
                </c:pt>
                <c:pt idx="11">
                  <c:v>102.26966508885737</c:v>
                </c:pt>
                <c:pt idx="12">
                  <c:v>101.99748631629448</c:v>
                </c:pt>
                <c:pt idx="13">
                  <c:v>101.3590449821438</c:v>
                </c:pt>
                <c:pt idx="14">
                  <c:v>100.6073388771877</c:v>
                </c:pt>
                <c:pt idx="15">
                  <c:v>99.836908027778151</c:v>
                </c:pt>
                <c:pt idx="16">
                  <c:v>99.085052308981872</c:v>
                </c:pt>
                <c:pt idx="17">
                  <c:v>98.366109859656845</c:v>
                </c:pt>
                <c:pt idx="18">
                  <c:v>97.684602536556255</c:v>
                </c:pt>
                <c:pt idx="19">
                  <c:v>92.575624176493932</c:v>
                </c:pt>
                <c:pt idx="20">
                  <c:v>89.288634413470547</c:v>
                </c:pt>
                <c:pt idx="21">
                  <c:v>86.889130300898046</c:v>
                </c:pt>
                <c:pt idx="22">
                  <c:v>85.003491215836959</c:v>
                </c:pt>
                <c:pt idx="23">
                  <c:v>83.451578830149273</c:v>
                </c:pt>
                <c:pt idx="24">
                  <c:v>82.133488611413668</c:v>
                </c:pt>
                <c:pt idx="25">
                  <c:v>80.988209256630569</c:v>
                </c:pt>
                <c:pt idx="26">
                  <c:v>79.975798864758104</c:v>
                </c:pt>
                <c:pt idx="27">
                  <c:v>79.068702419844485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D-4FF5-AB21-5B4ADCBC0459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7.7608929829878006</c:v>
                </c:pt>
                <c:pt idx="1">
                  <c:v>19.79635275117435</c:v>
                </c:pt>
                <c:pt idx="2">
                  <c:v>26.832572830708411</c:v>
                </c:pt>
                <c:pt idx="3">
                  <c:v>31.821327502306296</c:v>
                </c:pt>
                <c:pt idx="4">
                  <c:v>35.687757677802587</c:v>
                </c:pt>
                <c:pt idx="5">
                  <c:v>38.843989663914769</c:v>
                </c:pt>
                <c:pt idx="6">
                  <c:v>41.509890325563703</c:v>
                </c:pt>
                <c:pt idx="7">
                  <c:v>43.81671776312136</c:v>
                </c:pt>
                <c:pt idx="8">
                  <c:v>45.849148198485466</c:v>
                </c:pt>
                <c:pt idx="9">
                  <c:v>47.665006841168804</c:v>
                </c:pt>
                <c:pt idx="10">
                  <c:v>59.526591180800878</c:v>
                </c:pt>
                <c:pt idx="11">
                  <c:v>66.340373992979352</c:v>
                </c:pt>
                <c:pt idx="12">
                  <c:v>71.06959167654162</c:v>
                </c:pt>
                <c:pt idx="13">
                  <c:v>74.646563661820352</c:v>
                </c:pt>
                <c:pt idx="14">
                  <c:v>77.488626051201578</c:v>
                </c:pt>
                <c:pt idx="15">
                  <c:v>79.819719842252937</c:v>
                </c:pt>
                <c:pt idx="16">
                  <c:v>81.774430092174924</c:v>
                </c:pt>
                <c:pt idx="17">
                  <c:v>83.440223920975214</c:v>
                </c:pt>
                <c:pt idx="18">
                  <c:v>84.877308954107974</c:v>
                </c:pt>
                <c:pt idx="19">
                  <c:v>92.631018799215155</c:v>
                </c:pt>
                <c:pt idx="20">
                  <c:v>95.342653950531556</c:v>
                </c:pt>
                <c:pt idx="21">
                  <c:v>96.306606814310044</c:v>
                </c:pt>
                <c:pt idx="22">
                  <c:v>96.515913187983358</c:v>
                </c:pt>
                <c:pt idx="23">
                  <c:v>96.365668049725116</c:v>
                </c:pt>
                <c:pt idx="24">
                  <c:v>96.036181798384689</c:v>
                </c:pt>
                <c:pt idx="25">
                  <c:v>95.617112380767765</c:v>
                </c:pt>
                <c:pt idx="26">
                  <c:v>95.155700814249741</c:v>
                </c:pt>
                <c:pt idx="27">
                  <c:v>94.677822144068585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D-4FF5-AB21-5B4ADCBC0459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114.30020397138892</c:v>
                </c:pt>
                <c:pt idx="1">
                  <c:v>112.64453899523703</c:v>
                </c:pt>
                <c:pt idx="2">
                  <c:v>111.67603707043078</c:v>
                </c:pt>
                <c:pt idx="3">
                  <c:v>110.98887401908513</c:v>
                </c:pt>
                <c:pt idx="4">
                  <c:v>110.45586894754082</c:v>
                </c:pt>
                <c:pt idx="5">
                  <c:v>110.02037209427888</c:v>
                </c:pt>
                <c:pt idx="6">
                  <c:v>109.65216475131051</c:v>
                </c:pt>
                <c:pt idx="7">
                  <c:v>109.33320904293323</c:v>
                </c:pt>
                <c:pt idx="8">
                  <c:v>109.05187016947265</c:v>
                </c:pt>
                <c:pt idx="9">
                  <c:v>108.80020397138892</c:v>
                </c:pt>
                <c:pt idx="10">
                  <c:v>107.14453899523703</c:v>
                </c:pt>
                <c:pt idx="11">
                  <c:v>106.17603707043079</c:v>
                </c:pt>
                <c:pt idx="12">
                  <c:v>105.48887401908515</c:v>
                </c:pt>
                <c:pt idx="13">
                  <c:v>104.95586894754082</c:v>
                </c:pt>
                <c:pt idx="14">
                  <c:v>104.52037209427888</c:v>
                </c:pt>
                <c:pt idx="15">
                  <c:v>104.15216475131052</c:v>
                </c:pt>
                <c:pt idx="16">
                  <c:v>103.83320904293325</c:v>
                </c:pt>
                <c:pt idx="17">
                  <c:v>103.55187016947264</c:v>
                </c:pt>
                <c:pt idx="18">
                  <c:v>103.30020397138894</c:v>
                </c:pt>
                <c:pt idx="19">
                  <c:v>101.64453899523704</c:v>
                </c:pt>
                <c:pt idx="20">
                  <c:v>100.67603707043078</c:v>
                </c:pt>
                <c:pt idx="21">
                  <c:v>99.988874019085131</c:v>
                </c:pt>
                <c:pt idx="22">
                  <c:v>99.455868947540836</c:v>
                </c:pt>
                <c:pt idx="23">
                  <c:v>99.020372094278883</c:v>
                </c:pt>
                <c:pt idx="24">
                  <c:v>98.652164751310508</c:v>
                </c:pt>
                <c:pt idx="25">
                  <c:v>98.333209042933234</c:v>
                </c:pt>
                <c:pt idx="26">
                  <c:v>98.051870169472636</c:v>
                </c:pt>
                <c:pt idx="27">
                  <c:v>97.800203971388925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D-4FF5-AB21-5B4ADCBC0459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54.587641160924896</c:v>
                </c:pt>
                <c:pt idx="1">
                  <c:v>60.531154726598459</c:v>
                </c:pt>
                <c:pt idx="2">
                  <c:v>63.925838828336772</c:v>
                </c:pt>
                <c:pt idx="3">
                  <c:v>66.249350224541786</c:v>
                </c:pt>
                <c:pt idx="4">
                  <c:v>67.966734573988575</c:v>
                </c:pt>
                <c:pt idx="5">
                  <c:v>69.287078844933149</c:v>
                </c:pt>
                <c:pt idx="6">
                  <c:v>70.323742861376303</c:v>
                </c:pt>
                <c:pt idx="7">
                  <c:v>71.146043372438029</c:v>
                </c:pt>
                <c:pt idx="8">
                  <c:v>71.800135965097056</c:v>
                </c:pt>
                <c:pt idx="9">
                  <c:v>72.31876423104265</c:v>
                </c:pt>
                <c:pt idx="10">
                  <c:v>73.577780832078957</c:v>
                </c:pt>
                <c:pt idx="11">
                  <c:v>72.248661817706278</c:v>
                </c:pt>
                <c:pt idx="12">
                  <c:v>70.478716156502543</c:v>
                </c:pt>
                <c:pt idx="13">
                  <c:v>68.752137904453761</c:v>
                </c:pt>
                <c:pt idx="14">
                  <c:v>67.172649218497142</c:v>
                </c:pt>
                <c:pt idx="15">
                  <c:v>65.748353209664273</c:v>
                </c:pt>
                <c:pt idx="16">
                  <c:v>64.463881354824196</c:v>
                </c:pt>
                <c:pt idx="17">
                  <c:v>63.300054005011461</c:v>
                </c:pt>
                <c:pt idx="18">
                  <c:v>62.239203407616621</c:v>
                </c:pt>
                <c:pt idx="19">
                  <c:v>54.983954571171417</c:v>
                </c:pt>
                <c:pt idx="20">
                  <c:v>50.632598135047537</c:v>
                </c:pt>
                <c:pt idx="21">
                  <c:v>47.527016369675451</c:v>
                </c:pt>
                <c:pt idx="22">
                  <c:v>45.112556105497738</c:v>
                </c:pt>
                <c:pt idx="23">
                  <c:v>43.137531146962786</c:v>
                </c:pt>
                <c:pt idx="24">
                  <c:v>41.466579502835614</c:v>
                </c:pt>
                <c:pt idx="25">
                  <c:v>40.018545382347774</c:v>
                </c:pt>
                <c:pt idx="26">
                  <c:v>38.740942277689037</c:v>
                </c:pt>
                <c:pt idx="27">
                  <c:v>37.597870580377567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D-4FF5-AB21-5B4ADCBC0459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83.481103939011859</c:v>
                </c:pt>
                <c:pt idx="1">
                  <c:v>89.486633654653374</c:v>
                </c:pt>
                <c:pt idx="2">
                  <c:v>92.983393373529211</c:v>
                </c:pt>
                <c:pt idx="3">
                  <c:v>95.447184126286743</c:v>
                </c:pt>
                <c:pt idx="4">
                  <c:v>97.340588241819219</c:v>
                </c:pt>
                <c:pt idx="5">
                  <c:v>98.869739742887774</c:v>
                </c:pt>
                <c:pt idx="6">
                  <c:v>100.14468693589816</c:v>
                </c:pt>
                <c:pt idx="7">
                  <c:v>101.23120982602975</c:v>
                </c:pt>
                <c:pt idx="8">
                  <c:v>102.17182836120598</c:v>
                </c:pt>
                <c:pt idx="9">
                  <c:v>102.99566388317528</c:v>
                </c:pt>
                <c:pt idx="10">
                  <c:v>107.67725541469319</c:v>
                </c:pt>
                <c:pt idx="11">
                  <c:v>109.3087739800028</c:v>
                </c:pt>
                <c:pt idx="12">
                  <c:v>109.65648847953597</c:v>
                </c:pt>
                <c:pt idx="13">
                  <c:v>109.38266741989666</c:v>
                </c:pt>
                <c:pt idx="14">
                  <c:v>108.80462837643145</c:v>
                </c:pt>
                <c:pt idx="15">
                  <c:v>108.08468375468551</c:v>
                </c:pt>
                <c:pt idx="16">
                  <c:v>107.30774804491374</c:v>
                </c:pt>
                <c:pt idx="17">
                  <c:v>106.51856599065621</c:v>
                </c:pt>
                <c:pt idx="18">
                  <c:v>105.74054848723711</c:v>
                </c:pt>
                <c:pt idx="19">
                  <c:v>99.486199530590397</c:v>
                </c:pt>
                <c:pt idx="20">
                  <c:v>95.338657973724395</c:v>
                </c:pt>
                <c:pt idx="21">
                  <c:v>92.305940966934443</c:v>
                </c:pt>
                <c:pt idx="22">
                  <c:v>89.925482628311443</c:v>
                </c:pt>
                <c:pt idx="23">
                  <c:v>87.969001854186473</c:v>
                </c:pt>
                <c:pt idx="24">
                  <c:v>86.309257086630723</c:v>
                </c:pt>
                <c:pt idx="25">
                  <c:v>84.868506886215499</c:v>
                </c:pt>
                <c:pt idx="26">
                  <c:v>83.595902274039901</c:v>
                </c:pt>
                <c:pt idx="27">
                  <c:v>82.456408298198639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D-4FF5-AB21-5B4ADCBC0459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114.30383157682961</c:v>
                </c:pt>
                <c:pt idx="1">
                  <c:v>112.66600687122532</c:v>
                </c:pt>
                <c:pt idx="2">
                  <c:v>111.73720619667286</c:v>
                </c:pt>
                <c:pt idx="3">
                  <c:v>111.11763445380275</c:v>
                </c:pt>
                <c:pt idx="4">
                  <c:v>110.68443334358088</c:v>
                </c:pt>
                <c:pt idx="5">
                  <c:v>110.38305898508378</c:v>
                </c:pt>
                <c:pt idx="6">
                  <c:v>110.18292804700785</c:v>
                </c:pt>
                <c:pt idx="7">
                  <c:v>110.06333172723359</c:v>
                </c:pt>
                <c:pt idx="8">
                  <c:v>110.00817646483765</c:v>
                </c:pt>
                <c:pt idx="9">
                  <c:v>110.00397086781462</c:v>
                </c:pt>
                <c:pt idx="10">
                  <c:v>110.94232551068258</c:v>
                </c:pt>
                <c:pt idx="11">
                  <c:v>111.57242475180928</c:v>
                </c:pt>
                <c:pt idx="12">
                  <c:v>111.5730460828707</c:v>
                </c:pt>
                <c:pt idx="13">
                  <c:v>111.1979597633503</c:v>
                </c:pt>
                <c:pt idx="14">
                  <c:v>110.6377437358891</c:v>
                </c:pt>
                <c:pt idx="15">
                  <c:v>110.00365094765434</c:v>
                </c:pt>
                <c:pt idx="16">
                  <c:v>109.35635549470832</c:v>
                </c:pt>
                <c:pt idx="17">
                  <c:v>108.72760195046304</c:v>
                </c:pt>
                <c:pt idx="18">
                  <c:v>108.13311253514914</c:v>
                </c:pt>
                <c:pt idx="19">
                  <c:v>104.33453235048857</c:v>
                </c:pt>
                <c:pt idx="20">
                  <c:v>102.87219308417073</c:v>
                </c:pt>
                <c:pt idx="21">
                  <c:v>102.15794352559165</c:v>
                </c:pt>
                <c:pt idx="22">
                  <c:v>101.64508255875093</c:v>
                </c:pt>
                <c:pt idx="23">
                  <c:v>101.19236931230226</c:v>
                </c:pt>
                <c:pt idx="24">
                  <c:v>100.76909211340167</c:v>
                </c:pt>
                <c:pt idx="25">
                  <c:v>100.37044034056217</c:v>
                </c:pt>
                <c:pt idx="26">
                  <c:v>99.996372777350103</c:v>
                </c:pt>
                <c:pt idx="27">
                  <c:v>99.646874424726406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7D-4FF5-AB21-5B4ADCBC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9953584"/>
        <c:axId val="-5799454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-52.88571696496949</c:v>
                      </c:pt>
                      <c:pt idx="1">
                        <c:v>-40.845622822795193</c:v>
                      </c:pt>
                      <c:pt idx="2">
                        <c:v>-33.803404164170821</c:v>
                      </c:pt>
                      <c:pt idx="3">
                        <c:v>-28.807549962970562</c:v>
                      </c:pt>
                      <c:pt idx="4">
                        <c:v>-24.933072140441848</c:v>
                      </c:pt>
                      <c:pt idx="5">
                        <c:v>-21.767948036268749</c:v>
                      </c:pt>
                      <c:pt idx="6">
                        <c:v>-19.092387303191444</c:v>
                      </c:pt>
                      <c:pt idx="7">
                        <c:v>-16.775191487701232</c:v>
                      </c:pt>
                      <c:pt idx="8">
                        <c:v>-14.731732667154544</c:v>
                      </c:pt>
                      <c:pt idx="9">
                        <c:v>-12.9042258614469</c:v>
                      </c:pt>
                      <c:pt idx="10">
                        <c:v>-0.89791965525457973</c:v>
                      </c:pt>
                      <c:pt idx="11">
                        <c:v>6.1006490416270776</c:v>
                      </c:pt>
                      <c:pt idx="12">
                        <c:v>11.044963900980971</c:v>
                      </c:pt>
                      <c:pt idx="13">
                        <c:v>14.861178437149645</c:v>
                      </c:pt>
                      <c:pt idx="14">
                        <c:v>17.962120663784276</c:v>
                      </c:pt>
                      <c:pt idx="15">
                        <c:v>20.568187215244521</c:v>
                      </c:pt>
                      <c:pt idx="16">
                        <c:v>22.811058614188951</c:v>
                      </c:pt>
                      <c:pt idx="17">
                        <c:v>24.77576091367926</c:v>
                      </c:pt>
                      <c:pt idx="18">
                        <c:v>26.520417174783319</c:v>
                      </c:pt>
                      <c:pt idx="19">
                        <c:v>37.52463412144202</c:v>
                      </c:pt>
                      <c:pt idx="20">
                        <c:v>43.311326589151093</c:v>
                      </c:pt>
                      <c:pt idx="21">
                        <c:v>46.929232476511416</c:v>
                      </c:pt>
                      <c:pt idx="22">
                        <c:v>49.362869107062501</c:v>
                      </c:pt>
                      <c:pt idx="23">
                        <c:v>51.062995425932691</c:v>
                      </c:pt>
                      <c:pt idx="24">
                        <c:v>52.274909743045555</c:v>
                      </c:pt>
                      <c:pt idx="25">
                        <c:v>53.1464849913663</c:v>
                      </c:pt>
                      <c:pt idx="26">
                        <c:v>53.773021543401526</c:v>
                      </c:pt>
                      <c:pt idx="27">
                        <c:v>54.21887614299191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C7D-4FF5-AB21-5B4ADCBC045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54.84323253807996</c:v>
                      </c:pt>
                      <c:pt idx="1">
                        <c:v>54.843232538079924</c:v>
                      </c:pt>
                      <c:pt idx="2">
                        <c:v>54.843232538078993</c:v>
                      </c:pt>
                      <c:pt idx="3">
                        <c:v>54.843232538070275</c:v>
                      </c:pt>
                      <c:pt idx="4">
                        <c:v>54.843232538022249</c:v>
                      </c:pt>
                      <c:pt idx="5">
                        <c:v>54.843232537831845</c:v>
                      </c:pt>
                      <c:pt idx="6">
                        <c:v>54.84323253722836</c:v>
                      </c:pt>
                      <c:pt idx="7">
                        <c:v>54.843232535601565</c:v>
                      </c:pt>
                      <c:pt idx="8">
                        <c:v>54.843232531720936</c:v>
                      </c:pt>
                      <c:pt idx="9">
                        <c:v>54.843232523307591</c:v>
                      </c:pt>
                      <c:pt idx="10">
                        <c:v>54.843228756354051</c:v>
                      </c:pt>
                      <c:pt idx="11">
                        <c:v>54.843135617620256</c:v>
                      </c:pt>
                      <c:pt idx="12">
                        <c:v>54.842264523713773</c:v>
                      </c:pt>
                      <c:pt idx="13">
                        <c:v>54.837465909964756</c:v>
                      </c:pt>
                      <c:pt idx="14">
                        <c:v>54.8184912318819</c:v>
                      </c:pt>
                      <c:pt idx="15">
                        <c:v>54.75889692827878</c:v>
                      </c:pt>
                      <c:pt idx="16">
                        <c:v>54.602206947245293</c:v>
                      </c:pt>
                      <c:pt idx="17">
                        <c:v>54.249787800702897</c:v>
                      </c:pt>
                      <c:pt idx="18">
                        <c:v>53.57170988554833</c:v>
                      </c:pt>
                      <c:pt idx="19">
                        <c:v>35.394582987013685</c:v>
                      </c:pt>
                      <c:pt idx="20">
                        <c:v>21.354926948192304</c:v>
                      </c:pt>
                      <c:pt idx="21">
                        <c:v>11.361578790377365</c:v>
                      </c:pt>
                      <c:pt idx="22">
                        <c:v>3.6089398819355534</c:v>
                      </c:pt>
                      <c:pt idx="23">
                        <c:v>-2.7255347179096798</c:v>
                      </c:pt>
                      <c:pt idx="24">
                        <c:v>-8.0812725015040137</c:v>
                      </c:pt>
                      <c:pt idx="25">
                        <c:v>-12.720626805946102</c:v>
                      </c:pt>
                      <c:pt idx="26">
                        <c:v>-16.812828137317357</c:v>
                      </c:pt>
                      <c:pt idx="27">
                        <c:v>-20.473427213245174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7D-4FF5-AB21-5B4ADCBC0459}"/>
                  </c:ext>
                </c:extLst>
              </c15:ser>
            </c15:filteredLineSeries>
          </c:ext>
        </c:extLst>
      </c:lineChart>
      <c:catAx>
        <c:axId val="-57995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9945424"/>
        <c:crosses val="autoZero"/>
        <c:auto val="1"/>
        <c:lblAlgn val="ctr"/>
        <c:lblOffset val="100"/>
        <c:noMultiLvlLbl val="0"/>
      </c:catAx>
      <c:valAx>
        <c:axId val="-5799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99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61.559795187509664</c:v>
                </c:pt>
                <c:pt idx="1">
                  <c:v>73.239176400648461</c:v>
                </c:pt>
                <c:pt idx="2">
                  <c:v>79.825215210083286</c:v>
                </c:pt>
                <c:pt idx="3">
                  <c:v>84.296006404842984</c:v>
                </c:pt>
                <c:pt idx="4">
                  <c:v>87.593634389420032</c:v>
                </c:pt>
                <c:pt idx="5">
                  <c:v>90.14259586374763</c:v>
                </c:pt>
                <c:pt idx="6">
                  <c:v>92.172316366905633</c:v>
                </c:pt>
                <c:pt idx="7">
                  <c:v>93.821655936748115</c:v>
                </c:pt>
                <c:pt idx="8">
                  <c:v>95.181429820289623</c:v>
                </c:pt>
                <c:pt idx="9">
                  <c:v>96.314460879557828</c:v>
                </c:pt>
                <c:pt idx="10">
                  <c:v>101.40386931455956</c:v>
                </c:pt>
                <c:pt idx="11">
                  <c:v>102.26966508885737</c:v>
                </c:pt>
                <c:pt idx="12">
                  <c:v>101.99748631629448</c:v>
                </c:pt>
                <c:pt idx="13">
                  <c:v>101.3590449821438</c:v>
                </c:pt>
                <c:pt idx="14">
                  <c:v>100.6073388771877</c:v>
                </c:pt>
                <c:pt idx="15">
                  <c:v>99.836908027778151</c:v>
                </c:pt>
                <c:pt idx="16">
                  <c:v>99.085052308981872</c:v>
                </c:pt>
                <c:pt idx="17">
                  <c:v>98.366109859656845</c:v>
                </c:pt>
                <c:pt idx="18">
                  <c:v>97.684602536556255</c:v>
                </c:pt>
                <c:pt idx="19">
                  <c:v>92.575624176493932</c:v>
                </c:pt>
                <c:pt idx="20">
                  <c:v>89.288634413470547</c:v>
                </c:pt>
                <c:pt idx="21">
                  <c:v>86.889130300898046</c:v>
                </c:pt>
                <c:pt idx="22">
                  <c:v>85.003491215836959</c:v>
                </c:pt>
                <c:pt idx="23">
                  <c:v>83.451578830149273</c:v>
                </c:pt>
                <c:pt idx="24">
                  <c:v>82.133488611413668</c:v>
                </c:pt>
                <c:pt idx="25">
                  <c:v>80.988209256630569</c:v>
                </c:pt>
                <c:pt idx="26">
                  <c:v>79.975798864758104</c:v>
                </c:pt>
                <c:pt idx="27">
                  <c:v>79.068702419844485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0-4FB4-ACA5-90D1BE054A8F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7.7608929829878006</c:v>
                </c:pt>
                <c:pt idx="1">
                  <c:v>19.79635275117435</c:v>
                </c:pt>
                <c:pt idx="2">
                  <c:v>26.832572830708411</c:v>
                </c:pt>
                <c:pt idx="3">
                  <c:v>31.821327502306296</c:v>
                </c:pt>
                <c:pt idx="4">
                  <c:v>35.687757677802587</c:v>
                </c:pt>
                <c:pt idx="5">
                  <c:v>38.843989663914769</c:v>
                </c:pt>
                <c:pt idx="6">
                  <c:v>41.509890325563703</c:v>
                </c:pt>
                <c:pt idx="7">
                  <c:v>43.81671776312136</c:v>
                </c:pt>
                <c:pt idx="8">
                  <c:v>45.849148198485466</c:v>
                </c:pt>
                <c:pt idx="9">
                  <c:v>47.665006841168804</c:v>
                </c:pt>
                <c:pt idx="10">
                  <c:v>59.526591180800878</c:v>
                </c:pt>
                <c:pt idx="11">
                  <c:v>66.340373992979352</c:v>
                </c:pt>
                <c:pt idx="12">
                  <c:v>71.06959167654162</c:v>
                </c:pt>
                <c:pt idx="13">
                  <c:v>74.646563661820352</c:v>
                </c:pt>
                <c:pt idx="14">
                  <c:v>77.488626051201578</c:v>
                </c:pt>
                <c:pt idx="15">
                  <c:v>79.819719842252937</c:v>
                </c:pt>
                <c:pt idx="16">
                  <c:v>81.774430092174924</c:v>
                </c:pt>
                <c:pt idx="17">
                  <c:v>83.440223920975214</c:v>
                </c:pt>
                <c:pt idx="18">
                  <c:v>84.877308954107974</c:v>
                </c:pt>
                <c:pt idx="19">
                  <c:v>92.631018799215155</c:v>
                </c:pt>
                <c:pt idx="20">
                  <c:v>95.342653950531556</c:v>
                </c:pt>
                <c:pt idx="21">
                  <c:v>96.306606814310044</c:v>
                </c:pt>
                <c:pt idx="22">
                  <c:v>96.515913187983358</c:v>
                </c:pt>
                <c:pt idx="23">
                  <c:v>96.365668049725116</c:v>
                </c:pt>
                <c:pt idx="24">
                  <c:v>96.036181798384689</c:v>
                </c:pt>
                <c:pt idx="25">
                  <c:v>95.617112380767765</c:v>
                </c:pt>
                <c:pt idx="26">
                  <c:v>95.155700814249741</c:v>
                </c:pt>
                <c:pt idx="27">
                  <c:v>94.677822144068585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0-4FB4-ACA5-90D1BE054A8F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114.30020397138892</c:v>
                </c:pt>
                <c:pt idx="1">
                  <c:v>112.64453899523703</c:v>
                </c:pt>
                <c:pt idx="2">
                  <c:v>111.67603707043078</c:v>
                </c:pt>
                <c:pt idx="3">
                  <c:v>110.98887401908513</c:v>
                </c:pt>
                <c:pt idx="4">
                  <c:v>110.45586894754082</c:v>
                </c:pt>
                <c:pt idx="5">
                  <c:v>110.02037209427888</c:v>
                </c:pt>
                <c:pt idx="6">
                  <c:v>109.65216475131051</c:v>
                </c:pt>
                <c:pt idx="7">
                  <c:v>109.33320904293323</c:v>
                </c:pt>
                <c:pt idx="8">
                  <c:v>109.05187016947265</c:v>
                </c:pt>
                <c:pt idx="9">
                  <c:v>108.80020397138892</c:v>
                </c:pt>
                <c:pt idx="10">
                  <c:v>107.14453899523703</c:v>
                </c:pt>
                <c:pt idx="11">
                  <c:v>106.17603707043079</c:v>
                </c:pt>
                <c:pt idx="12">
                  <c:v>105.48887401908515</c:v>
                </c:pt>
                <c:pt idx="13">
                  <c:v>104.95586894754082</c:v>
                </c:pt>
                <c:pt idx="14">
                  <c:v>104.52037209427888</c:v>
                </c:pt>
                <c:pt idx="15">
                  <c:v>104.15216475131052</c:v>
                </c:pt>
                <c:pt idx="16">
                  <c:v>103.83320904293325</c:v>
                </c:pt>
                <c:pt idx="17">
                  <c:v>103.55187016947264</c:v>
                </c:pt>
                <c:pt idx="18">
                  <c:v>103.30020397138894</c:v>
                </c:pt>
                <c:pt idx="19">
                  <c:v>101.64453899523704</c:v>
                </c:pt>
                <c:pt idx="20">
                  <c:v>100.67603707043078</c:v>
                </c:pt>
                <c:pt idx="21">
                  <c:v>99.988874019085131</c:v>
                </c:pt>
                <c:pt idx="22">
                  <c:v>99.455868947540836</c:v>
                </c:pt>
                <c:pt idx="23">
                  <c:v>99.020372094278883</c:v>
                </c:pt>
                <c:pt idx="24">
                  <c:v>98.652164751310508</c:v>
                </c:pt>
                <c:pt idx="25">
                  <c:v>98.333209042933234</c:v>
                </c:pt>
                <c:pt idx="26">
                  <c:v>98.051870169472636</c:v>
                </c:pt>
                <c:pt idx="27">
                  <c:v>97.800203971388925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0-4FB4-ACA5-90D1BE054A8F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54.587641160924896</c:v>
                </c:pt>
                <c:pt idx="1">
                  <c:v>60.531154726598459</c:v>
                </c:pt>
                <c:pt idx="2">
                  <c:v>63.925838828336772</c:v>
                </c:pt>
                <c:pt idx="3">
                  <c:v>66.249350224541786</c:v>
                </c:pt>
                <c:pt idx="4">
                  <c:v>67.966734573988575</c:v>
                </c:pt>
                <c:pt idx="5">
                  <c:v>69.287078844933149</c:v>
                </c:pt>
                <c:pt idx="6">
                  <c:v>70.323742861376303</c:v>
                </c:pt>
                <c:pt idx="7">
                  <c:v>71.146043372438029</c:v>
                </c:pt>
                <c:pt idx="8">
                  <c:v>71.800135965097056</c:v>
                </c:pt>
                <c:pt idx="9">
                  <c:v>72.31876423104265</c:v>
                </c:pt>
                <c:pt idx="10">
                  <c:v>73.577780832078957</c:v>
                </c:pt>
                <c:pt idx="11">
                  <c:v>72.248661817706278</c:v>
                </c:pt>
                <c:pt idx="12">
                  <c:v>70.478716156502543</c:v>
                </c:pt>
                <c:pt idx="13">
                  <c:v>68.752137904453761</c:v>
                </c:pt>
                <c:pt idx="14">
                  <c:v>67.172649218497142</c:v>
                </c:pt>
                <c:pt idx="15">
                  <c:v>65.748353209664273</c:v>
                </c:pt>
                <c:pt idx="16">
                  <c:v>64.463881354824196</c:v>
                </c:pt>
                <c:pt idx="17">
                  <c:v>63.300054005011461</c:v>
                </c:pt>
                <c:pt idx="18">
                  <c:v>62.239203407616621</c:v>
                </c:pt>
                <c:pt idx="19">
                  <c:v>54.983954571171417</c:v>
                </c:pt>
                <c:pt idx="20">
                  <c:v>50.632598135047537</c:v>
                </c:pt>
                <c:pt idx="21">
                  <c:v>47.527016369675451</c:v>
                </c:pt>
                <c:pt idx="22">
                  <c:v>45.112556105497738</c:v>
                </c:pt>
                <c:pt idx="23">
                  <c:v>43.137531146962786</c:v>
                </c:pt>
                <c:pt idx="24">
                  <c:v>41.466579502835614</c:v>
                </c:pt>
                <c:pt idx="25">
                  <c:v>40.018545382347774</c:v>
                </c:pt>
                <c:pt idx="26">
                  <c:v>38.740942277689037</c:v>
                </c:pt>
                <c:pt idx="27">
                  <c:v>37.597870580377567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0-4FB4-ACA5-90D1BE054A8F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83.481103939011859</c:v>
                </c:pt>
                <c:pt idx="1">
                  <c:v>89.486633654653374</c:v>
                </c:pt>
                <c:pt idx="2">
                  <c:v>92.983393373529211</c:v>
                </c:pt>
                <c:pt idx="3">
                  <c:v>95.447184126286743</c:v>
                </c:pt>
                <c:pt idx="4">
                  <c:v>97.340588241819219</c:v>
                </c:pt>
                <c:pt idx="5">
                  <c:v>98.869739742887774</c:v>
                </c:pt>
                <c:pt idx="6">
                  <c:v>100.14468693589816</c:v>
                </c:pt>
                <c:pt idx="7">
                  <c:v>101.23120982602975</c:v>
                </c:pt>
                <c:pt idx="8">
                  <c:v>102.17182836120598</c:v>
                </c:pt>
                <c:pt idx="9">
                  <c:v>102.99566388317528</c:v>
                </c:pt>
                <c:pt idx="10">
                  <c:v>107.67725541469319</c:v>
                </c:pt>
                <c:pt idx="11">
                  <c:v>109.3087739800028</c:v>
                </c:pt>
                <c:pt idx="12">
                  <c:v>109.65648847953597</c:v>
                </c:pt>
                <c:pt idx="13">
                  <c:v>109.38266741989666</c:v>
                </c:pt>
                <c:pt idx="14">
                  <c:v>108.80462837643145</c:v>
                </c:pt>
                <c:pt idx="15">
                  <c:v>108.08468375468551</c:v>
                </c:pt>
                <c:pt idx="16">
                  <c:v>107.30774804491374</c:v>
                </c:pt>
                <c:pt idx="17">
                  <c:v>106.51856599065621</c:v>
                </c:pt>
                <c:pt idx="18">
                  <c:v>105.74054848723711</c:v>
                </c:pt>
                <c:pt idx="19">
                  <c:v>99.486199530590397</c:v>
                </c:pt>
                <c:pt idx="20">
                  <c:v>95.338657973724395</c:v>
                </c:pt>
                <c:pt idx="21">
                  <c:v>92.305940966934443</c:v>
                </c:pt>
                <c:pt idx="22">
                  <c:v>89.925482628311443</c:v>
                </c:pt>
                <c:pt idx="23">
                  <c:v>87.969001854186473</c:v>
                </c:pt>
                <c:pt idx="24">
                  <c:v>86.309257086630723</c:v>
                </c:pt>
                <c:pt idx="25">
                  <c:v>84.868506886215499</c:v>
                </c:pt>
                <c:pt idx="26">
                  <c:v>83.595902274039901</c:v>
                </c:pt>
                <c:pt idx="27">
                  <c:v>82.456408298198639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0-4FB4-ACA5-90D1BE054A8F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114.30383157682961</c:v>
                </c:pt>
                <c:pt idx="1">
                  <c:v>112.66600687122532</c:v>
                </c:pt>
                <c:pt idx="2">
                  <c:v>111.73720619667286</c:v>
                </c:pt>
                <c:pt idx="3">
                  <c:v>111.11763445380275</c:v>
                </c:pt>
                <c:pt idx="4">
                  <c:v>110.68443334358088</c:v>
                </c:pt>
                <c:pt idx="5">
                  <c:v>110.38305898508378</c:v>
                </c:pt>
                <c:pt idx="6">
                  <c:v>110.18292804700785</c:v>
                </c:pt>
                <c:pt idx="7">
                  <c:v>110.06333172723359</c:v>
                </c:pt>
                <c:pt idx="8">
                  <c:v>110.00817646483765</c:v>
                </c:pt>
                <c:pt idx="9">
                  <c:v>110.00397086781462</c:v>
                </c:pt>
                <c:pt idx="10">
                  <c:v>110.94232551068258</c:v>
                </c:pt>
                <c:pt idx="11">
                  <c:v>111.57242475180928</c:v>
                </c:pt>
                <c:pt idx="12">
                  <c:v>111.5730460828707</c:v>
                </c:pt>
                <c:pt idx="13">
                  <c:v>111.1979597633503</c:v>
                </c:pt>
                <c:pt idx="14">
                  <c:v>110.6377437358891</c:v>
                </c:pt>
                <c:pt idx="15">
                  <c:v>110.00365094765434</c:v>
                </c:pt>
                <c:pt idx="16">
                  <c:v>109.35635549470832</c:v>
                </c:pt>
                <c:pt idx="17">
                  <c:v>108.72760195046304</c:v>
                </c:pt>
                <c:pt idx="18">
                  <c:v>108.13311253514914</c:v>
                </c:pt>
                <c:pt idx="19">
                  <c:v>104.33453235048857</c:v>
                </c:pt>
                <c:pt idx="20">
                  <c:v>102.87219308417073</c:v>
                </c:pt>
                <c:pt idx="21">
                  <c:v>102.15794352559165</c:v>
                </c:pt>
                <c:pt idx="22">
                  <c:v>101.64508255875093</c:v>
                </c:pt>
                <c:pt idx="23">
                  <c:v>101.19236931230226</c:v>
                </c:pt>
                <c:pt idx="24">
                  <c:v>100.76909211340167</c:v>
                </c:pt>
                <c:pt idx="25">
                  <c:v>100.37044034056217</c:v>
                </c:pt>
                <c:pt idx="26">
                  <c:v>99.996372777350103</c:v>
                </c:pt>
                <c:pt idx="27">
                  <c:v>99.646874424726406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D0-4FB4-ACA5-90D1BE05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9948144"/>
        <c:axId val="-5799563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-52.88571696496949</c:v>
                      </c:pt>
                      <c:pt idx="1">
                        <c:v>-40.845622822795193</c:v>
                      </c:pt>
                      <c:pt idx="2">
                        <c:v>-33.803404164170821</c:v>
                      </c:pt>
                      <c:pt idx="3">
                        <c:v>-28.807549962970562</c:v>
                      </c:pt>
                      <c:pt idx="4">
                        <c:v>-24.933072140441848</c:v>
                      </c:pt>
                      <c:pt idx="5">
                        <c:v>-21.767948036268749</c:v>
                      </c:pt>
                      <c:pt idx="6">
                        <c:v>-19.092387303191444</c:v>
                      </c:pt>
                      <c:pt idx="7">
                        <c:v>-16.775191487701232</c:v>
                      </c:pt>
                      <c:pt idx="8">
                        <c:v>-14.731732667154544</c:v>
                      </c:pt>
                      <c:pt idx="9">
                        <c:v>-12.9042258614469</c:v>
                      </c:pt>
                      <c:pt idx="10">
                        <c:v>-0.89791965525457973</c:v>
                      </c:pt>
                      <c:pt idx="11">
                        <c:v>6.1006490416270776</c:v>
                      </c:pt>
                      <c:pt idx="12">
                        <c:v>11.044963900980971</c:v>
                      </c:pt>
                      <c:pt idx="13">
                        <c:v>14.861178437149645</c:v>
                      </c:pt>
                      <c:pt idx="14">
                        <c:v>17.962120663784276</c:v>
                      </c:pt>
                      <c:pt idx="15">
                        <c:v>20.568187215244521</c:v>
                      </c:pt>
                      <c:pt idx="16">
                        <c:v>22.811058614188951</c:v>
                      </c:pt>
                      <c:pt idx="17">
                        <c:v>24.77576091367926</c:v>
                      </c:pt>
                      <c:pt idx="18">
                        <c:v>26.520417174783319</c:v>
                      </c:pt>
                      <c:pt idx="19">
                        <c:v>37.52463412144202</c:v>
                      </c:pt>
                      <c:pt idx="20">
                        <c:v>43.311326589151093</c:v>
                      </c:pt>
                      <c:pt idx="21">
                        <c:v>46.929232476511416</c:v>
                      </c:pt>
                      <c:pt idx="22">
                        <c:v>49.362869107062501</c:v>
                      </c:pt>
                      <c:pt idx="23">
                        <c:v>51.062995425932691</c:v>
                      </c:pt>
                      <c:pt idx="24">
                        <c:v>52.274909743045555</c:v>
                      </c:pt>
                      <c:pt idx="25">
                        <c:v>53.1464849913663</c:v>
                      </c:pt>
                      <c:pt idx="26">
                        <c:v>53.773021543401526</c:v>
                      </c:pt>
                      <c:pt idx="27">
                        <c:v>54.21887614299191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AD0-4FB4-ACA5-90D1BE054A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54.84323253807996</c:v>
                      </c:pt>
                      <c:pt idx="1">
                        <c:v>54.843232538079924</c:v>
                      </c:pt>
                      <c:pt idx="2">
                        <c:v>54.843232538078993</c:v>
                      </c:pt>
                      <c:pt idx="3">
                        <c:v>54.843232538070275</c:v>
                      </c:pt>
                      <c:pt idx="4">
                        <c:v>54.843232538022249</c:v>
                      </c:pt>
                      <c:pt idx="5">
                        <c:v>54.843232537831845</c:v>
                      </c:pt>
                      <c:pt idx="6">
                        <c:v>54.84323253722836</c:v>
                      </c:pt>
                      <c:pt idx="7">
                        <c:v>54.843232535601565</c:v>
                      </c:pt>
                      <c:pt idx="8">
                        <c:v>54.843232531720936</c:v>
                      </c:pt>
                      <c:pt idx="9">
                        <c:v>54.843232523307591</c:v>
                      </c:pt>
                      <c:pt idx="10">
                        <c:v>54.843228756354051</c:v>
                      </c:pt>
                      <c:pt idx="11">
                        <c:v>54.843135617620256</c:v>
                      </c:pt>
                      <c:pt idx="12">
                        <c:v>54.842264523713773</c:v>
                      </c:pt>
                      <c:pt idx="13">
                        <c:v>54.837465909964756</c:v>
                      </c:pt>
                      <c:pt idx="14">
                        <c:v>54.8184912318819</c:v>
                      </c:pt>
                      <c:pt idx="15">
                        <c:v>54.75889692827878</c:v>
                      </c:pt>
                      <c:pt idx="16">
                        <c:v>54.602206947245293</c:v>
                      </c:pt>
                      <c:pt idx="17">
                        <c:v>54.249787800702897</c:v>
                      </c:pt>
                      <c:pt idx="18">
                        <c:v>53.57170988554833</c:v>
                      </c:pt>
                      <c:pt idx="19">
                        <c:v>35.394582987013685</c:v>
                      </c:pt>
                      <c:pt idx="20">
                        <c:v>21.354926948192304</c:v>
                      </c:pt>
                      <c:pt idx="21">
                        <c:v>11.361578790377365</c:v>
                      </c:pt>
                      <c:pt idx="22">
                        <c:v>3.6089398819355534</c:v>
                      </c:pt>
                      <c:pt idx="23">
                        <c:v>-2.7255347179096798</c:v>
                      </c:pt>
                      <c:pt idx="24">
                        <c:v>-8.0812725015040137</c:v>
                      </c:pt>
                      <c:pt idx="25">
                        <c:v>-12.720626805946102</c:v>
                      </c:pt>
                      <c:pt idx="26">
                        <c:v>-16.812828137317357</c:v>
                      </c:pt>
                      <c:pt idx="27">
                        <c:v>-20.473427213245174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AD0-4FB4-ACA5-90D1BE054A8F}"/>
                  </c:ext>
                </c:extLst>
              </c15:ser>
            </c15:filteredLineSeries>
          </c:ext>
        </c:extLst>
      </c:lineChart>
      <c:catAx>
        <c:axId val="-57994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9956304"/>
        <c:crosses val="autoZero"/>
        <c:auto val="1"/>
        <c:lblAlgn val="ctr"/>
        <c:lblOffset val="100"/>
        <c:noMultiLvlLbl val="0"/>
      </c:catAx>
      <c:valAx>
        <c:axId val="-5799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99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61.559795187509664</c:v>
                </c:pt>
                <c:pt idx="1">
                  <c:v>73.239176400648461</c:v>
                </c:pt>
                <c:pt idx="2">
                  <c:v>79.825215210083286</c:v>
                </c:pt>
                <c:pt idx="3">
                  <c:v>84.296006404842984</c:v>
                </c:pt>
                <c:pt idx="4">
                  <c:v>87.593634389420032</c:v>
                </c:pt>
                <c:pt idx="5">
                  <c:v>90.14259586374763</c:v>
                </c:pt>
                <c:pt idx="6">
                  <c:v>92.172316366905633</c:v>
                </c:pt>
                <c:pt idx="7">
                  <c:v>93.821655936748115</c:v>
                </c:pt>
                <c:pt idx="8">
                  <c:v>95.181429820289623</c:v>
                </c:pt>
                <c:pt idx="9">
                  <c:v>96.314460879557828</c:v>
                </c:pt>
                <c:pt idx="10">
                  <c:v>101.40386931455956</c:v>
                </c:pt>
                <c:pt idx="11">
                  <c:v>102.26966508885737</c:v>
                </c:pt>
                <c:pt idx="12">
                  <c:v>101.99748631629448</c:v>
                </c:pt>
                <c:pt idx="13">
                  <c:v>101.3590449821438</c:v>
                </c:pt>
                <c:pt idx="14">
                  <c:v>100.6073388771877</c:v>
                </c:pt>
                <c:pt idx="15">
                  <c:v>99.836908027778151</c:v>
                </c:pt>
                <c:pt idx="16">
                  <c:v>99.085052308981872</c:v>
                </c:pt>
                <c:pt idx="17">
                  <c:v>98.366109859656845</c:v>
                </c:pt>
                <c:pt idx="18">
                  <c:v>97.684602536556255</c:v>
                </c:pt>
                <c:pt idx="19">
                  <c:v>92.575624176493932</c:v>
                </c:pt>
                <c:pt idx="20">
                  <c:v>89.288634413470547</c:v>
                </c:pt>
                <c:pt idx="21">
                  <c:v>86.889130300898046</c:v>
                </c:pt>
                <c:pt idx="22">
                  <c:v>85.003491215836959</c:v>
                </c:pt>
                <c:pt idx="23">
                  <c:v>83.451578830149273</c:v>
                </c:pt>
                <c:pt idx="24">
                  <c:v>82.133488611413668</c:v>
                </c:pt>
                <c:pt idx="25">
                  <c:v>80.988209256630569</c:v>
                </c:pt>
                <c:pt idx="26">
                  <c:v>79.975798864758104</c:v>
                </c:pt>
                <c:pt idx="27">
                  <c:v>79.068702419844485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5-4822-B2C1-70A727BBDCF8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7.7608929829878006</c:v>
                </c:pt>
                <c:pt idx="1">
                  <c:v>19.79635275117435</c:v>
                </c:pt>
                <c:pt idx="2">
                  <c:v>26.832572830708411</c:v>
                </c:pt>
                <c:pt idx="3">
                  <c:v>31.821327502306296</c:v>
                </c:pt>
                <c:pt idx="4">
                  <c:v>35.687757677802587</c:v>
                </c:pt>
                <c:pt idx="5">
                  <c:v>38.843989663914769</c:v>
                </c:pt>
                <c:pt idx="6">
                  <c:v>41.509890325563703</c:v>
                </c:pt>
                <c:pt idx="7">
                  <c:v>43.81671776312136</c:v>
                </c:pt>
                <c:pt idx="8">
                  <c:v>45.849148198485466</c:v>
                </c:pt>
                <c:pt idx="9">
                  <c:v>47.665006841168804</c:v>
                </c:pt>
                <c:pt idx="10">
                  <c:v>59.526591180800878</c:v>
                </c:pt>
                <c:pt idx="11">
                  <c:v>66.340373992979352</c:v>
                </c:pt>
                <c:pt idx="12">
                  <c:v>71.06959167654162</c:v>
                </c:pt>
                <c:pt idx="13">
                  <c:v>74.646563661820352</c:v>
                </c:pt>
                <c:pt idx="14">
                  <c:v>77.488626051201578</c:v>
                </c:pt>
                <c:pt idx="15">
                  <c:v>79.819719842252937</c:v>
                </c:pt>
                <c:pt idx="16">
                  <c:v>81.774430092174924</c:v>
                </c:pt>
                <c:pt idx="17">
                  <c:v>83.440223920975214</c:v>
                </c:pt>
                <c:pt idx="18">
                  <c:v>84.877308954107974</c:v>
                </c:pt>
                <c:pt idx="19">
                  <c:v>92.631018799215155</c:v>
                </c:pt>
                <c:pt idx="20">
                  <c:v>95.342653950531556</c:v>
                </c:pt>
                <c:pt idx="21">
                  <c:v>96.306606814310044</c:v>
                </c:pt>
                <c:pt idx="22">
                  <c:v>96.515913187983358</c:v>
                </c:pt>
                <c:pt idx="23">
                  <c:v>96.365668049725116</c:v>
                </c:pt>
                <c:pt idx="24">
                  <c:v>96.036181798384689</c:v>
                </c:pt>
                <c:pt idx="25">
                  <c:v>95.617112380767765</c:v>
                </c:pt>
                <c:pt idx="26">
                  <c:v>95.155700814249741</c:v>
                </c:pt>
                <c:pt idx="27">
                  <c:v>94.677822144068585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5-4822-B2C1-70A727BBDCF8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114.30020397138892</c:v>
                </c:pt>
                <c:pt idx="1">
                  <c:v>112.64453899523703</c:v>
                </c:pt>
                <c:pt idx="2">
                  <c:v>111.67603707043078</c:v>
                </c:pt>
                <c:pt idx="3">
                  <c:v>110.98887401908513</c:v>
                </c:pt>
                <c:pt idx="4">
                  <c:v>110.45586894754082</c:v>
                </c:pt>
                <c:pt idx="5">
                  <c:v>110.02037209427888</c:v>
                </c:pt>
                <c:pt idx="6">
                  <c:v>109.65216475131051</c:v>
                </c:pt>
                <c:pt idx="7">
                  <c:v>109.33320904293323</c:v>
                </c:pt>
                <c:pt idx="8">
                  <c:v>109.05187016947265</c:v>
                </c:pt>
                <c:pt idx="9">
                  <c:v>108.80020397138892</c:v>
                </c:pt>
                <c:pt idx="10">
                  <c:v>107.14453899523703</c:v>
                </c:pt>
                <c:pt idx="11">
                  <c:v>106.17603707043079</c:v>
                </c:pt>
                <c:pt idx="12">
                  <c:v>105.48887401908515</c:v>
                </c:pt>
                <c:pt idx="13">
                  <c:v>104.95586894754082</c:v>
                </c:pt>
                <c:pt idx="14">
                  <c:v>104.52037209427888</c:v>
                </c:pt>
                <c:pt idx="15">
                  <c:v>104.15216475131052</c:v>
                </c:pt>
                <c:pt idx="16">
                  <c:v>103.83320904293325</c:v>
                </c:pt>
                <c:pt idx="17">
                  <c:v>103.55187016947264</c:v>
                </c:pt>
                <c:pt idx="18">
                  <c:v>103.30020397138894</c:v>
                </c:pt>
                <c:pt idx="19">
                  <c:v>101.64453899523704</c:v>
                </c:pt>
                <c:pt idx="20">
                  <c:v>100.67603707043078</c:v>
                </c:pt>
                <c:pt idx="21">
                  <c:v>99.988874019085131</c:v>
                </c:pt>
                <c:pt idx="22">
                  <c:v>99.455868947540836</c:v>
                </c:pt>
                <c:pt idx="23">
                  <c:v>99.020372094278883</c:v>
                </c:pt>
                <c:pt idx="24">
                  <c:v>98.652164751310508</c:v>
                </c:pt>
                <c:pt idx="25">
                  <c:v>98.333209042933234</c:v>
                </c:pt>
                <c:pt idx="26">
                  <c:v>98.051870169472636</c:v>
                </c:pt>
                <c:pt idx="27">
                  <c:v>97.800203971388925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5-4822-B2C1-70A727BBDCF8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54.587641160924896</c:v>
                </c:pt>
                <c:pt idx="1">
                  <c:v>60.531154726598459</c:v>
                </c:pt>
                <c:pt idx="2">
                  <c:v>63.925838828336772</c:v>
                </c:pt>
                <c:pt idx="3">
                  <c:v>66.249350224541786</c:v>
                </c:pt>
                <c:pt idx="4">
                  <c:v>67.966734573988575</c:v>
                </c:pt>
                <c:pt idx="5">
                  <c:v>69.287078844933149</c:v>
                </c:pt>
                <c:pt idx="6">
                  <c:v>70.323742861376303</c:v>
                </c:pt>
                <c:pt idx="7">
                  <c:v>71.146043372438029</c:v>
                </c:pt>
                <c:pt idx="8">
                  <c:v>71.800135965097056</c:v>
                </c:pt>
                <c:pt idx="9">
                  <c:v>72.31876423104265</c:v>
                </c:pt>
                <c:pt idx="10">
                  <c:v>73.577780832078957</c:v>
                </c:pt>
                <c:pt idx="11">
                  <c:v>72.248661817706278</c:v>
                </c:pt>
                <c:pt idx="12">
                  <c:v>70.478716156502543</c:v>
                </c:pt>
                <c:pt idx="13">
                  <c:v>68.752137904453761</c:v>
                </c:pt>
                <c:pt idx="14">
                  <c:v>67.172649218497142</c:v>
                </c:pt>
                <c:pt idx="15">
                  <c:v>65.748353209664273</c:v>
                </c:pt>
                <c:pt idx="16">
                  <c:v>64.463881354824196</c:v>
                </c:pt>
                <c:pt idx="17">
                  <c:v>63.300054005011461</c:v>
                </c:pt>
                <c:pt idx="18">
                  <c:v>62.239203407616621</c:v>
                </c:pt>
                <c:pt idx="19">
                  <c:v>54.983954571171417</c:v>
                </c:pt>
                <c:pt idx="20">
                  <c:v>50.632598135047537</c:v>
                </c:pt>
                <c:pt idx="21">
                  <c:v>47.527016369675451</c:v>
                </c:pt>
                <c:pt idx="22">
                  <c:v>45.112556105497738</c:v>
                </c:pt>
                <c:pt idx="23">
                  <c:v>43.137531146962786</c:v>
                </c:pt>
                <c:pt idx="24">
                  <c:v>41.466579502835614</c:v>
                </c:pt>
                <c:pt idx="25">
                  <c:v>40.018545382347774</c:v>
                </c:pt>
                <c:pt idx="26">
                  <c:v>38.740942277689037</c:v>
                </c:pt>
                <c:pt idx="27">
                  <c:v>37.597870580377567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5-4822-B2C1-70A727BBDCF8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83.481103939011859</c:v>
                </c:pt>
                <c:pt idx="1">
                  <c:v>89.486633654653374</c:v>
                </c:pt>
                <c:pt idx="2">
                  <c:v>92.983393373529211</c:v>
                </c:pt>
                <c:pt idx="3">
                  <c:v>95.447184126286743</c:v>
                </c:pt>
                <c:pt idx="4">
                  <c:v>97.340588241819219</c:v>
                </c:pt>
                <c:pt idx="5">
                  <c:v>98.869739742887774</c:v>
                </c:pt>
                <c:pt idx="6">
                  <c:v>100.14468693589816</c:v>
                </c:pt>
                <c:pt idx="7">
                  <c:v>101.23120982602975</c:v>
                </c:pt>
                <c:pt idx="8">
                  <c:v>102.17182836120598</c:v>
                </c:pt>
                <c:pt idx="9">
                  <c:v>102.99566388317528</c:v>
                </c:pt>
                <c:pt idx="10">
                  <c:v>107.67725541469319</c:v>
                </c:pt>
                <c:pt idx="11">
                  <c:v>109.3087739800028</c:v>
                </c:pt>
                <c:pt idx="12">
                  <c:v>109.65648847953597</c:v>
                </c:pt>
                <c:pt idx="13">
                  <c:v>109.38266741989666</c:v>
                </c:pt>
                <c:pt idx="14">
                  <c:v>108.80462837643145</c:v>
                </c:pt>
                <c:pt idx="15">
                  <c:v>108.08468375468551</c:v>
                </c:pt>
                <c:pt idx="16">
                  <c:v>107.30774804491374</c:v>
                </c:pt>
                <c:pt idx="17">
                  <c:v>106.51856599065621</c:v>
                </c:pt>
                <c:pt idx="18">
                  <c:v>105.74054848723711</c:v>
                </c:pt>
                <c:pt idx="19">
                  <c:v>99.486199530590397</c:v>
                </c:pt>
                <c:pt idx="20">
                  <c:v>95.338657973724395</c:v>
                </c:pt>
                <c:pt idx="21">
                  <c:v>92.305940966934443</c:v>
                </c:pt>
                <c:pt idx="22">
                  <c:v>89.925482628311443</c:v>
                </c:pt>
                <c:pt idx="23">
                  <c:v>87.969001854186473</c:v>
                </c:pt>
                <c:pt idx="24">
                  <c:v>86.309257086630723</c:v>
                </c:pt>
                <c:pt idx="25">
                  <c:v>84.868506886215499</c:v>
                </c:pt>
                <c:pt idx="26">
                  <c:v>83.595902274039901</c:v>
                </c:pt>
                <c:pt idx="27">
                  <c:v>82.456408298198639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5-4822-B2C1-70A727BBDCF8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114.30383157682961</c:v>
                </c:pt>
                <c:pt idx="1">
                  <c:v>112.66600687122532</c:v>
                </c:pt>
                <c:pt idx="2">
                  <c:v>111.73720619667286</c:v>
                </c:pt>
                <c:pt idx="3">
                  <c:v>111.11763445380275</c:v>
                </c:pt>
                <c:pt idx="4">
                  <c:v>110.68443334358088</c:v>
                </c:pt>
                <c:pt idx="5">
                  <c:v>110.38305898508378</c:v>
                </c:pt>
                <c:pt idx="6">
                  <c:v>110.18292804700785</c:v>
                </c:pt>
                <c:pt idx="7">
                  <c:v>110.06333172723359</c:v>
                </c:pt>
                <c:pt idx="8">
                  <c:v>110.00817646483765</c:v>
                </c:pt>
                <c:pt idx="9">
                  <c:v>110.00397086781462</c:v>
                </c:pt>
                <c:pt idx="10">
                  <c:v>110.94232551068258</c:v>
                </c:pt>
                <c:pt idx="11">
                  <c:v>111.57242475180928</c:v>
                </c:pt>
                <c:pt idx="12">
                  <c:v>111.5730460828707</c:v>
                </c:pt>
                <c:pt idx="13">
                  <c:v>111.1979597633503</c:v>
                </c:pt>
                <c:pt idx="14">
                  <c:v>110.6377437358891</c:v>
                </c:pt>
                <c:pt idx="15">
                  <c:v>110.00365094765434</c:v>
                </c:pt>
                <c:pt idx="16">
                  <c:v>109.35635549470832</c:v>
                </c:pt>
                <c:pt idx="17">
                  <c:v>108.72760195046304</c:v>
                </c:pt>
                <c:pt idx="18">
                  <c:v>108.13311253514914</c:v>
                </c:pt>
                <c:pt idx="19">
                  <c:v>104.33453235048857</c:v>
                </c:pt>
                <c:pt idx="20">
                  <c:v>102.87219308417073</c:v>
                </c:pt>
                <c:pt idx="21">
                  <c:v>102.15794352559165</c:v>
                </c:pt>
                <c:pt idx="22">
                  <c:v>101.64508255875093</c:v>
                </c:pt>
                <c:pt idx="23">
                  <c:v>101.19236931230226</c:v>
                </c:pt>
                <c:pt idx="24">
                  <c:v>100.76909211340167</c:v>
                </c:pt>
                <c:pt idx="25">
                  <c:v>100.37044034056217</c:v>
                </c:pt>
                <c:pt idx="26">
                  <c:v>99.996372777350103</c:v>
                </c:pt>
                <c:pt idx="27">
                  <c:v>99.646874424726406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B5-4822-B2C1-70A727BB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7293792"/>
        <c:axId val="-3972888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-52.88571696496949</c:v>
                      </c:pt>
                      <c:pt idx="1">
                        <c:v>-40.845622822795193</c:v>
                      </c:pt>
                      <c:pt idx="2">
                        <c:v>-33.803404164170821</c:v>
                      </c:pt>
                      <c:pt idx="3">
                        <c:v>-28.807549962970562</c:v>
                      </c:pt>
                      <c:pt idx="4">
                        <c:v>-24.933072140441848</c:v>
                      </c:pt>
                      <c:pt idx="5">
                        <c:v>-21.767948036268749</c:v>
                      </c:pt>
                      <c:pt idx="6">
                        <c:v>-19.092387303191444</c:v>
                      </c:pt>
                      <c:pt idx="7">
                        <c:v>-16.775191487701232</c:v>
                      </c:pt>
                      <c:pt idx="8">
                        <c:v>-14.731732667154544</c:v>
                      </c:pt>
                      <c:pt idx="9">
                        <c:v>-12.9042258614469</c:v>
                      </c:pt>
                      <c:pt idx="10">
                        <c:v>-0.89791965525457973</c:v>
                      </c:pt>
                      <c:pt idx="11">
                        <c:v>6.1006490416270776</c:v>
                      </c:pt>
                      <c:pt idx="12">
                        <c:v>11.044963900980971</c:v>
                      </c:pt>
                      <c:pt idx="13">
                        <c:v>14.861178437149645</c:v>
                      </c:pt>
                      <c:pt idx="14">
                        <c:v>17.962120663784276</c:v>
                      </c:pt>
                      <c:pt idx="15">
                        <c:v>20.568187215244521</c:v>
                      </c:pt>
                      <c:pt idx="16">
                        <c:v>22.811058614188951</c:v>
                      </c:pt>
                      <c:pt idx="17">
                        <c:v>24.77576091367926</c:v>
                      </c:pt>
                      <c:pt idx="18">
                        <c:v>26.520417174783319</c:v>
                      </c:pt>
                      <c:pt idx="19">
                        <c:v>37.52463412144202</c:v>
                      </c:pt>
                      <c:pt idx="20">
                        <c:v>43.311326589151093</c:v>
                      </c:pt>
                      <c:pt idx="21">
                        <c:v>46.929232476511416</c:v>
                      </c:pt>
                      <c:pt idx="22">
                        <c:v>49.362869107062501</c:v>
                      </c:pt>
                      <c:pt idx="23">
                        <c:v>51.062995425932691</c:v>
                      </c:pt>
                      <c:pt idx="24">
                        <c:v>52.274909743045555</c:v>
                      </c:pt>
                      <c:pt idx="25">
                        <c:v>53.1464849913663</c:v>
                      </c:pt>
                      <c:pt idx="26">
                        <c:v>53.773021543401526</c:v>
                      </c:pt>
                      <c:pt idx="27">
                        <c:v>54.21887614299191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DB5-4822-B2C1-70A727BBDCF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54.84323253807996</c:v>
                      </c:pt>
                      <c:pt idx="1">
                        <c:v>54.843232538079924</c:v>
                      </c:pt>
                      <c:pt idx="2">
                        <c:v>54.843232538078993</c:v>
                      </c:pt>
                      <c:pt idx="3">
                        <c:v>54.843232538070275</c:v>
                      </c:pt>
                      <c:pt idx="4">
                        <c:v>54.843232538022249</c:v>
                      </c:pt>
                      <c:pt idx="5">
                        <c:v>54.843232537831845</c:v>
                      </c:pt>
                      <c:pt idx="6">
                        <c:v>54.84323253722836</c:v>
                      </c:pt>
                      <c:pt idx="7">
                        <c:v>54.843232535601565</c:v>
                      </c:pt>
                      <c:pt idx="8">
                        <c:v>54.843232531720936</c:v>
                      </c:pt>
                      <c:pt idx="9">
                        <c:v>54.843232523307591</c:v>
                      </c:pt>
                      <c:pt idx="10">
                        <c:v>54.843228756354051</c:v>
                      </c:pt>
                      <c:pt idx="11">
                        <c:v>54.843135617620256</c:v>
                      </c:pt>
                      <c:pt idx="12">
                        <c:v>54.842264523713773</c:v>
                      </c:pt>
                      <c:pt idx="13">
                        <c:v>54.837465909964756</c:v>
                      </c:pt>
                      <c:pt idx="14">
                        <c:v>54.8184912318819</c:v>
                      </c:pt>
                      <c:pt idx="15">
                        <c:v>54.75889692827878</c:v>
                      </c:pt>
                      <c:pt idx="16">
                        <c:v>54.602206947245293</c:v>
                      </c:pt>
                      <c:pt idx="17">
                        <c:v>54.249787800702897</c:v>
                      </c:pt>
                      <c:pt idx="18">
                        <c:v>53.57170988554833</c:v>
                      </c:pt>
                      <c:pt idx="19">
                        <c:v>35.394582987013685</c:v>
                      </c:pt>
                      <c:pt idx="20">
                        <c:v>21.354926948192304</c:v>
                      </c:pt>
                      <c:pt idx="21">
                        <c:v>11.361578790377365</c:v>
                      </c:pt>
                      <c:pt idx="22">
                        <c:v>3.6089398819355534</c:v>
                      </c:pt>
                      <c:pt idx="23">
                        <c:v>-2.7255347179096798</c:v>
                      </c:pt>
                      <c:pt idx="24">
                        <c:v>-8.0812725015040137</c:v>
                      </c:pt>
                      <c:pt idx="25">
                        <c:v>-12.720626805946102</c:v>
                      </c:pt>
                      <c:pt idx="26">
                        <c:v>-16.812828137317357</c:v>
                      </c:pt>
                      <c:pt idx="27">
                        <c:v>-20.473427213245174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DB5-4822-B2C1-70A727BBDCF8}"/>
                  </c:ext>
                </c:extLst>
              </c15:ser>
            </c15:filteredLineSeries>
          </c:ext>
        </c:extLst>
      </c:lineChart>
      <c:catAx>
        <c:axId val="-39729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7288896"/>
        <c:crosses val="autoZero"/>
        <c:auto val="1"/>
        <c:lblAlgn val="ctr"/>
        <c:lblOffset val="100"/>
        <c:noMultiLvlLbl val="0"/>
      </c:catAx>
      <c:valAx>
        <c:axId val="-3972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972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61.559795187509664</c:v>
                </c:pt>
                <c:pt idx="1">
                  <c:v>73.239176400648461</c:v>
                </c:pt>
                <c:pt idx="2">
                  <c:v>79.825215210083286</c:v>
                </c:pt>
                <c:pt idx="3">
                  <c:v>84.296006404842984</c:v>
                </c:pt>
                <c:pt idx="4">
                  <c:v>87.593634389420032</c:v>
                </c:pt>
                <c:pt idx="5">
                  <c:v>90.14259586374763</c:v>
                </c:pt>
                <c:pt idx="6">
                  <c:v>92.172316366905633</c:v>
                </c:pt>
                <c:pt idx="7">
                  <c:v>93.821655936748115</c:v>
                </c:pt>
                <c:pt idx="8">
                  <c:v>95.181429820289623</c:v>
                </c:pt>
                <c:pt idx="9">
                  <c:v>96.314460879557828</c:v>
                </c:pt>
                <c:pt idx="10">
                  <c:v>101.40386931455956</c:v>
                </c:pt>
                <c:pt idx="11">
                  <c:v>102.26966508885737</c:v>
                </c:pt>
                <c:pt idx="12">
                  <c:v>101.99748631629448</c:v>
                </c:pt>
                <c:pt idx="13">
                  <c:v>101.3590449821438</c:v>
                </c:pt>
                <c:pt idx="14">
                  <c:v>100.6073388771877</c:v>
                </c:pt>
                <c:pt idx="15">
                  <c:v>99.836908027778151</c:v>
                </c:pt>
                <c:pt idx="16">
                  <c:v>99.085052308981872</c:v>
                </c:pt>
                <c:pt idx="17">
                  <c:v>98.366109859656845</c:v>
                </c:pt>
                <c:pt idx="18">
                  <c:v>97.684602536556255</c:v>
                </c:pt>
                <c:pt idx="19">
                  <c:v>92.575624176493932</c:v>
                </c:pt>
                <c:pt idx="20">
                  <c:v>89.288634413470547</c:v>
                </c:pt>
                <c:pt idx="21">
                  <c:v>86.889130300898046</c:v>
                </c:pt>
                <c:pt idx="22">
                  <c:v>85.003491215836959</c:v>
                </c:pt>
                <c:pt idx="23">
                  <c:v>83.451578830149273</c:v>
                </c:pt>
                <c:pt idx="24">
                  <c:v>82.133488611413668</c:v>
                </c:pt>
                <c:pt idx="25">
                  <c:v>80.988209256630569</c:v>
                </c:pt>
                <c:pt idx="26">
                  <c:v>79.975798864758104</c:v>
                </c:pt>
                <c:pt idx="27">
                  <c:v>79.068702419844485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4-4AAF-8BB3-D9AB3BDBABB6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7.7608929829878006</c:v>
                </c:pt>
                <c:pt idx="1">
                  <c:v>19.79635275117435</c:v>
                </c:pt>
                <c:pt idx="2">
                  <c:v>26.832572830708411</c:v>
                </c:pt>
                <c:pt idx="3">
                  <c:v>31.821327502306296</c:v>
                </c:pt>
                <c:pt idx="4">
                  <c:v>35.687757677802587</c:v>
                </c:pt>
                <c:pt idx="5">
                  <c:v>38.843989663914769</c:v>
                </c:pt>
                <c:pt idx="6">
                  <c:v>41.509890325563703</c:v>
                </c:pt>
                <c:pt idx="7">
                  <c:v>43.81671776312136</c:v>
                </c:pt>
                <c:pt idx="8">
                  <c:v>45.849148198485466</c:v>
                </c:pt>
                <c:pt idx="9">
                  <c:v>47.665006841168804</c:v>
                </c:pt>
                <c:pt idx="10">
                  <c:v>59.526591180800878</c:v>
                </c:pt>
                <c:pt idx="11">
                  <c:v>66.340373992979352</c:v>
                </c:pt>
                <c:pt idx="12">
                  <c:v>71.06959167654162</c:v>
                </c:pt>
                <c:pt idx="13">
                  <c:v>74.646563661820352</c:v>
                </c:pt>
                <c:pt idx="14">
                  <c:v>77.488626051201578</c:v>
                </c:pt>
                <c:pt idx="15">
                  <c:v>79.819719842252937</c:v>
                </c:pt>
                <c:pt idx="16">
                  <c:v>81.774430092174924</c:v>
                </c:pt>
                <c:pt idx="17">
                  <c:v>83.440223920975214</c:v>
                </c:pt>
                <c:pt idx="18">
                  <c:v>84.877308954107974</c:v>
                </c:pt>
                <c:pt idx="19">
                  <c:v>92.631018799215155</c:v>
                </c:pt>
                <c:pt idx="20">
                  <c:v>95.342653950531556</c:v>
                </c:pt>
                <c:pt idx="21">
                  <c:v>96.306606814310044</c:v>
                </c:pt>
                <c:pt idx="22">
                  <c:v>96.515913187983358</c:v>
                </c:pt>
                <c:pt idx="23">
                  <c:v>96.365668049725116</c:v>
                </c:pt>
                <c:pt idx="24">
                  <c:v>96.036181798384689</c:v>
                </c:pt>
                <c:pt idx="25">
                  <c:v>95.617112380767765</c:v>
                </c:pt>
                <c:pt idx="26">
                  <c:v>95.155700814249741</c:v>
                </c:pt>
                <c:pt idx="27">
                  <c:v>94.677822144068585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4-4AAF-8BB3-D9AB3BDBABB6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114.30020397138892</c:v>
                </c:pt>
                <c:pt idx="1">
                  <c:v>112.64453899523703</c:v>
                </c:pt>
                <c:pt idx="2">
                  <c:v>111.67603707043078</c:v>
                </c:pt>
                <c:pt idx="3">
                  <c:v>110.98887401908513</c:v>
                </c:pt>
                <c:pt idx="4">
                  <c:v>110.45586894754082</c:v>
                </c:pt>
                <c:pt idx="5">
                  <c:v>110.02037209427888</c:v>
                </c:pt>
                <c:pt idx="6">
                  <c:v>109.65216475131051</c:v>
                </c:pt>
                <c:pt idx="7">
                  <c:v>109.33320904293323</c:v>
                </c:pt>
                <c:pt idx="8">
                  <c:v>109.05187016947265</c:v>
                </c:pt>
                <c:pt idx="9">
                  <c:v>108.80020397138892</c:v>
                </c:pt>
                <c:pt idx="10">
                  <c:v>107.14453899523703</c:v>
                </c:pt>
                <c:pt idx="11">
                  <c:v>106.17603707043079</c:v>
                </c:pt>
                <c:pt idx="12">
                  <c:v>105.48887401908515</c:v>
                </c:pt>
                <c:pt idx="13">
                  <c:v>104.95586894754082</c:v>
                </c:pt>
                <c:pt idx="14">
                  <c:v>104.52037209427888</c:v>
                </c:pt>
                <c:pt idx="15">
                  <c:v>104.15216475131052</c:v>
                </c:pt>
                <c:pt idx="16">
                  <c:v>103.83320904293325</c:v>
                </c:pt>
                <c:pt idx="17">
                  <c:v>103.55187016947264</c:v>
                </c:pt>
                <c:pt idx="18">
                  <c:v>103.30020397138894</c:v>
                </c:pt>
                <c:pt idx="19">
                  <c:v>101.64453899523704</c:v>
                </c:pt>
                <c:pt idx="20">
                  <c:v>100.67603707043078</c:v>
                </c:pt>
                <c:pt idx="21">
                  <c:v>99.988874019085131</c:v>
                </c:pt>
                <c:pt idx="22">
                  <c:v>99.455868947540836</c:v>
                </c:pt>
                <c:pt idx="23">
                  <c:v>99.020372094278883</c:v>
                </c:pt>
                <c:pt idx="24">
                  <c:v>98.652164751310508</c:v>
                </c:pt>
                <c:pt idx="25">
                  <c:v>98.333209042933234</c:v>
                </c:pt>
                <c:pt idx="26">
                  <c:v>98.051870169472636</c:v>
                </c:pt>
                <c:pt idx="27">
                  <c:v>97.800203971388925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4-4AAF-8BB3-D9AB3BDBABB6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54.587641160924896</c:v>
                </c:pt>
                <c:pt idx="1">
                  <c:v>60.531154726598459</c:v>
                </c:pt>
                <c:pt idx="2">
                  <c:v>63.925838828336772</c:v>
                </c:pt>
                <c:pt idx="3">
                  <c:v>66.249350224541786</c:v>
                </c:pt>
                <c:pt idx="4">
                  <c:v>67.966734573988575</c:v>
                </c:pt>
                <c:pt idx="5">
                  <c:v>69.287078844933149</c:v>
                </c:pt>
                <c:pt idx="6">
                  <c:v>70.323742861376303</c:v>
                </c:pt>
                <c:pt idx="7">
                  <c:v>71.146043372438029</c:v>
                </c:pt>
                <c:pt idx="8">
                  <c:v>71.800135965097056</c:v>
                </c:pt>
                <c:pt idx="9">
                  <c:v>72.31876423104265</c:v>
                </c:pt>
                <c:pt idx="10">
                  <c:v>73.577780832078957</c:v>
                </c:pt>
                <c:pt idx="11">
                  <c:v>72.248661817706278</c:v>
                </c:pt>
                <c:pt idx="12">
                  <c:v>70.478716156502543</c:v>
                </c:pt>
                <c:pt idx="13">
                  <c:v>68.752137904453761</c:v>
                </c:pt>
                <c:pt idx="14">
                  <c:v>67.172649218497142</c:v>
                </c:pt>
                <c:pt idx="15">
                  <c:v>65.748353209664273</c:v>
                </c:pt>
                <c:pt idx="16">
                  <c:v>64.463881354824196</c:v>
                </c:pt>
                <c:pt idx="17">
                  <c:v>63.300054005011461</c:v>
                </c:pt>
                <c:pt idx="18">
                  <c:v>62.239203407616621</c:v>
                </c:pt>
                <c:pt idx="19">
                  <c:v>54.983954571171417</c:v>
                </c:pt>
                <c:pt idx="20">
                  <c:v>50.632598135047537</c:v>
                </c:pt>
                <c:pt idx="21">
                  <c:v>47.527016369675451</c:v>
                </c:pt>
                <c:pt idx="22">
                  <c:v>45.112556105497738</c:v>
                </c:pt>
                <c:pt idx="23">
                  <c:v>43.137531146962786</c:v>
                </c:pt>
                <c:pt idx="24">
                  <c:v>41.466579502835614</c:v>
                </c:pt>
                <c:pt idx="25">
                  <c:v>40.018545382347774</c:v>
                </c:pt>
                <c:pt idx="26">
                  <c:v>38.740942277689037</c:v>
                </c:pt>
                <c:pt idx="27">
                  <c:v>37.597870580377567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4-4AAF-8BB3-D9AB3BDBABB6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83.481103939011859</c:v>
                </c:pt>
                <c:pt idx="1">
                  <c:v>89.486633654653374</c:v>
                </c:pt>
                <c:pt idx="2">
                  <c:v>92.983393373529211</c:v>
                </c:pt>
                <c:pt idx="3">
                  <c:v>95.447184126286743</c:v>
                </c:pt>
                <c:pt idx="4">
                  <c:v>97.340588241819219</c:v>
                </c:pt>
                <c:pt idx="5">
                  <c:v>98.869739742887774</c:v>
                </c:pt>
                <c:pt idx="6">
                  <c:v>100.14468693589816</c:v>
                </c:pt>
                <c:pt idx="7">
                  <c:v>101.23120982602975</c:v>
                </c:pt>
                <c:pt idx="8">
                  <c:v>102.17182836120598</c:v>
                </c:pt>
                <c:pt idx="9">
                  <c:v>102.99566388317528</c:v>
                </c:pt>
                <c:pt idx="10">
                  <c:v>107.67725541469319</c:v>
                </c:pt>
                <c:pt idx="11">
                  <c:v>109.3087739800028</c:v>
                </c:pt>
                <c:pt idx="12">
                  <c:v>109.65648847953597</c:v>
                </c:pt>
                <c:pt idx="13">
                  <c:v>109.38266741989666</c:v>
                </c:pt>
                <c:pt idx="14">
                  <c:v>108.80462837643145</c:v>
                </c:pt>
                <c:pt idx="15">
                  <c:v>108.08468375468551</c:v>
                </c:pt>
                <c:pt idx="16">
                  <c:v>107.30774804491374</c:v>
                </c:pt>
                <c:pt idx="17">
                  <c:v>106.51856599065621</c:v>
                </c:pt>
                <c:pt idx="18">
                  <c:v>105.74054848723711</c:v>
                </c:pt>
                <c:pt idx="19">
                  <c:v>99.486199530590397</c:v>
                </c:pt>
                <c:pt idx="20">
                  <c:v>95.338657973724395</c:v>
                </c:pt>
                <c:pt idx="21">
                  <c:v>92.305940966934443</c:v>
                </c:pt>
                <c:pt idx="22">
                  <c:v>89.925482628311443</c:v>
                </c:pt>
                <c:pt idx="23">
                  <c:v>87.969001854186473</c:v>
                </c:pt>
                <c:pt idx="24">
                  <c:v>86.309257086630723</c:v>
                </c:pt>
                <c:pt idx="25">
                  <c:v>84.868506886215499</c:v>
                </c:pt>
                <c:pt idx="26">
                  <c:v>83.595902274039901</c:v>
                </c:pt>
                <c:pt idx="27">
                  <c:v>82.456408298198639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4-4AAF-8BB3-D9AB3BDBABB6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114.30383157682961</c:v>
                </c:pt>
                <c:pt idx="1">
                  <c:v>112.66600687122532</c:v>
                </c:pt>
                <c:pt idx="2">
                  <c:v>111.73720619667286</c:v>
                </c:pt>
                <c:pt idx="3">
                  <c:v>111.11763445380275</c:v>
                </c:pt>
                <c:pt idx="4">
                  <c:v>110.68443334358088</c:v>
                </c:pt>
                <c:pt idx="5">
                  <c:v>110.38305898508378</c:v>
                </c:pt>
                <c:pt idx="6">
                  <c:v>110.18292804700785</c:v>
                </c:pt>
                <c:pt idx="7">
                  <c:v>110.06333172723359</c:v>
                </c:pt>
                <c:pt idx="8">
                  <c:v>110.00817646483765</c:v>
                </c:pt>
                <c:pt idx="9">
                  <c:v>110.00397086781462</c:v>
                </c:pt>
                <c:pt idx="10">
                  <c:v>110.94232551068258</c:v>
                </c:pt>
                <c:pt idx="11">
                  <c:v>111.57242475180928</c:v>
                </c:pt>
                <c:pt idx="12">
                  <c:v>111.5730460828707</c:v>
                </c:pt>
                <c:pt idx="13">
                  <c:v>111.1979597633503</c:v>
                </c:pt>
                <c:pt idx="14">
                  <c:v>110.6377437358891</c:v>
                </c:pt>
                <c:pt idx="15">
                  <c:v>110.00365094765434</c:v>
                </c:pt>
                <c:pt idx="16">
                  <c:v>109.35635549470832</c:v>
                </c:pt>
                <c:pt idx="17">
                  <c:v>108.72760195046304</c:v>
                </c:pt>
                <c:pt idx="18">
                  <c:v>108.13311253514914</c:v>
                </c:pt>
                <c:pt idx="19">
                  <c:v>104.33453235048857</c:v>
                </c:pt>
                <c:pt idx="20">
                  <c:v>102.87219308417073</c:v>
                </c:pt>
                <c:pt idx="21">
                  <c:v>102.15794352559165</c:v>
                </c:pt>
                <c:pt idx="22">
                  <c:v>101.64508255875093</c:v>
                </c:pt>
                <c:pt idx="23">
                  <c:v>101.19236931230226</c:v>
                </c:pt>
                <c:pt idx="24">
                  <c:v>100.76909211340167</c:v>
                </c:pt>
                <c:pt idx="25">
                  <c:v>100.37044034056217</c:v>
                </c:pt>
                <c:pt idx="26">
                  <c:v>99.996372777350103</c:v>
                </c:pt>
                <c:pt idx="27">
                  <c:v>99.646874424726406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14-4AAF-8BB3-D9AB3BD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4709808"/>
        <c:axId val="-494709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-52.88571696496949</c:v>
                      </c:pt>
                      <c:pt idx="1">
                        <c:v>-40.845622822795193</c:v>
                      </c:pt>
                      <c:pt idx="2">
                        <c:v>-33.803404164170821</c:v>
                      </c:pt>
                      <c:pt idx="3">
                        <c:v>-28.807549962970562</c:v>
                      </c:pt>
                      <c:pt idx="4">
                        <c:v>-24.933072140441848</c:v>
                      </c:pt>
                      <c:pt idx="5">
                        <c:v>-21.767948036268749</c:v>
                      </c:pt>
                      <c:pt idx="6">
                        <c:v>-19.092387303191444</c:v>
                      </c:pt>
                      <c:pt idx="7">
                        <c:v>-16.775191487701232</c:v>
                      </c:pt>
                      <c:pt idx="8">
                        <c:v>-14.731732667154544</c:v>
                      </c:pt>
                      <c:pt idx="9">
                        <c:v>-12.9042258614469</c:v>
                      </c:pt>
                      <c:pt idx="10">
                        <c:v>-0.89791965525457973</c:v>
                      </c:pt>
                      <c:pt idx="11">
                        <c:v>6.1006490416270776</c:v>
                      </c:pt>
                      <c:pt idx="12">
                        <c:v>11.044963900980971</c:v>
                      </c:pt>
                      <c:pt idx="13">
                        <c:v>14.861178437149645</c:v>
                      </c:pt>
                      <c:pt idx="14">
                        <c:v>17.962120663784276</c:v>
                      </c:pt>
                      <c:pt idx="15">
                        <c:v>20.568187215244521</c:v>
                      </c:pt>
                      <c:pt idx="16">
                        <c:v>22.811058614188951</c:v>
                      </c:pt>
                      <c:pt idx="17">
                        <c:v>24.77576091367926</c:v>
                      </c:pt>
                      <c:pt idx="18">
                        <c:v>26.520417174783319</c:v>
                      </c:pt>
                      <c:pt idx="19">
                        <c:v>37.52463412144202</c:v>
                      </c:pt>
                      <c:pt idx="20">
                        <c:v>43.311326589151093</c:v>
                      </c:pt>
                      <c:pt idx="21">
                        <c:v>46.929232476511416</c:v>
                      </c:pt>
                      <c:pt idx="22">
                        <c:v>49.362869107062501</c:v>
                      </c:pt>
                      <c:pt idx="23">
                        <c:v>51.062995425932691</c:v>
                      </c:pt>
                      <c:pt idx="24">
                        <c:v>52.274909743045555</c:v>
                      </c:pt>
                      <c:pt idx="25">
                        <c:v>53.1464849913663</c:v>
                      </c:pt>
                      <c:pt idx="26">
                        <c:v>53.773021543401526</c:v>
                      </c:pt>
                      <c:pt idx="27">
                        <c:v>54.21887614299191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D14-4AAF-8BB3-D9AB3BDBAB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54.84323253807996</c:v>
                      </c:pt>
                      <c:pt idx="1">
                        <c:v>54.843232538079924</c:v>
                      </c:pt>
                      <c:pt idx="2">
                        <c:v>54.843232538078993</c:v>
                      </c:pt>
                      <c:pt idx="3">
                        <c:v>54.843232538070275</c:v>
                      </c:pt>
                      <c:pt idx="4">
                        <c:v>54.843232538022249</c:v>
                      </c:pt>
                      <c:pt idx="5">
                        <c:v>54.843232537831845</c:v>
                      </c:pt>
                      <c:pt idx="6">
                        <c:v>54.84323253722836</c:v>
                      </c:pt>
                      <c:pt idx="7">
                        <c:v>54.843232535601565</c:v>
                      </c:pt>
                      <c:pt idx="8">
                        <c:v>54.843232531720936</c:v>
                      </c:pt>
                      <c:pt idx="9">
                        <c:v>54.843232523307591</c:v>
                      </c:pt>
                      <c:pt idx="10">
                        <c:v>54.843228756354051</c:v>
                      </c:pt>
                      <c:pt idx="11">
                        <c:v>54.843135617620256</c:v>
                      </c:pt>
                      <c:pt idx="12">
                        <c:v>54.842264523713773</c:v>
                      </c:pt>
                      <c:pt idx="13">
                        <c:v>54.837465909964756</c:v>
                      </c:pt>
                      <c:pt idx="14">
                        <c:v>54.8184912318819</c:v>
                      </c:pt>
                      <c:pt idx="15">
                        <c:v>54.75889692827878</c:v>
                      </c:pt>
                      <c:pt idx="16">
                        <c:v>54.602206947245293</c:v>
                      </c:pt>
                      <c:pt idx="17">
                        <c:v>54.249787800702897</c:v>
                      </c:pt>
                      <c:pt idx="18">
                        <c:v>53.57170988554833</c:v>
                      </c:pt>
                      <c:pt idx="19">
                        <c:v>35.394582987013685</c:v>
                      </c:pt>
                      <c:pt idx="20">
                        <c:v>21.354926948192304</c:v>
                      </c:pt>
                      <c:pt idx="21">
                        <c:v>11.361578790377365</c:v>
                      </c:pt>
                      <c:pt idx="22">
                        <c:v>3.6089398819355534</c:v>
                      </c:pt>
                      <c:pt idx="23">
                        <c:v>-2.7255347179096798</c:v>
                      </c:pt>
                      <c:pt idx="24">
                        <c:v>-8.0812725015040137</c:v>
                      </c:pt>
                      <c:pt idx="25">
                        <c:v>-12.720626805946102</c:v>
                      </c:pt>
                      <c:pt idx="26">
                        <c:v>-16.812828137317357</c:v>
                      </c:pt>
                      <c:pt idx="27">
                        <c:v>-20.473427213245174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14-4AAF-8BB3-D9AB3BDBABB6}"/>
                  </c:ext>
                </c:extLst>
              </c15:ser>
            </c15:filteredLineSeries>
          </c:ext>
        </c:extLst>
      </c:lineChart>
      <c:catAx>
        <c:axId val="-49470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94709264"/>
        <c:crosses val="autoZero"/>
        <c:auto val="1"/>
        <c:lblAlgn val="ctr"/>
        <c:lblOffset val="100"/>
        <c:noMultiLvlLbl val="0"/>
      </c:catAx>
      <c:valAx>
        <c:axId val="-4947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947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40</xdr:row>
      <xdr:rowOff>52387</xdr:rowOff>
    </xdr:from>
    <xdr:to>
      <xdr:col>24</xdr:col>
      <xdr:colOff>361949</xdr:colOff>
      <xdr:row>60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40</xdr:row>
      <xdr:rowOff>52387</xdr:rowOff>
    </xdr:from>
    <xdr:to>
      <xdr:col>24</xdr:col>
      <xdr:colOff>361949</xdr:colOff>
      <xdr:row>60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333374</xdr:colOff>
      <xdr:row>45</xdr:row>
      <xdr:rowOff>14287</xdr:rowOff>
    </xdr:from>
    <xdr:to>
      <xdr:col>24</xdr:col>
      <xdr:colOff>371474</xdr:colOff>
      <xdr:row>65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40</xdr:row>
      <xdr:rowOff>52387</xdr:rowOff>
    </xdr:from>
    <xdr:to>
      <xdr:col>24</xdr:col>
      <xdr:colOff>361949</xdr:colOff>
      <xdr:row>60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zoomScale="55" workbookViewId="0">
      <selection activeCell="C79" sqref="C79"/>
    </sheetView>
  </sheetViews>
  <sheetFormatPr defaultRowHeight="14.4" x14ac:dyDescent="0.3"/>
  <cols>
    <col min="1" max="1" width="35.109375" bestFit="1" customWidth="1"/>
    <col min="2" max="2" width="30" bestFit="1" customWidth="1"/>
    <col min="3" max="3" width="26.109375" bestFit="1" customWidth="1"/>
    <col min="4" max="4" width="20.109375" bestFit="1" customWidth="1"/>
    <col min="5" max="5" width="28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4</v>
      </c>
      <c r="B3">
        <v>1900</v>
      </c>
      <c r="C3" t="s">
        <v>5</v>
      </c>
    </row>
    <row r="4" spans="1:3" x14ac:dyDescent="0.3">
      <c r="A4" t="s">
        <v>6</v>
      </c>
      <c r="B4">
        <v>3.93</v>
      </c>
      <c r="C4" t="s">
        <v>7</v>
      </c>
    </row>
    <row r="5" spans="1:3" x14ac:dyDescent="0.3">
      <c r="A5" t="s">
        <v>9</v>
      </c>
      <c r="B5">
        <f>21.1*60</f>
        <v>1266</v>
      </c>
      <c r="C5" t="s">
        <v>8</v>
      </c>
    </row>
    <row r="6" spans="1:3" x14ac:dyDescent="0.3">
      <c r="A6" t="s">
        <v>10</v>
      </c>
      <c r="B6">
        <v>322</v>
      </c>
      <c r="C6" t="s">
        <v>11</v>
      </c>
    </row>
    <row r="7" spans="1:3" x14ac:dyDescent="0.3">
      <c r="A7" t="s">
        <v>12</v>
      </c>
      <c r="B7">
        <f>1*0.3048</f>
        <v>0.30480000000000002</v>
      </c>
      <c r="C7" t="s">
        <v>7</v>
      </c>
    </row>
    <row r="8" spans="1:3" x14ac:dyDescent="0.3">
      <c r="A8" t="s">
        <v>13</v>
      </c>
      <c r="B8">
        <v>2</v>
      </c>
      <c r="C8" t="s">
        <v>14</v>
      </c>
    </row>
    <row r="9" spans="1:3" x14ac:dyDescent="0.3">
      <c r="A9" t="s">
        <v>15</v>
      </c>
      <c r="B9">
        <v>6</v>
      </c>
      <c r="C9" t="s">
        <v>14</v>
      </c>
    </row>
    <row r="10" spans="1:3" x14ac:dyDescent="0.3">
      <c r="A10" t="s">
        <v>16</v>
      </c>
      <c r="B10">
        <f>(PI()*B4*B5)/(B6*60)</f>
        <v>0.80903816029076536</v>
      </c>
      <c r="C10" t="s">
        <v>14</v>
      </c>
    </row>
    <row r="11" spans="1:3" x14ac:dyDescent="0.3">
      <c r="A11" t="s">
        <v>17</v>
      </c>
      <c r="B11">
        <f>83.4+15.3*LOG10(B3)-20*LOG10(B10)-3*(B9-2)+10*LOG10(B8)</f>
        <v>126.41584991778967</v>
      </c>
    </row>
    <row r="12" spans="1:3" x14ac:dyDescent="0.3">
      <c r="A12" t="s">
        <v>49</v>
      </c>
      <c r="B12">
        <v>450</v>
      </c>
      <c r="C12" t="s">
        <v>7</v>
      </c>
    </row>
    <row r="14" spans="1:3" x14ac:dyDescent="0.3">
      <c r="A14" t="s">
        <v>26</v>
      </c>
    </row>
    <row r="15" spans="1:3" x14ac:dyDescent="0.3">
      <c r="A15" t="s">
        <v>18</v>
      </c>
      <c r="B15">
        <v>136</v>
      </c>
      <c r="C15" t="s">
        <v>19</v>
      </c>
    </row>
    <row r="16" spans="1:3" x14ac:dyDescent="0.3">
      <c r="A16" t="s">
        <v>20</v>
      </c>
      <c r="B16">
        <f>20*LOG10(4/B9)</f>
        <v>-3.5218251811136252</v>
      </c>
      <c r="C16" t="s">
        <v>19</v>
      </c>
    </row>
    <row r="17" spans="1:6" x14ac:dyDescent="0.3">
      <c r="A17" t="s">
        <v>21</v>
      </c>
      <c r="B17">
        <f>40*LOG10(15.5/(B4/0.3048))</f>
        <v>3.1981644184971074</v>
      </c>
      <c r="C17" t="s">
        <v>19</v>
      </c>
    </row>
    <row r="18" spans="1:6" x14ac:dyDescent="0.3">
      <c r="A18" t="s">
        <v>22</v>
      </c>
      <c r="B18">
        <v>6</v>
      </c>
      <c r="C18" t="s">
        <v>19</v>
      </c>
    </row>
    <row r="19" spans="1:6" x14ac:dyDescent="0.3">
      <c r="A19" t="s">
        <v>23</v>
      </c>
      <c r="B19">
        <v>0</v>
      </c>
      <c r="C19" t="s">
        <v>19</v>
      </c>
    </row>
    <row r="20" spans="1:6" x14ac:dyDescent="0.3">
      <c r="A20" t="s">
        <v>24</v>
      </c>
      <c r="B20">
        <v>4</v>
      </c>
      <c r="C20" t="s">
        <v>19</v>
      </c>
    </row>
    <row r="21" spans="1:6" x14ac:dyDescent="0.3">
      <c r="A21" t="s">
        <v>25</v>
      </c>
      <c r="B21">
        <f>SUM(B15:B20)</f>
        <v>145.67633923738347</v>
      </c>
      <c r="C21" t="s">
        <v>19</v>
      </c>
    </row>
    <row r="22" spans="1:6" x14ac:dyDescent="0.3">
      <c r="A22" t="s">
        <v>28</v>
      </c>
      <c r="B22">
        <f>B9*B5/60</f>
        <v>126.6</v>
      </c>
      <c r="C22" t="s">
        <v>27</v>
      </c>
    </row>
    <row r="23" spans="1:6" x14ac:dyDescent="0.3">
      <c r="A23" t="s">
        <v>29</v>
      </c>
      <c r="B23" t="s">
        <v>30</v>
      </c>
      <c r="C23" t="s">
        <v>32</v>
      </c>
      <c r="D23" t="s">
        <v>31</v>
      </c>
      <c r="E23" t="s">
        <v>62</v>
      </c>
      <c r="F23" t="s">
        <v>63</v>
      </c>
    </row>
    <row r="24" spans="1:6" x14ac:dyDescent="0.3">
      <c r="A24" t="s">
        <v>33</v>
      </c>
      <c r="B24">
        <f>B22</f>
        <v>126.6</v>
      </c>
      <c r="C24">
        <v>-2</v>
      </c>
      <c r="D24">
        <f t="shared" ref="D24:D33" si="0">$B$21+C24</f>
        <v>143.67633923738347</v>
      </c>
      <c r="E24">
        <f>20*LOG((12194^2*B24^4)/((B24^2+20.6^2)*SQRT((B24^2+107.7^2)*(B24^2+737.9^2))*(B24^2+12194^2)))+2</f>
        <v>-16.029827110025053</v>
      </c>
      <c r="F24">
        <f>D24+E24</f>
        <v>127.64651212735842</v>
      </c>
    </row>
    <row r="25" spans="1:6" x14ac:dyDescent="0.3">
      <c r="A25">
        <v>2</v>
      </c>
      <c r="B25">
        <f t="shared" ref="B25:B33" si="1">$B$24*A25</f>
        <v>253.2</v>
      </c>
      <c r="C25">
        <v>-9</v>
      </c>
      <c r="D25">
        <f t="shared" si="0"/>
        <v>136.67633923738347</v>
      </c>
      <c r="E25">
        <f t="shared" ref="E25:E33" si="2">20*LOG((12194^2*B25^4)/((B25^2+20.6^2)*SQRT((B25^2+107.7^2)*(B25^2+737.9^2))*(B25^2+12194^2)))+2</f>
        <v>-8.5573729499401647</v>
      </c>
      <c r="F25">
        <f t="shared" ref="F25:F33" si="3">D25+E25</f>
        <v>128.1189662874433</v>
      </c>
    </row>
    <row r="26" spans="1:6" x14ac:dyDescent="0.3">
      <c r="A26">
        <v>3</v>
      </c>
      <c r="B26">
        <f t="shared" si="1"/>
        <v>379.79999999999995</v>
      </c>
      <c r="C26">
        <v>-13</v>
      </c>
      <c r="D26">
        <f t="shared" si="0"/>
        <v>132.67633923738347</v>
      </c>
      <c r="E26">
        <f t="shared" si="2"/>
        <v>-5.159313792945027</v>
      </c>
      <c r="F26">
        <f t="shared" si="3"/>
        <v>127.51702544443845</v>
      </c>
    </row>
    <row r="27" spans="1:6" x14ac:dyDescent="0.3">
      <c r="A27">
        <v>4</v>
      </c>
      <c r="B27">
        <f t="shared" si="1"/>
        <v>506.4</v>
      </c>
      <c r="C27">
        <v>-16</v>
      </c>
      <c r="D27">
        <f t="shared" si="0"/>
        <v>129.67633923738347</v>
      </c>
      <c r="E27">
        <f t="shared" si="2"/>
        <v>-3.1675664295141521</v>
      </c>
      <c r="F27">
        <f t="shared" si="3"/>
        <v>126.50877280786932</v>
      </c>
    </row>
    <row r="28" spans="1:6" x14ac:dyDescent="0.3">
      <c r="A28">
        <v>5</v>
      </c>
      <c r="B28">
        <f t="shared" si="1"/>
        <v>633</v>
      </c>
      <c r="C28">
        <v>-18</v>
      </c>
      <c r="D28">
        <f t="shared" si="0"/>
        <v>127.67633923738347</v>
      </c>
      <c r="E28">
        <f t="shared" si="2"/>
        <v>-1.8836004734533698</v>
      </c>
      <c r="F28">
        <f t="shared" si="3"/>
        <v>125.7927387639301</v>
      </c>
    </row>
    <row r="29" spans="1:6" x14ac:dyDescent="0.3">
      <c r="A29">
        <v>6</v>
      </c>
      <c r="B29">
        <f t="shared" si="1"/>
        <v>759.59999999999991</v>
      </c>
      <c r="C29">
        <v>-19</v>
      </c>
      <c r="D29">
        <f t="shared" si="0"/>
        <v>126.67633923738347</v>
      </c>
      <c r="E29">
        <f t="shared" si="2"/>
        <v>-1.0127152037097673</v>
      </c>
      <c r="F29">
        <f t="shared" si="3"/>
        <v>125.6636240336737</v>
      </c>
    </row>
    <row r="30" spans="1:6" x14ac:dyDescent="0.3">
      <c r="A30">
        <v>7</v>
      </c>
      <c r="B30">
        <f t="shared" si="1"/>
        <v>886.19999999999993</v>
      </c>
      <c r="C30">
        <v>-20</v>
      </c>
      <c r="D30">
        <f t="shared" si="0"/>
        <v>125.67633923738347</v>
      </c>
      <c r="E30">
        <f t="shared" si="2"/>
        <v>-0.4015031076777662</v>
      </c>
      <c r="F30">
        <f t="shared" si="3"/>
        <v>125.2748361297057</v>
      </c>
    </row>
    <row r="31" spans="1:6" x14ac:dyDescent="0.3">
      <c r="A31">
        <v>8</v>
      </c>
      <c r="B31">
        <f t="shared" si="1"/>
        <v>1012.8</v>
      </c>
      <c r="C31">
        <v>-20</v>
      </c>
      <c r="D31">
        <f t="shared" si="0"/>
        <v>125.67633923738347</v>
      </c>
      <c r="E31">
        <f t="shared" si="2"/>
        <v>3.861670926866001E-2</v>
      </c>
      <c r="F31">
        <f t="shared" si="3"/>
        <v>125.71495594665214</v>
      </c>
    </row>
    <row r="32" spans="1:6" x14ac:dyDescent="0.3">
      <c r="A32">
        <v>9</v>
      </c>
      <c r="B32">
        <f t="shared" si="1"/>
        <v>1139.3999999999999</v>
      </c>
      <c r="C32">
        <v>-20</v>
      </c>
      <c r="D32">
        <f t="shared" si="0"/>
        <v>125.67633923738347</v>
      </c>
      <c r="E32">
        <f t="shared" si="2"/>
        <v>0.36193422918557783</v>
      </c>
      <c r="F32">
        <f t="shared" si="3"/>
        <v>126.03827346656905</v>
      </c>
    </row>
    <row r="33" spans="1:6" x14ac:dyDescent="0.3">
      <c r="A33">
        <v>10</v>
      </c>
      <c r="B33">
        <f t="shared" si="1"/>
        <v>1266</v>
      </c>
      <c r="C33">
        <v>-20</v>
      </c>
      <c r="D33">
        <f t="shared" si="0"/>
        <v>125.67633923738347</v>
      </c>
      <c r="E33">
        <f t="shared" si="2"/>
        <v>0.6031031035993919</v>
      </c>
      <c r="F33">
        <f t="shared" si="3"/>
        <v>126.27944234098287</v>
      </c>
    </row>
    <row r="35" spans="1:6" x14ac:dyDescent="0.3">
      <c r="A35" t="s">
        <v>34</v>
      </c>
      <c r="B35" t="s">
        <v>35</v>
      </c>
      <c r="C35" t="s">
        <v>36</v>
      </c>
      <c r="D35" t="s">
        <v>47</v>
      </c>
    </row>
    <row r="36" spans="1:6" x14ac:dyDescent="0.3">
      <c r="A36" t="s">
        <v>37</v>
      </c>
      <c r="B36" t="s">
        <v>45</v>
      </c>
    </row>
    <row r="37" spans="1:6" x14ac:dyDescent="0.3">
      <c r="A37" t="s">
        <v>38</v>
      </c>
      <c r="B37">
        <v>126.6</v>
      </c>
      <c r="C37">
        <f>F24</f>
        <v>127.64651212735842</v>
      </c>
      <c r="D37">
        <f>C37</f>
        <v>127.64651212735842</v>
      </c>
    </row>
    <row r="38" spans="1:6" x14ac:dyDescent="0.3">
      <c r="A38" t="s">
        <v>39</v>
      </c>
      <c r="B38">
        <v>253.2</v>
      </c>
      <c r="C38">
        <f>F25</f>
        <v>128.1189662874433</v>
      </c>
      <c r="D38">
        <f>C38</f>
        <v>128.1189662874433</v>
      </c>
    </row>
    <row r="39" spans="1:6" x14ac:dyDescent="0.3">
      <c r="A39" t="s">
        <v>40</v>
      </c>
      <c r="B39" t="s">
        <v>56</v>
      </c>
      <c r="C39" t="s">
        <v>58</v>
      </c>
      <c r="D39">
        <f>10*LOG10(10^(F26/10)+10^(F27/10)+10^(F28/10))</f>
        <v>131.435428963888</v>
      </c>
    </row>
    <row r="40" spans="1:6" x14ac:dyDescent="0.3">
      <c r="A40" t="s">
        <v>41</v>
      </c>
      <c r="B40" t="s">
        <v>57</v>
      </c>
      <c r="C40" t="s">
        <v>59</v>
      </c>
      <c r="D40">
        <f>10*LOG10(10^(F29/10)+10^(F30/10)+10^(F31/10)+10^(F32/10)+10^(F33/10))</f>
        <v>132.79743544301621</v>
      </c>
    </row>
    <row r="41" spans="1:6" x14ac:dyDescent="0.3">
      <c r="A41" t="s">
        <v>42</v>
      </c>
    </row>
    <row r="42" spans="1:6" x14ac:dyDescent="0.3">
      <c r="A42" t="s">
        <v>43</v>
      </c>
    </row>
    <row r="43" spans="1:6" x14ac:dyDescent="0.3">
      <c r="A43" t="s">
        <v>44</v>
      </c>
    </row>
    <row r="44" spans="1:6" x14ac:dyDescent="0.3">
      <c r="A44" t="s">
        <v>46</v>
      </c>
      <c r="D44">
        <f>10*LOG10(10^(D37/10)+10^(D38/10)+10^(D39/10)+10^(D40/10))</f>
        <v>136.55728278506203</v>
      </c>
    </row>
    <row r="46" spans="1:6" x14ac:dyDescent="0.3">
      <c r="A46" t="s">
        <v>48</v>
      </c>
    </row>
    <row r="47" spans="1:6" x14ac:dyDescent="0.3">
      <c r="A47" t="s">
        <v>18</v>
      </c>
      <c r="B47">
        <f>B15</f>
        <v>136</v>
      </c>
      <c r="C47" t="s">
        <v>19</v>
      </c>
    </row>
    <row r="48" spans="1:6" x14ac:dyDescent="0.3">
      <c r="A48" t="s">
        <v>20</v>
      </c>
      <c r="B48">
        <f>B16</f>
        <v>-3.5218251811136252</v>
      </c>
      <c r="C48" t="s">
        <v>19</v>
      </c>
    </row>
    <row r="49" spans="1:6" x14ac:dyDescent="0.3">
      <c r="A49" t="s">
        <v>21</v>
      </c>
      <c r="B49">
        <f>B17</f>
        <v>3.1981644184971074</v>
      </c>
      <c r="C49" t="s">
        <v>19</v>
      </c>
    </row>
    <row r="50" spans="1:6" x14ac:dyDescent="0.3">
      <c r="A50" t="s">
        <v>22</v>
      </c>
      <c r="B50">
        <f>B18</f>
        <v>6</v>
      </c>
      <c r="C50" t="s">
        <v>19</v>
      </c>
    </row>
    <row r="51" spans="1:6" x14ac:dyDescent="0.3">
      <c r="A51" t="s">
        <v>50</v>
      </c>
      <c r="B51">
        <v>6</v>
      </c>
      <c r="C51" t="s">
        <v>19</v>
      </c>
    </row>
    <row r="52" spans="1:6" x14ac:dyDescent="0.3">
      <c r="A52" t="s">
        <v>51</v>
      </c>
      <c r="B52">
        <f>-20*LOG10((B12/0.3048)-1)</f>
        <v>-63.378065786215778</v>
      </c>
      <c r="C52" t="s">
        <v>19</v>
      </c>
    </row>
    <row r="53" spans="1:6" x14ac:dyDescent="0.3">
      <c r="A53" t="s">
        <v>52</v>
      </c>
      <c r="B53">
        <f>SUM(B47:B52)</f>
        <v>84.298273451167688</v>
      </c>
      <c r="C53" t="s">
        <v>19</v>
      </c>
    </row>
    <row r="54" spans="1:6" x14ac:dyDescent="0.3">
      <c r="A54" t="s">
        <v>53</v>
      </c>
      <c r="B54">
        <f>B22</f>
        <v>126.6</v>
      </c>
    </row>
    <row r="55" spans="1:6" x14ac:dyDescent="0.3">
      <c r="A55" t="s">
        <v>29</v>
      </c>
      <c r="B55" t="s">
        <v>30</v>
      </c>
      <c r="C55" t="s">
        <v>32</v>
      </c>
      <c r="D55" t="s">
        <v>31</v>
      </c>
      <c r="E55" t="s">
        <v>62</v>
      </c>
      <c r="F55" t="s">
        <v>63</v>
      </c>
    </row>
    <row r="56" spans="1:6" x14ac:dyDescent="0.3">
      <c r="A56" t="s">
        <v>33</v>
      </c>
      <c r="B56">
        <f>B54</f>
        <v>126.6</v>
      </c>
      <c r="C56">
        <v>-2</v>
      </c>
      <c r="D56">
        <f>$B$53+C56</f>
        <v>82.298273451167688</v>
      </c>
      <c r="E56">
        <f>20*LOG((12194^2*B56^4)/((B56^2+20.6^2)*SQRT((B56^2+107.7^2)*(B56^2+737.9^2))*(B56^2+12194^2)))+2</f>
        <v>-16.029827110025053</v>
      </c>
      <c r="F56">
        <f>D56+E56</f>
        <v>66.268446341142635</v>
      </c>
    </row>
    <row r="57" spans="1:6" x14ac:dyDescent="0.3">
      <c r="A57">
        <v>2</v>
      </c>
      <c r="B57">
        <f t="shared" ref="B57:B65" si="4">$B$24*A57</f>
        <v>253.2</v>
      </c>
      <c r="C57">
        <v>-9</v>
      </c>
      <c r="D57">
        <f t="shared" ref="D57:D65" si="5">$B$53+C57</f>
        <v>75.298273451167688</v>
      </c>
      <c r="E57">
        <f>20*LOG((12194^2*B57^4)/((B57^2+20.6^2)*SQRT((B57^2+107.7^2)*(B57^2+737.9^2))*(B57^2+12194^2)))+2</f>
        <v>-8.5573729499401647</v>
      </c>
      <c r="F57">
        <f t="shared" ref="F57:F65" si="6">D57+E57</f>
        <v>66.740900501227529</v>
      </c>
    </row>
    <row r="58" spans="1:6" x14ac:dyDescent="0.3">
      <c r="A58">
        <v>3</v>
      </c>
      <c r="B58">
        <f t="shared" si="4"/>
        <v>379.79999999999995</v>
      </c>
      <c r="C58">
        <v>-13</v>
      </c>
      <c r="D58">
        <f t="shared" si="5"/>
        <v>71.298273451167688</v>
      </c>
      <c r="E58">
        <f t="shared" ref="E58:E65" si="7">20*LOG((12194^2*B58^4)/((B58^2+20.6^2)*SQRT((B58^2+107.7^2)*(B58^2+737.9^2))*(B58^2+12194^2)))+2</f>
        <v>-5.159313792945027</v>
      </c>
      <c r="F58">
        <f t="shared" si="6"/>
        <v>66.13895965822266</v>
      </c>
    </row>
    <row r="59" spans="1:6" x14ac:dyDescent="0.3">
      <c r="A59">
        <v>4</v>
      </c>
      <c r="B59">
        <f t="shared" si="4"/>
        <v>506.4</v>
      </c>
      <c r="C59">
        <v>-16</v>
      </c>
      <c r="D59">
        <f t="shared" si="5"/>
        <v>68.298273451167688</v>
      </c>
      <c r="E59">
        <f t="shared" si="7"/>
        <v>-3.1675664295141521</v>
      </c>
      <c r="F59">
        <f t="shared" si="6"/>
        <v>65.130707021653535</v>
      </c>
    </row>
    <row r="60" spans="1:6" x14ac:dyDescent="0.3">
      <c r="A60">
        <v>5</v>
      </c>
      <c r="B60">
        <f t="shared" si="4"/>
        <v>633</v>
      </c>
      <c r="C60">
        <v>-18</v>
      </c>
      <c r="D60">
        <f t="shared" si="5"/>
        <v>66.298273451167688</v>
      </c>
      <c r="E60">
        <f t="shared" si="7"/>
        <v>-1.8836004734533698</v>
      </c>
      <c r="F60">
        <f t="shared" si="6"/>
        <v>64.414672977714318</v>
      </c>
    </row>
    <row r="61" spans="1:6" x14ac:dyDescent="0.3">
      <c r="A61">
        <v>6</v>
      </c>
      <c r="B61">
        <f t="shared" si="4"/>
        <v>759.59999999999991</v>
      </c>
      <c r="C61">
        <v>-19</v>
      </c>
      <c r="D61">
        <f t="shared" si="5"/>
        <v>65.298273451167688</v>
      </c>
      <c r="E61">
        <f t="shared" si="7"/>
        <v>-1.0127152037097673</v>
      </c>
      <c r="F61">
        <f t="shared" si="6"/>
        <v>64.285558247457914</v>
      </c>
    </row>
    <row r="62" spans="1:6" x14ac:dyDescent="0.3">
      <c r="A62">
        <v>7</v>
      </c>
      <c r="B62">
        <f t="shared" si="4"/>
        <v>886.19999999999993</v>
      </c>
      <c r="C62">
        <v>-20</v>
      </c>
      <c r="D62">
        <f t="shared" si="5"/>
        <v>64.298273451167688</v>
      </c>
      <c r="E62">
        <f t="shared" si="7"/>
        <v>-0.4015031076777662</v>
      </c>
      <c r="F62">
        <f t="shared" si="6"/>
        <v>63.896770343489919</v>
      </c>
    </row>
    <row r="63" spans="1:6" x14ac:dyDescent="0.3">
      <c r="A63">
        <v>8</v>
      </c>
      <c r="B63">
        <f t="shared" si="4"/>
        <v>1012.8</v>
      </c>
      <c r="C63">
        <v>-20</v>
      </c>
      <c r="D63">
        <f t="shared" si="5"/>
        <v>64.298273451167688</v>
      </c>
      <c r="E63">
        <f t="shared" si="7"/>
        <v>3.861670926866001E-2</v>
      </c>
      <c r="F63">
        <f t="shared" si="6"/>
        <v>64.336890160436354</v>
      </c>
    </row>
    <row r="64" spans="1:6" x14ac:dyDescent="0.3">
      <c r="A64">
        <v>9</v>
      </c>
      <c r="B64">
        <f t="shared" si="4"/>
        <v>1139.3999999999999</v>
      </c>
      <c r="C64">
        <v>-20</v>
      </c>
      <c r="D64">
        <f t="shared" si="5"/>
        <v>64.298273451167688</v>
      </c>
      <c r="E64">
        <f t="shared" si="7"/>
        <v>0.36193422918557783</v>
      </c>
      <c r="F64">
        <f t="shared" si="6"/>
        <v>64.660207680353267</v>
      </c>
    </row>
    <row r="65" spans="1:6" x14ac:dyDescent="0.3">
      <c r="A65">
        <v>10</v>
      </c>
      <c r="B65">
        <f t="shared" si="4"/>
        <v>1266</v>
      </c>
      <c r="C65">
        <v>-20</v>
      </c>
      <c r="D65">
        <f t="shared" si="5"/>
        <v>64.298273451167688</v>
      </c>
      <c r="E65">
        <f t="shared" si="7"/>
        <v>0.6031031035993919</v>
      </c>
      <c r="F65">
        <f t="shared" si="6"/>
        <v>64.901376554767083</v>
      </c>
    </row>
    <row r="67" spans="1:6" x14ac:dyDescent="0.3">
      <c r="A67" t="s">
        <v>34</v>
      </c>
      <c r="B67" t="s">
        <v>35</v>
      </c>
      <c r="C67" t="s">
        <v>36</v>
      </c>
      <c r="D67" t="s">
        <v>54</v>
      </c>
      <c r="E67" t="s">
        <v>47</v>
      </c>
      <c r="F67" t="s">
        <v>55</v>
      </c>
    </row>
    <row r="68" spans="1:6" x14ac:dyDescent="0.3">
      <c r="A68" t="s">
        <v>37</v>
      </c>
      <c r="B68" t="s">
        <v>45</v>
      </c>
      <c r="D68">
        <v>0</v>
      </c>
    </row>
    <row r="69" spans="1:6" x14ac:dyDescent="0.3">
      <c r="A69" t="s">
        <v>38</v>
      </c>
      <c r="B69">
        <f>B37</f>
        <v>126.6</v>
      </c>
      <c r="C69">
        <f>F56</f>
        <v>66.268446341142635</v>
      </c>
      <c r="D69">
        <f>-0.2*(B12/0.3048/1000)</f>
        <v>-0.29527559055118108</v>
      </c>
      <c r="E69">
        <f>C69</f>
        <v>66.268446341142635</v>
      </c>
      <c r="F69">
        <f>E69+D69</f>
        <v>65.97317075059145</v>
      </c>
    </row>
    <row r="70" spans="1:6" x14ac:dyDescent="0.3">
      <c r="A70" t="s">
        <v>39</v>
      </c>
      <c r="B70">
        <f>B38</f>
        <v>253.2</v>
      </c>
      <c r="C70">
        <f>F57</f>
        <v>66.740900501227529</v>
      </c>
      <c r="D70">
        <f>-0.7*(B12/0.3048/1000)</f>
        <v>-1.0334645669291336</v>
      </c>
      <c r="E70">
        <f>C70</f>
        <v>66.740900501227529</v>
      </c>
      <c r="F70">
        <f t="shared" ref="F70:F72" si="8">E70+D70</f>
        <v>65.707435934298388</v>
      </c>
    </row>
    <row r="71" spans="1:6" x14ac:dyDescent="0.3">
      <c r="A71" t="s">
        <v>40</v>
      </c>
      <c r="B71" t="s">
        <v>56</v>
      </c>
      <c r="C71" t="s">
        <v>60</v>
      </c>
      <c r="D71">
        <f>-1*(B12/0.3048/1000)</f>
        <v>-1.4763779527559053</v>
      </c>
      <c r="E71">
        <f>10*LOG10(10^(F58/10)+10^(F59/10)+10^(F60/10))</f>
        <v>70.057363177672215</v>
      </c>
      <c r="F71">
        <f t="shared" si="8"/>
        <v>68.580985224916304</v>
      </c>
    </row>
    <row r="72" spans="1:6" x14ac:dyDescent="0.3">
      <c r="A72" t="s">
        <v>41</v>
      </c>
      <c r="B72" t="s">
        <v>57</v>
      </c>
      <c r="C72" t="s">
        <v>61</v>
      </c>
      <c r="D72">
        <f>-1.9*(B12/0.3048/1000)</f>
        <v>-2.8051181102362199</v>
      </c>
      <c r="E72">
        <f>10*LOG10(10^(F61/10)+10^(F62/10)+10^(F63/10)+10^(F64/10)+10^(F65/10))</f>
        <v>71.419369656800441</v>
      </c>
      <c r="F72">
        <f t="shared" si="8"/>
        <v>68.614251546564219</v>
      </c>
    </row>
    <row r="73" spans="1:6" x14ac:dyDescent="0.3">
      <c r="A73" t="s">
        <v>42</v>
      </c>
      <c r="D73">
        <f>-3.4*(B12/0.3048/1000)</f>
        <v>-5.0196850393700778</v>
      </c>
    </row>
    <row r="74" spans="1:6" x14ac:dyDescent="0.3">
      <c r="A74" t="s">
        <v>43</v>
      </c>
      <c r="D74">
        <f>-6*(B12/0.3048/1000)</f>
        <v>-8.8582677165354315</v>
      </c>
    </row>
    <row r="75" spans="1:6" x14ac:dyDescent="0.3">
      <c r="A75" t="s">
        <v>44</v>
      </c>
      <c r="D75">
        <f>-11.7*(B12/0.3048/1000)</f>
        <v>-17.273622047244093</v>
      </c>
    </row>
    <row r="76" spans="1:6" x14ac:dyDescent="0.3">
      <c r="A76" t="s">
        <v>46</v>
      </c>
      <c r="E76">
        <f>10*LOG10(10^(E69/10)+10^(E70/10)+10^(E71/10)+10^(E72/10))</f>
        <v>75.179216998846243</v>
      </c>
      <c r="F76">
        <f>10*LOG10(10^(F69/10)+10^(F70/10)+10^(F71/10)+10^(F72/10))</f>
        <v>73.455531967769488</v>
      </c>
    </row>
    <row r="78" spans="1:6" x14ac:dyDescent="0.3">
      <c r="A78" t="s">
        <v>159</v>
      </c>
      <c r="C78" t="s">
        <v>173</v>
      </c>
    </row>
    <row r="79" spans="1:6" x14ac:dyDescent="0.3">
      <c r="A79" t="s">
        <v>72</v>
      </c>
      <c r="B79">
        <v>0</v>
      </c>
    </row>
    <row r="80" spans="1:6" x14ac:dyDescent="0.3">
      <c r="A80" t="s">
        <v>82</v>
      </c>
      <c r="B80">
        <v>0</v>
      </c>
    </row>
    <row r="81" spans="1:2" x14ac:dyDescent="0.3">
      <c r="A81" t="s">
        <v>166</v>
      </c>
      <c r="B81">
        <v>100</v>
      </c>
    </row>
    <row r="82" spans="1:2" x14ac:dyDescent="0.3">
      <c r="A82" t="s">
        <v>167</v>
      </c>
      <c r="B82">
        <v>101325</v>
      </c>
    </row>
    <row r="83" spans="1:2" x14ac:dyDescent="0.3">
      <c r="A83" t="s">
        <v>168</v>
      </c>
      <c r="B83">
        <v>298</v>
      </c>
    </row>
    <row r="84" spans="1:2" x14ac:dyDescent="0.3">
      <c r="A84" t="s">
        <v>169</v>
      </c>
      <c r="B84">
        <v>340</v>
      </c>
    </row>
    <row r="85" spans="1:2" x14ac:dyDescent="0.3">
      <c r="A85" t="s">
        <v>160</v>
      </c>
      <c r="B85">
        <v>1200</v>
      </c>
    </row>
    <row r="86" spans="1:2" x14ac:dyDescent="0.3">
      <c r="A86" t="s">
        <v>161</v>
      </c>
      <c r="B86">
        <v>340</v>
      </c>
    </row>
    <row r="87" spans="1:2" x14ac:dyDescent="0.3">
      <c r="A87" t="s">
        <v>162</v>
      </c>
      <c r="B87">
        <f>5*10^5</f>
        <v>500000</v>
      </c>
    </row>
    <row r="88" spans="1:2" x14ac:dyDescent="0.3">
      <c r="A88" t="s">
        <v>163</v>
      </c>
      <c r="B88">
        <v>300</v>
      </c>
    </row>
    <row r="89" spans="1:2" x14ac:dyDescent="0.3">
      <c r="A89" t="s">
        <v>164</v>
      </c>
      <c r="B89">
        <v>1.2</v>
      </c>
    </row>
    <row r="90" spans="1:2" x14ac:dyDescent="0.3">
      <c r="A90" t="s">
        <v>165</v>
      </c>
      <c r="B90">
        <f>(1-B79*COS(B80))*B81/400</f>
        <v>0.25</v>
      </c>
    </row>
    <row r="91" spans="1:2" x14ac:dyDescent="0.3">
      <c r="A91" t="s">
        <v>170</v>
      </c>
      <c r="B91">
        <v>2.8</v>
      </c>
    </row>
    <row r="92" spans="1:2" x14ac:dyDescent="0.3">
      <c r="A92" t="s">
        <v>171</v>
      </c>
      <c r="B92">
        <f>8.85*10^-7*(B91/(B82*B84*B89))*((B85-B86)/B86)^2*(B87/B82)^2*(B88/B83)^-4*B82*B84^3*B89</f>
        <v>43.449524278931634</v>
      </c>
    </row>
    <row r="93" spans="1:2" x14ac:dyDescent="0.3">
      <c r="A93" t="s">
        <v>81</v>
      </c>
      <c r="B93">
        <v>-1</v>
      </c>
    </row>
    <row r="94" spans="1:2" x14ac:dyDescent="0.3">
      <c r="A94" t="s">
        <v>6</v>
      </c>
      <c r="B94">
        <v>-0.85</v>
      </c>
    </row>
    <row r="95" spans="1:2" x14ac:dyDescent="0.3">
      <c r="A95" t="s">
        <v>172</v>
      </c>
      <c r="B95">
        <f>(B97*B84*B92*B93*B94)/(4*PI()*B96^2*(1-B79*COS(B80)^4))</f>
        <v>6.0448296390473687E-3</v>
      </c>
    </row>
    <row r="96" spans="1:2" x14ac:dyDescent="0.3">
      <c r="A96" t="s">
        <v>12</v>
      </c>
      <c r="B96">
        <v>450</v>
      </c>
    </row>
    <row r="97" spans="1:2" x14ac:dyDescent="0.3">
      <c r="A97" t="s">
        <v>78</v>
      </c>
      <c r="B97">
        <v>1.2250000000000001</v>
      </c>
    </row>
    <row r="98" spans="1:2" x14ac:dyDescent="0.3">
      <c r="A98" t="s">
        <v>85</v>
      </c>
      <c r="B98">
        <f>10*LOG10(B95/B99^2)</f>
        <v>71.7932407435448</v>
      </c>
    </row>
    <row r="99" spans="1:2" x14ac:dyDescent="0.3">
      <c r="A99" t="s">
        <v>95</v>
      </c>
      <c r="B99">
        <f>2*10^-5</f>
        <v>2.0000000000000002E-5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topLeftCell="A34" zoomScale="40" zoomScaleNormal="40" workbookViewId="0">
      <selection activeCell="D99" sqref="D99"/>
    </sheetView>
  </sheetViews>
  <sheetFormatPr defaultRowHeight="14.4" x14ac:dyDescent="0.3"/>
  <cols>
    <col min="1" max="1" width="35.109375" bestFit="1" customWidth="1"/>
    <col min="2" max="2" width="30" bestFit="1" customWidth="1"/>
    <col min="3" max="3" width="26.109375" bestFit="1" customWidth="1"/>
    <col min="4" max="4" width="20.109375" bestFit="1" customWidth="1"/>
    <col min="5" max="5" width="28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4</v>
      </c>
      <c r="B3">
        <v>1900</v>
      </c>
      <c r="C3" t="s">
        <v>5</v>
      </c>
    </row>
    <row r="4" spans="1:3" x14ac:dyDescent="0.3">
      <c r="A4" t="s">
        <v>6</v>
      </c>
      <c r="B4">
        <v>3.93</v>
      </c>
      <c r="C4" t="s">
        <v>7</v>
      </c>
    </row>
    <row r="5" spans="1:3" x14ac:dyDescent="0.3">
      <c r="A5" t="s">
        <v>9</v>
      </c>
      <c r="B5">
        <f>16*60</f>
        <v>960</v>
      </c>
      <c r="C5" t="s">
        <v>8</v>
      </c>
    </row>
    <row r="6" spans="1:3" x14ac:dyDescent="0.3">
      <c r="A6" t="s">
        <v>10</v>
      </c>
      <c r="B6">
        <v>322</v>
      </c>
      <c r="C6" t="s">
        <v>11</v>
      </c>
    </row>
    <row r="7" spans="1:3" x14ac:dyDescent="0.3">
      <c r="A7" t="s">
        <v>12</v>
      </c>
      <c r="B7">
        <f>1*0.3048</f>
        <v>0.30480000000000002</v>
      </c>
      <c r="C7" t="s">
        <v>7</v>
      </c>
    </row>
    <row r="8" spans="1:3" x14ac:dyDescent="0.3">
      <c r="A8" t="s">
        <v>13</v>
      </c>
      <c r="B8">
        <v>2</v>
      </c>
      <c r="C8" t="s">
        <v>14</v>
      </c>
    </row>
    <row r="9" spans="1:3" x14ac:dyDescent="0.3">
      <c r="A9" t="s">
        <v>15</v>
      </c>
      <c r="B9">
        <v>8</v>
      </c>
      <c r="C9" t="s">
        <v>14</v>
      </c>
    </row>
    <row r="10" spans="1:3" x14ac:dyDescent="0.3">
      <c r="A10" t="s">
        <v>16</v>
      </c>
      <c r="B10">
        <f>(PI()*B4*B5)/(B6*60)</f>
        <v>0.61348865235318706</v>
      </c>
      <c r="C10" t="s">
        <v>14</v>
      </c>
    </row>
    <row r="11" spans="1:3" x14ac:dyDescent="0.3">
      <c r="A11" t="s">
        <v>17</v>
      </c>
      <c r="B11">
        <f>83.4+15.3*LOG10(B3)-20*LOG10(B10)-3*(B9-2)+10*LOG10(B8)</f>
        <v>122.81909937062503</v>
      </c>
    </row>
    <row r="12" spans="1:3" x14ac:dyDescent="0.3">
      <c r="A12" t="s">
        <v>49</v>
      </c>
      <c r="B12">
        <v>450</v>
      </c>
      <c r="C12" t="s">
        <v>7</v>
      </c>
    </row>
    <row r="14" spans="1:3" x14ac:dyDescent="0.3">
      <c r="A14" t="s">
        <v>26</v>
      </c>
    </row>
    <row r="15" spans="1:3" x14ac:dyDescent="0.3">
      <c r="A15" t="s">
        <v>18</v>
      </c>
      <c r="B15">
        <v>136</v>
      </c>
      <c r="C15" t="s">
        <v>19</v>
      </c>
    </row>
    <row r="16" spans="1:3" x14ac:dyDescent="0.3">
      <c r="A16" t="s">
        <v>20</v>
      </c>
      <c r="B16">
        <f>20*LOG10(4/B9)</f>
        <v>-6.0205999132796242</v>
      </c>
      <c r="C16" t="s">
        <v>19</v>
      </c>
    </row>
    <row r="17" spans="1:6" x14ac:dyDescent="0.3">
      <c r="A17" t="s">
        <v>21</v>
      </c>
      <c r="B17">
        <f>40*LOG10(15.5/(B4/0.3048))</f>
        <v>3.1981644184971074</v>
      </c>
      <c r="C17" t="s">
        <v>19</v>
      </c>
    </row>
    <row r="18" spans="1:6" x14ac:dyDescent="0.3">
      <c r="A18" t="s">
        <v>22</v>
      </c>
      <c r="B18">
        <v>-2</v>
      </c>
      <c r="C18" t="s">
        <v>19</v>
      </c>
    </row>
    <row r="19" spans="1:6" x14ac:dyDescent="0.3">
      <c r="A19" t="s">
        <v>23</v>
      </c>
      <c r="B19">
        <v>0</v>
      </c>
      <c r="C19" t="s">
        <v>19</v>
      </c>
    </row>
    <row r="20" spans="1:6" x14ac:dyDescent="0.3">
      <c r="A20" t="s">
        <v>24</v>
      </c>
      <c r="B20">
        <v>4</v>
      </c>
      <c r="C20" t="s">
        <v>19</v>
      </c>
    </row>
    <row r="21" spans="1:6" x14ac:dyDescent="0.3">
      <c r="A21" t="s">
        <v>25</v>
      </c>
      <c r="B21">
        <f>SUM(B15:B20)</f>
        <v>135.17756450521748</v>
      </c>
      <c r="C21" t="s">
        <v>19</v>
      </c>
    </row>
    <row r="22" spans="1:6" x14ac:dyDescent="0.3">
      <c r="A22" t="s">
        <v>28</v>
      </c>
      <c r="B22">
        <f>B9*B5/60</f>
        <v>128</v>
      </c>
      <c r="C22" t="s">
        <v>27</v>
      </c>
    </row>
    <row r="23" spans="1:6" x14ac:dyDescent="0.3">
      <c r="A23" t="s">
        <v>29</v>
      </c>
      <c r="B23" t="s">
        <v>30</v>
      </c>
      <c r="C23" t="s">
        <v>32</v>
      </c>
      <c r="D23" t="s">
        <v>31</v>
      </c>
      <c r="E23" t="s">
        <v>62</v>
      </c>
      <c r="F23" t="s">
        <v>63</v>
      </c>
    </row>
    <row r="24" spans="1:6" x14ac:dyDescent="0.3">
      <c r="A24" t="s">
        <v>33</v>
      </c>
      <c r="B24">
        <f>B22</f>
        <v>128</v>
      </c>
      <c r="C24">
        <v>-2</v>
      </c>
      <c r="D24">
        <f t="shared" ref="D24:D33" si="0">$B$21+C24</f>
        <v>133.17756450521748</v>
      </c>
      <c r="E24">
        <f>20*LOG((12194^2*B24^4)/((B24^2+20.6^2)*SQRT((B24^2+107.7^2)*(B24^2+737.9^2))*(B24^2+12194^2)))+2</f>
        <v>-15.892356712994378</v>
      </c>
      <c r="F24">
        <f>D24+E24</f>
        <v>117.2852077922231</v>
      </c>
    </row>
    <row r="25" spans="1:6" x14ac:dyDescent="0.3">
      <c r="A25">
        <v>2</v>
      </c>
      <c r="B25">
        <f t="shared" ref="B25:B33" si="1">$B$24*A25</f>
        <v>256</v>
      </c>
      <c r="C25">
        <v>-9</v>
      </c>
      <c r="D25">
        <f t="shared" si="0"/>
        <v>126.17756450521748</v>
      </c>
      <c r="E25">
        <f t="shared" ref="E25:E33" si="2">20*LOG((12194^2*B25^4)/((B25^2+20.6^2)*SQRT((B25^2+107.7^2)*(B25^2+737.9^2))*(B25^2+12194^2)))+2</f>
        <v>-8.4563507971768317</v>
      </c>
      <c r="F25">
        <f t="shared" ref="F25:F33" si="3">D25+E25</f>
        <v>117.72121370804064</v>
      </c>
    </row>
    <row r="26" spans="1:6" x14ac:dyDescent="0.3">
      <c r="A26">
        <v>3</v>
      </c>
      <c r="B26">
        <f t="shared" si="1"/>
        <v>384</v>
      </c>
      <c r="C26">
        <v>-13</v>
      </c>
      <c r="D26">
        <f t="shared" si="0"/>
        <v>122.17756450521748</v>
      </c>
      <c r="E26">
        <f t="shared" si="2"/>
        <v>-5.0765647999854542</v>
      </c>
      <c r="F26">
        <f t="shared" si="3"/>
        <v>117.10099970523203</v>
      </c>
    </row>
    <row r="27" spans="1:6" x14ac:dyDescent="0.3">
      <c r="A27">
        <v>4</v>
      </c>
      <c r="B27">
        <f t="shared" si="1"/>
        <v>512</v>
      </c>
      <c r="C27">
        <v>-16</v>
      </c>
      <c r="D27">
        <f t="shared" si="0"/>
        <v>119.17756450521748</v>
      </c>
      <c r="E27">
        <f t="shared" si="2"/>
        <v>-3.0987851008171141</v>
      </c>
      <c r="F27">
        <f t="shared" si="3"/>
        <v>116.07877940440036</v>
      </c>
    </row>
    <row r="28" spans="1:6" x14ac:dyDescent="0.3">
      <c r="A28">
        <v>5</v>
      </c>
      <c r="B28">
        <f t="shared" si="1"/>
        <v>640</v>
      </c>
      <c r="C28">
        <v>-18</v>
      </c>
      <c r="D28">
        <f t="shared" si="0"/>
        <v>117.17756450521748</v>
      </c>
      <c r="E28">
        <f t="shared" si="2"/>
        <v>-1.8264879451909604</v>
      </c>
      <c r="F28">
        <f t="shared" si="3"/>
        <v>115.35107656002651</v>
      </c>
    </row>
    <row r="29" spans="1:6" x14ac:dyDescent="0.3">
      <c r="A29">
        <v>6</v>
      </c>
      <c r="B29">
        <f t="shared" si="1"/>
        <v>768</v>
      </c>
      <c r="C29">
        <v>-19</v>
      </c>
      <c r="D29">
        <f t="shared" si="0"/>
        <v>116.17756450521748</v>
      </c>
      <c r="E29">
        <f t="shared" si="2"/>
        <v>-0.96534428338692324</v>
      </c>
      <c r="F29">
        <f t="shared" si="3"/>
        <v>115.21222022183055</v>
      </c>
    </row>
    <row r="30" spans="1:6" x14ac:dyDescent="0.3">
      <c r="A30">
        <v>7</v>
      </c>
      <c r="B30">
        <f t="shared" si="1"/>
        <v>896</v>
      </c>
      <c r="C30">
        <v>-20</v>
      </c>
      <c r="D30">
        <f t="shared" si="0"/>
        <v>115.17756450521748</v>
      </c>
      <c r="E30">
        <f t="shared" si="2"/>
        <v>-0.36218204194424786</v>
      </c>
      <c r="F30">
        <f t="shared" si="3"/>
        <v>114.81538246327322</v>
      </c>
    </row>
    <row r="31" spans="1:6" x14ac:dyDescent="0.3">
      <c r="A31">
        <v>8</v>
      </c>
      <c r="B31">
        <f t="shared" si="1"/>
        <v>1024</v>
      </c>
      <c r="C31">
        <v>-20</v>
      </c>
      <c r="D31">
        <f t="shared" si="0"/>
        <v>115.17756450521748</v>
      </c>
      <c r="E31">
        <f t="shared" si="2"/>
        <v>7.1314589046723498E-2</v>
      </c>
      <c r="F31">
        <f t="shared" si="3"/>
        <v>115.2488790942642</v>
      </c>
    </row>
    <row r="32" spans="1:6" x14ac:dyDescent="0.3">
      <c r="A32">
        <v>9</v>
      </c>
      <c r="B32">
        <f t="shared" si="1"/>
        <v>1152</v>
      </c>
      <c r="C32">
        <v>-20</v>
      </c>
      <c r="D32">
        <f t="shared" si="0"/>
        <v>115.17756450521748</v>
      </c>
      <c r="E32">
        <f t="shared" si="2"/>
        <v>0.38916910981118269</v>
      </c>
      <c r="F32">
        <f t="shared" si="3"/>
        <v>115.56673361502865</v>
      </c>
    </row>
    <row r="33" spans="1:6" x14ac:dyDescent="0.3">
      <c r="A33">
        <v>10</v>
      </c>
      <c r="B33">
        <f t="shared" si="1"/>
        <v>1280</v>
      </c>
      <c r="C33">
        <v>-20</v>
      </c>
      <c r="D33">
        <f t="shared" si="0"/>
        <v>115.17756450521748</v>
      </c>
      <c r="E33">
        <f t="shared" si="2"/>
        <v>0.62579735717715734</v>
      </c>
      <c r="F33">
        <f t="shared" si="3"/>
        <v>115.80336186239464</v>
      </c>
    </row>
    <row r="35" spans="1:6" x14ac:dyDescent="0.3">
      <c r="A35" t="s">
        <v>34</v>
      </c>
      <c r="B35" t="s">
        <v>35</v>
      </c>
      <c r="C35" t="s">
        <v>36</v>
      </c>
      <c r="D35" t="s">
        <v>47</v>
      </c>
    </row>
    <row r="36" spans="1:6" x14ac:dyDescent="0.3">
      <c r="A36" t="s">
        <v>37</v>
      </c>
      <c r="B36" t="s">
        <v>45</v>
      </c>
    </row>
    <row r="37" spans="1:6" x14ac:dyDescent="0.3">
      <c r="A37" t="s">
        <v>38</v>
      </c>
      <c r="B37">
        <v>128</v>
      </c>
      <c r="C37">
        <f>F24</f>
        <v>117.2852077922231</v>
      </c>
      <c r="D37">
        <f>C37</f>
        <v>117.2852077922231</v>
      </c>
    </row>
    <row r="38" spans="1:6" x14ac:dyDescent="0.3">
      <c r="A38" t="s">
        <v>39</v>
      </c>
      <c r="B38">
        <v>256</v>
      </c>
      <c r="C38">
        <f>F25</f>
        <v>117.72121370804064</v>
      </c>
      <c r="D38">
        <f>C38</f>
        <v>117.72121370804064</v>
      </c>
    </row>
    <row r="39" spans="1:6" x14ac:dyDescent="0.3">
      <c r="A39" t="s">
        <v>40</v>
      </c>
      <c r="B39" t="s">
        <v>64</v>
      </c>
      <c r="C39" t="s">
        <v>58</v>
      </c>
      <c r="D39">
        <f>10*LOG10(10^(F26/10)+10^(F27/10)+10^(F28/10))</f>
        <v>121.00793190744994</v>
      </c>
    </row>
    <row r="40" spans="1:6" x14ac:dyDescent="0.3">
      <c r="A40" t="s">
        <v>41</v>
      </c>
      <c r="B40" t="s">
        <v>65</v>
      </c>
      <c r="C40" t="s">
        <v>59</v>
      </c>
      <c r="D40">
        <f>10*LOG10(10^(F29/10)+10^(F30/10)+10^(F31/10)+10^(F32/10)+10^(F33/10))</f>
        <v>122.33199559246671</v>
      </c>
    </row>
    <row r="41" spans="1:6" x14ac:dyDescent="0.3">
      <c r="A41" t="s">
        <v>42</v>
      </c>
    </row>
    <row r="42" spans="1:6" x14ac:dyDescent="0.3">
      <c r="A42" t="s">
        <v>43</v>
      </c>
    </row>
    <row r="43" spans="1:6" x14ac:dyDescent="0.3">
      <c r="A43" t="s">
        <v>44</v>
      </c>
    </row>
    <row r="44" spans="1:6" x14ac:dyDescent="0.3">
      <c r="A44" t="s">
        <v>46</v>
      </c>
      <c r="D44">
        <f>10*LOG10(10^(D37/10)+10^(D38/10)+10^(D39/10)+10^(D40/10))</f>
        <v>126.12673764099425</v>
      </c>
    </row>
    <row r="46" spans="1:6" x14ac:dyDescent="0.3">
      <c r="A46" t="s">
        <v>48</v>
      </c>
    </row>
    <row r="47" spans="1:6" x14ac:dyDescent="0.3">
      <c r="A47" t="s">
        <v>18</v>
      </c>
      <c r="B47">
        <f>B15</f>
        <v>136</v>
      </c>
      <c r="C47" t="s">
        <v>19</v>
      </c>
    </row>
    <row r="48" spans="1:6" x14ac:dyDescent="0.3">
      <c r="A48" t="s">
        <v>20</v>
      </c>
      <c r="B48">
        <f>B16</f>
        <v>-6.0205999132796242</v>
      </c>
      <c r="C48" t="s">
        <v>19</v>
      </c>
    </row>
    <row r="49" spans="1:6" x14ac:dyDescent="0.3">
      <c r="A49" t="s">
        <v>21</v>
      </c>
      <c r="B49">
        <f>B17</f>
        <v>3.1981644184971074</v>
      </c>
      <c r="C49" t="s">
        <v>19</v>
      </c>
    </row>
    <row r="50" spans="1:6" x14ac:dyDescent="0.3">
      <c r="A50" t="s">
        <v>22</v>
      </c>
      <c r="B50">
        <f>B18</f>
        <v>-2</v>
      </c>
      <c r="C50" t="s">
        <v>19</v>
      </c>
    </row>
    <row r="51" spans="1:6" x14ac:dyDescent="0.3">
      <c r="A51" t="s">
        <v>50</v>
      </c>
      <c r="B51">
        <v>6</v>
      </c>
      <c r="C51" t="s">
        <v>19</v>
      </c>
    </row>
    <row r="52" spans="1:6" x14ac:dyDescent="0.3">
      <c r="A52" t="s">
        <v>51</v>
      </c>
      <c r="B52">
        <f>-20*LOG10((B12/0.3048)-1)</f>
        <v>-63.378065786215778</v>
      </c>
      <c r="C52" t="s">
        <v>19</v>
      </c>
    </row>
    <row r="53" spans="1:6" x14ac:dyDescent="0.3">
      <c r="A53" t="s">
        <v>52</v>
      </c>
      <c r="B53">
        <f>SUM(B47:B52)</f>
        <v>73.79949871900169</v>
      </c>
      <c r="C53" t="s">
        <v>19</v>
      </c>
    </row>
    <row r="54" spans="1:6" x14ac:dyDescent="0.3">
      <c r="A54" t="s">
        <v>53</v>
      </c>
      <c r="B54">
        <f>B22</f>
        <v>128</v>
      </c>
    </row>
    <row r="55" spans="1:6" x14ac:dyDescent="0.3">
      <c r="A55" t="s">
        <v>29</v>
      </c>
      <c r="B55" t="s">
        <v>30</v>
      </c>
      <c r="C55" t="s">
        <v>32</v>
      </c>
      <c r="D55" t="s">
        <v>31</v>
      </c>
      <c r="E55" t="s">
        <v>62</v>
      </c>
      <c r="F55" t="s">
        <v>63</v>
      </c>
    </row>
    <row r="56" spans="1:6" x14ac:dyDescent="0.3">
      <c r="A56" t="s">
        <v>33</v>
      </c>
      <c r="B56">
        <f>B54</f>
        <v>128</v>
      </c>
      <c r="C56">
        <v>-2</v>
      </c>
      <c r="D56">
        <f>$B$53+C56</f>
        <v>71.79949871900169</v>
      </c>
      <c r="E56">
        <f>20*LOG((12194^2*B56^4)/((B56^2+20.6^2)*SQRT((B56^2+107.7^2)*(B56^2+737.9^2))*(B56^2+12194^2)))+2</f>
        <v>-15.892356712994378</v>
      </c>
      <c r="F56">
        <f>D56+E56</f>
        <v>55.907142006007312</v>
      </c>
    </row>
    <row r="57" spans="1:6" x14ac:dyDescent="0.3">
      <c r="A57">
        <v>2</v>
      </c>
      <c r="B57">
        <f t="shared" ref="B57:B65" si="4">$B$24*A57</f>
        <v>256</v>
      </c>
      <c r="C57">
        <v>-9</v>
      </c>
      <c r="D57">
        <f t="shared" ref="D57:D65" si="5">$B$53+C57</f>
        <v>64.79949871900169</v>
      </c>
      <c r="E57">
        <f t="shared" ref="E57:E65" si="6">20*LOG((12194^2*B57^4)/((B57^2+20.6^2)*SQRT((B57^2+107.7^2)*(B57^2+737.9^2))*(B57^2+12194^2)))+2</f>
        <v>-8.4563507971768317</v>
      </c>
      <c r="F57">
        <f t="shared" ref="F57:F65" si="7">D57+E57</f>
        <v>56.343147921824858</v>
      </c>
    </row>
    <row r="58" spans="1:6" x14ac:dyDescent="0.3">
      <c r="A58">
        <v>3</v>
      </c>
      <c r="B58">
        <f t="shared" si="4"/>
        <v>384</v>
      </c>
      <c r="C58">
        <v>-13</v>
      </c>
      <c r="D58">
        <f t="shared" si="5"/>
        <v>60.79949871900169</v>
      </c>
      <c r="E58">
        <f t="shared" si="6"/>
        <v>-5.0765647999854542</v>
      </c>
      <c r="F58">
        <f t="shared" si="7"/>
        <v>55.722933919016235</v>
      </c>
    </row>
    <row r="59" spans="1:6" x14ac:dyDescent="0.3">
      <c r="A59">
        <v>4</v>
      </c>
      <c r="B59">
        <f t="shared" si="4"/>
        <v>512</v>
      </c>
      <c r="C59">
        <v>-16</v>
      </c>
      <c r="D59">
        <f t="shared" si="5"/>
        <v>57.79949871900169</v>
      </c>
      <c r="E59">
        <f t="shared" si="6"/>
        <v>-3.0987851008171141</v>
      </c>
      <c r="F59">
        <f t="shared" si="7"/>
        <v>54.700713618184579</v>
      </c>
    </row>
    <row r="60" spans="1:6" x14ac:dyDescent="0.3">
      <c r="A60">
        <v>5</v>
      </c>
      <c r="B60">
        <f t="shared" si="4"/>
        <v>640</v>
      </c>
      <c r="C60">
        <v>-18</v>
      </c>
      <c r="D60">
        <f t="shared" si="5"/>
        <v>55.79949871900169</v>
      </c>
      <c r="E60">
        <f t="shared" si="6"/>
        <v>-1.8264879451909604</v>
      </c>
      <c r="F60">
        <f t="shared" si="7"/>
        <v>53.973010773810728</v>
      </c>
    </row>
    <row r="61" spans="1:6" x14ac:dyDescent="0.3">
      <c r="A61">
        <v>6</v>
      </c>
      <c r="B61">
        <f t="shared" si="4"/>
        <v>768</v>
      </c>
      <c r="C61">
        <v>-19</v>
      </c>
      <c r="D61">
        <f t="shared" si="5"/>
        <v>54.79949871900169</v>
      </c>
      <c r="E61">
        <f t="shared" si="6"/>
        <v>-0.96534428338692324</v>
      </c>
      <c r="F61">
        <f t="shared" si="7"/>
        <v>53.834154435614764</v>
      </c>
    </row>
    <row r="62" spans="1:6" x14ac:dyDescent="0.3">
      <c r="A62">
        <v>7</v>
      </c>
      <c r="B62">
        <f t="shared" si="4"/>
        <v>896</v>
      </c>
      <c r="C62">
        <v>-20</v>
      </c>
      <c r="D62">
        <f t="shared" si="5"/>
        <v>53.79949871900169</v>
      </c>
      <c r="E62">
        <f t="shared" si="6"/>
        <v>-0.36218204194424786</v>
      </c>
      <c r="F62">
        <f t="shared" si="7"/>
        <v>53.437316677057439</v>
      </c>
    </row>
    <row r="63" spans="1:6" x14ac:dyDescent="0.3">
      <c r="A63">
        <v>8</v>
      </c>
      <c r="B63">
        <f t="shared" si="4"/>
        <v>1024</v>
      </c>
      <c r="C63">
        <v>-20</v>
      </c>
      <c r="D63">
        <f t="shared" si="5"/>
        <v>53.79949871900169</v>
      </c>
      <c r="E63">
        <f t="shared" si="6"/>
        <v>7.1314589046723498E-2</v>
      </c>
      <c r="F63">
        <f t="shared" si="7"/>
        <v>53.870813308048412</v>
      </c>
    </row>
    <row r="64" spans="1:6" x14ac:dyDescent="0.3">
      <c r="A64">
        <v>9</v>
      </c>
      <c r="B64">
        <f t="shared" si="4"/>
        <v>1152</v>
      </c>
      <c r="C64">
        <v>-20</v>
      </c>
      <c r="D64">
        <f t="shared" si="5"/>
        <v>53.79949871900169</v>
      </c>
      <c r="E64">
        <f t="shared" si="6"/>
        <v>0.38916910981118269</v>
      </c>
      <c r="F64">
        <f t="shared" si="7"/>
        <v>54.188667828812875</v>
      </c>
    </row>
    <row r="65" spans="1:6" x14ac:dyDescent="0.3">
      <c r="A65">
        <v>10</v>
      </c>
      <c r="B65">
        <f t="shared" si="4"/>
        <v>1280</v>
      </c>
      <c r="C65">
        <v>-20</v>
      </c>
      <c r="D65">
        <f t="shared" si="5"/>
        <v>53.79949871900169</v>
      </c>
      <c r="E65">
        <f t="shared" si="6"/>
        <v>0.62579735717715734</v>
      </c>
      <c r="F65">
        <f t="shared" si="7"/>
        <v>54.425296076178846</v>
      </c>
    </row>
    <row r="67" spans="1:6" x14ac:dyDescent="0.3">
      <c r="A67" t="s">
        <v>34</v>
      </c>
      <c r="B67" t="s">
        <v>35</v>
      </c>
      <c r="C67" t="s">
        <v>36</v>
      </c>
      <c r="D67" t="s">
        <v>54</v>
      </c>
      <c r="E67" t="s">
        <v>47</v>
      </c>
      <c r="F67" t="s">
        <v>55</v>
      </c>
    </row>
    <row r="68" spans="1:6" x14ac:dyDescent="0.3">
      <c r="A68" t="s">
        <v>37</v>
      </c>
      <c r="B68" t="s">
        <v>45</v>
      </c>
      <c r="D68">
        <v>0</v>
      </c>
    </row>
    <row r="69" spans="1:6" x14ac:dyDescent="0.3">
      <c r="A69" t="s">
        <v>38</v>
      </c>
      <c r="B69">
        <f>B37</f>
        <v>128</v>
      </c>
      <c r="C69">
        <f>F56</f>
        <v>55.907142006007312</v>
      </c>
      <c r="D69">
        <f>-0.2*(B12/0.3048/1000)</f>
        <v>-0.29527559055118108</v>
      </c>
      <c r="E69">
        <f>C69</f>
        <v>55.907142006007312</v>
      </c>
      <c r="F69">
        <f>E69+D69</f>
        <v>55.611866415456134</v>
      </c>
    </row>
    <row r="70" spans="1:6" x14ac:dyDescent="0.3">
      <c r="A70" t="s">
        <v>39</v>
      </c>
      <c r="B70">
        <f>B38</f>
        <v>256</v>
      </c>
      <c r="C70">
        <f>F57</f>
        <v>56.343147921824858</v>
      </c>
      <c r="D70">
        <f>-0.7*(B12/0.3048/1000)</f>
        <v>-1.0334645669291336</v>
      </c>
      <c r="E70">
        <f>C70</f>
        <v>56.343147921824858</v>
      </c>
      <c r="F70">
        <f t="shared" ref="F70:F72" si="8">E70+D70</f>
        <v>55.309683354895725</v>
      </c>
    </row>
    <row r="71" spans="1:6" x14ac:dyDescent="0.3">
      <c r="A71" t="s">
        <v>40</v>
      </c>
      <c r="B71" t="s">
        <v>56</v>
      </c>
      <c r="C71" t="s">
        <v>60</v>
      </c>
      <c r="D71">
        <f>-1*(B12/0.3048/1000)</f>
        <v>-1.4763779527559053</v>
      </c>
      <c r="E71">
        <f>10*LOG10(10^(F58/10)+10^(F59/10)+10^(F60/10))</f>
        <v>59.629866121234151</v>
      </c>
      <c r="F71">
        <f t="shared" si="8"/>
        <v>58.153488168478248</v>
      </c>
    </row>
    <row r="72" spans="1:6" x14ac:dyDescent="0.3">
      <c r="A72" t="s">
        <v>41</v>
      </c>
      <c r="B72" t="s">
        <v>57</v>
      </c>
      <c r="C72" t="s">
        <v>61</v>
      </c>
      <c r="D72">
        <f>-1.9*(B12/0.3048/1000)</f>
        <v>-2.8051181102362199</v>
      </c>
      <c r="E72">
        <f>10*LOG10(10^(F61/10)+10^(F62/10)+10^(F63/10)+10^(F64/10)+10^(F65/10))</f>
        <v>60.953929806250926</v>
      </c>
      <c r="F72">
        <f t="shared" si="8"/>
        <v>58.148811696014704</v>
      </c>
    </row>
    <row r="73" spans="1:6" x14ac:dyDescent="0.3">
      <c r="A73" t="s">
        <v>42</v>
      </c>
      <c r="D73">
        <f>-3.4*(B12/0.3048/1000)</f>
        <v>-5.0196850393700778</v>
      </c>
    </row>
    <row r="74" spans="1:6" x14ac:dyDescent="0.3">
      <c r="A74" t="s">
        <v>43</v>
      </c>
      <c r="D74">
        <f>-6*(B12/0.3048/1000)</f>
        <v>-8.8582677165354315</v>
      </c>
    </row>
    <row r="75" spans="1:6" x14ac:dyDescent="0.3">
      <c r="A75" t="s">
        <v>44</v>
      </c>
      <c r="D75">
        <f>-11.7*(B12/0.3048/1000)</f>
        <v>-17.273622047244093</v>
      </c>
    </row>
    <row r="76" spans="1:6" x14ac:dyDescent="0.3">
      <c r="A76" t="s">
        <v>46</v>
      </c>
      <c r="E76">
        <f>10*LOG10(10^(E69/10)+10^(E70/10)+10^(E71/10)+10^(E72/10))</f>
        <v>64.748671854778451</v>
      </c>
      <c r="F76">
        <f>10*LOG10(10^(F69/10)+10^(F70/10)+10^(F71/10)+10^(F72/10))</f>
        <v>63.032563771602305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8"/>
  <sheetViews>
    <sheetView topLeftCell="S1" zoomScale="67" zoomScaleNormal="85" workbookViewId="0">
      <selection activeCell="W6" sqref="W6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N5" t="s">
        <v>129</v>
      </c>
      <c r="P5" t="s">
        <v>132</v>
      </c>
      <c r="R5" t="s">
        <v>133</v>
      </c>
      <c r="T5" t="s">
        <v>109</v>
      </c>
      <c r="V5" t="s">
        <v>140</v>
      </c>
      <c r="X5" t="s">
        <v>120</v>
      </c>
      <c r="Z5" t="s">
        <v>147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M6" t="s">
        <v>128</v>
      </c>
      <c r="N6" t="s">
        <v>130</v>
      </c>
      <c r="O6" t="s">
        <v>131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t="s">
        <v>149</v>
      </c>
      <c r="AC6" t="s">
        <v>150</v>
      </c>
      <c r="AD6" t="s">
        <v>151</v>
      </c>
    </row>
    <row r="7" spans="1:30" x14ac:dyDescent="0.3">
      <c r="A7" t="s">
        <v>72</v>
      </c>
      <c r="B7">
        <v>0.22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3.2364210983176454E-3</v>
      </c>
      <c r="O7">
        <f>10*LOG10((($B$12*$B$9*$F$11*$F$14*(0.613*(10*N7)^4*((10*N7)^1.5+0.5)^-4))/(4*PI()*$B$15^2*(1-$B$7*COS($B$14))))/$B$17^2)</f>
        <v>61.559795187509664</v>
      </c>
      <c r="P7">
        <f>(M7*$H$10)*(1-$B$7*COS($B$14))/($B$7*$B$9)</f>
        <v>2.0140785659622287E-4</v>
      </c>
      <c r="Q7">
        <f>10*LOG10((($B$12*$B$9*$H$16*$H$15*(0.613*(10*P7)^4*((10*P7)^1.5+0.5)^-4))/(4*PI()*$B$15^2*(1-$B$7*COS($B$14))^4))/$B$17^2)</f>
        <v>7.7608929829878006</v>
      </c>
      <c r="R7">
        <f>(M7*$J$10)*(1-$B$7*COS($B$14))/($B$7*$B$9)</f>
        <v>6.7164343633930768E-5</v>
      </c>
      <c r="S7">
        <f>10*LOG10((($B$12*$B$9*$J$16*$J$15*(0.613*(10*R7)^4*((10*R7)^1.5+0.5)^-4))/(4*PI()*$B$15^2*(1-$B$7*COS($B$14))^4))/$B$17^2)</f>
        <v>-52.88571696496949</v>
      </c>
      <c r="T7">
        <f>(M7*$F$25)*(1-$B$7*COS($B$14))/($B$7*$B$9)</f>
        <v>0.18189920596337714</v>
      </c>
      <c r="U7">
        <f>10*LOG10((($B$12*$B$9*$F$32*$F$31*(0.1406*T7^-0.55))/(4*PI()*$B$15^2*(1-$B$7*COS($B$14))^2))/$B$17^2)</f>
        <v>114.30020397138892</v>
      </c>
      <c r="V7">
        <f>(M7*$F$25)*(1-$B$7*COS($B$14))/($B$7*$B$9)</f>
        <v>0.18189920596337714</v>
      </c>
      <c r="W7">
        <f>10*LOG10((($B$12*$B$9*$H$31*$H$30*(13.59*V7^2*(V7^2+12.5)^-2.25))/(4*PI()*$B$15^2*(1-$B$7*COS($B$14))^4))/$B$17^2)</f>
        <v>54.587641160924896</v>
      </c>
      <c r="X7">
        <f>(M7*$J$27)*(1-$B$7*COS($B$14))/($B$7*$B$9)</f>
        <v>8.0213903743315509E-2</v>
      </c>
      <c r="Y7">
        <f>10*LOG10((($B$12*$B$9*$F$32*$F$31*(13.59*X7^2*(X7^2+12.5)^-2.25))/(4*PI()*$B$15^2*(1-$B$7*COS($B$14))^2))/$B$17^2)</f>
        <v>83.481103939011859</v>
      </c>
      <c r="Z7">
        <f>(M7*$F$42)*(1-$B$7*COS($B$14))/($B$7*$B$9)</f>
        <v>1.3368983957219251E-2</v>
      </c>
      <c r="AA7">
        <f>10*LOG10((($B$12*$B$9*$F$46*$F$45*(5.325*(30+Z7^8)^-1))/(4*PI()*$B$15^2*(1-$B$7*COS($B$14))^2))/$B$17^2)</f>
        <v>54.84323253807996</v>
      </c>
      <c r="AB7">
        <f>10*LOG10(10^(O7/10)+10^(Q7/10)+10^(S7/10)+10^(U7/10)+10^(W7/10)+10^(Y7/10)+10^(AA7/10))</f>
        <v>114.30383157682961</v>
      </c>
      <c r="AC7">
        <f>20*LOG((12194^2*M7^4)/((M7^2+20.6^2)*SQRT((M7^2+107.7^2)*(M7^2+737.9^2))*(M7^2+12194^2)))+2</f>
        <v>-70.434939741819917</v>
      </c>
      <c r="AD7">
        <f>AB7+AC7</f>
        <v>43.868891835009691</v>
      </c>
    </row>
    <row r="8" spans="1:30" x14ac:dyDescent="0.3">
      <c r="A8" t="s">
        <v>73</v>
      </c>
      <c r="B8">
        <v>49.29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0">(M8*$F$10*(1-$B$7*COS($B$14)))/($B$7*$B$9)</f>
        <v>6.4728421966352909E-3</v>
      </c>
      <c r="O8">
        <f t="shared" ref="O8:O37" si="1">10*LOG10((($B$12*$B$9*$F$11*$F$14*(0.613*(10*N8)^4*((10*N8)^1.5+0.5)^-4))/(4*PI()*$B$15^2*(1-$B$7*COS($B$14))))/$B$17^2)</f>
        <v>73.239176400648461</v>
      </c>
      <c r="P8">
        <f t="shared" ref="P8:P37" si="2">(M8*$H$10)*(1-$B$7*COS($B$14))/($B$7*$B$9)</f>
        <v>4.0281571319244575E-4</v>
      </c>
      <c r="Q8">
        <f t="shared" ref="Q8:Q33" si="3">10*LOG10((($B$12*$B$9*$H$16*$H$15*(0.613*(10*P8)^4*((10*P8)^1.5+0.5)^-4))/(4*PI()*$B$15^2*(1-$B$7*COS($B$14))^4))/$B$17^2)</f>
        <v>19.79635275117435</v>
      </c>
      <c r="R8">
        <f t="shared" ref="R8:R37" si="4">(M8*$J$10)*(1-$B$7*COS($B$14))/($B$7*$B$9)</f>
        <v>1.3432868726786154E-4</v>
      </c>
      <c r="S8">
        <f t="shared" ref="S8:S37" si="5">10*LOG10((($B$12*$B$9*$J$16*$J$15*(0.613*(10*R8)^4*((10*R8)^1.5+0.5)^-4))/(4*PI()*$B$15^2*(1-$B$7*COS($B$14))^4))/$B$17^2)</f>
        <v>-40.845622822795193</v>
      </c>
      <c r="T8">
        <f t="shared" ref="T8:T37" si="6">(M8*$F$25)*(1-$B$7*COS($B$14))/($B$7*$B$9)</f>
        <v>0.36379841192675427</v>
      </c>
      <c r="U8">
        <f t="shared" ref="U8:U37" si="7">10*LOG10((($B$12*$B$9*$F$32*$F$31*(0.1406*T8^-0.55))/(4*PI()*$B$15^2*(1-$B$7*COS($B$14))^2))/$B$17^2)</f>
        <v>112.64453899523703</v>
      </c>
      <c r="V8">
        <f t="shared" ref="V8:V37" si="8">(M8*$F$25)*(1-$B$7*COS($B$14))/($B$7*$B$9)</f>
        <v>0.36379841192675427</v>
      </c>
      <c r="W8">
        <f t="shared" ref="W8:W37" si="9">10*LOG10((($B$12*$B$9*$H$31*$H$30*(13.59*V8^2*(V8^2+12.5)^-2.25))/(4*PI()*$B$15^2*(1-$B$7*COS($B$14))^4))/$B$17^2)</f>
        <v>60.531154726598459</v>
      </c>
      <c r="X8">
        <f t="shared" ref="X8:X37" si="10">(M8*$J$27)*(1-$B$7*COS($B$14))/($B$7*$B$9)</f>
        <v>0.16042780748663102</v>
      </c>
      <c r="Y8">
        <f t="shared" ref="Y8:Y37" si="11">10*LOG10((($B$12*$B$9*$F$32*$F$31*(13.59*X8^2*(X8^2+12.5)^-2.25))/(4*PI()*$B$15^2*(1-$B$7*COS($B$14))^2))/$B$17^2)</f>
        <v>89.486633654653374</v>
      </c>
      <c r="Z8">
        <f t="shared" ref="Z8:Z37" si="12">(M8*$F$42)*(1-$B$7*COS($B$14))/($B$7*$B$9)</f>
        <v>2.6737967914438502E-2</v>
      </c>
      <c r="AA8">
        <f t="shared" ref="AA8:AA37" si="13">10*LOG10((($B$12*$B$9*$F$46*$F$45*(5.325*(30+Z8^8)^-1))/(4*PI()*$B$15^2*(1-$B$7*COS($B$14))^2))/$B$17^2)</f>
        <v>54.843232538079924</v>
      </c>
      <c r="AB8">
        <f t="shared" ref="AB8:AB37" si="14">10*LOG10(10^(O8/10)+10^(Q8/10)+10^(S8/10)+10^(U8/10)+10^(W8/10)+10^(Y8/10)+10^(AA8/10))</f>
        <v>112.66600687122532</v>
      </c>
      <c r="AC8">
        <f t="shared" ref="AC8:AC37" si="15">20*LOG((12194^2*M8^4)/((M8^2+20.6^2)*SQRT((M8^2+107.7^2)*(M8^2+737.9^2))*(M8^2+12194^2)))+2</f>
        <v>-50.394656885439417</v>
      </c>
      <c r="AD8">
        <f t="shared" ref="AD8:AD37" si="16">AB8+AC8</f>
        <v>62.271349985785903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7.7165720436746103E-4</v>
      </c>
      <c r="G9" t="s">
        <v>89</v>
      </c>
      <c r="H9">
        <f>0.37*(H12/H11^2)*((B12*B7*B9*H12)/(B11*H11))^-0.2*(H11/B10)^2</f>
        <v>2.0497017242717647E-4</v>
      </c>
      <c r="I9" t="s">
        <v>89</v>
      </c>
      <c r="J9">
        <f>0.37*(J12/J11^2)*((B12*B7*B9*J12)/(B11*J11))^-0.2*(J11/B10)^2</f>
        <v>1.4272423022210288E-4</v>
      </c>
      <c r="M9">
        <v>30</v>
      </c>
      <c r="N9">
        <f t="shared" si="0"/>
        <v>9.7092632949529363E-3</v>
      </c>
      <c r="O9">
        <f t="shared" si="1"/>
        <v>79.825215210083286</v>
      </c>
      <c r="P9">
        <f t="shared" si="2"/>
        <v>6.0422356978866859E-4</v>
      </c>
      <c r="Q9">
        <f t="shared" si="3"/>
        <v>26.832572830708411</v>
      </c>
      <c r="R9">
        <f t="shared" si="4"/>
        <v>2.0149303090179232E-4</v>
      </c>
      <c r="S9">
        <f t="shared" si="5"/>
        <v>-33.803404164170821</v>
      </c>
      <c r="T9">
        <f t="shared" si="6"/>
        <v>0.54569761789013138</v>
      </c>
      <c r="U9">
        <f t="shared" si="7"/>
        <v>111.67603707043078</v>
      </c>
      <c r="V9">
        <f t="shared" si="8"/>
        <v>0.54569761789013138</v>
      </c>
      <c r="W9">
        <f t="shared" si="9"/>
        <v>63.925838828336772</v>
      </c>
      <c r="X9">
        <f t="shared" si="10"/>
        <v>0.24064171122994654</v>
      </c>
      <c r="Y9">
        <f t="shared" si="11"/>
        <v>92.983393373529211</v>
      </c>
      <c r="Z9">
        <f t="shared" si="12"/>
        <v>4.0106951871657755E-2</v>
      </c>
      <c r="AA9">
        <f t="shared" si="13"/>
        <v>54.843232538078993</v>
      </c>
      <c r="AB9">
        <f t="shared" si="14"/>
        <v>111.73720619667286</v>
      </c>
      <c r="AC9">
        <f t="shared" si="15"/>
        <v>-40.606449491877584</v>
      </c>
      <c r="AD9">
        <f t="shared" si="16"/>
        <v>71.130756704795274</v>
      </c>
    </row>
    <row r="10" spans="1:30" x14ac:dyDescent="0.3">
      <c r="A10" t="s">
        <v>74</v>
      </c>
      <c r="B10">
        <v>31.372</v>
      </c>
      <c r="C10" t="s">
        <v>7</v>
      </c>
      <c r="E10" t="s">
        <v>83</v>
      </c>
      <c r="F10">
        <f>F9*B10</f>
        <v>2.4208429815415988E-2</v>
      </c>
      <c r="G10" t="s">
        <v>83</v>
      </c>
      <c r="H10">
        <f>H9*H11</f>
        <v>1.5065307673397469E-3</v>
      </c>
      <c r="I10" t="s">
        <v>83</v>
      </c>
      <c r="J10">
        <f>J9*J11</f>
        <v>5.0238929038180216E-4</v>
      </c>
      <c r="M10">
        <v>40</v>
      </c>
      <c r="N10">
        <f t="shared" si="0"/>
        <v>1.2945684393270582E-2</v>
      </c>
      <c r="O10">
        <f t="shared" si="1"/>
        <v>84.296006404842984</v>
      </c>
      <c r="P10">
        <f t="shared" si="2"/>
        <v>8.0563142638489149E-4</v>
      </c>
      <c r="Q10">
        <f t="shared" si="3"/>
        <v>31.821327502306296</v>
      </c>
      <c r="R10">
        <f t="shared" si="4"/>
        <v>2.6865737453572307E-4</v>
      </c>
      <c r="S10">
        <f t="shared" si="5"/>
        <v>-28.807549962970562</v>
      </c>
      <c r="T10">
        <f t="shared" si="6"/>
        <v>0.72759682385350855</v>
      </c>
      <c r="U10">
        <f t="shared" si="7"/>
        <v>110.98887401908513</v>
      </c>
      <c r="V10">
        <f t="shared" si="8"/>
        <v>0.72759682385350855</v>
      </c>
      <c r="W10">
        <f t="shared" si="9"/>
        <v>66.249350224541786</v>
      </c>
      <c r="X10">
        <f t="shared" si="10"/>
        <v>0.32085561497326204</v>
      </c>
      <c r="Y10">
        <f t="shared" si="11"/>
        <v>95.447184126286743</v>
      </c>
      <c r="Z10">
        <f t="shared" si="12"/>
        <v>5.3475935828877004E-2</v>
      </c>
      <c r="AA10">
        <f t="shared" si="13"/>
        <v>54.843232538070275</v>
      </c>
      <c r="AB10">
        <f t="shared" si="14"/>
        <v>111.11763445380275</v>
      </c>
      <c r="AC10">
        <f t="shared" si="15"/>
        <v>-34.539248027007993</v>
      </c>
      <c r="AD10">
        <f t="shared" si="16"/>
        <v>76.578386426794765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0.84123872746452233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0"/>
        <v>1.6182105491588227E-2</v>
      </c>
      <c r="O11">
        <f t="shared" si="1"/>
        <v>87.593634389420032</v>
      </c>
      <c r="P11">
        <f t="shared" si="2"/>
        <v>1.0070392829811142E-3</v>
      </c>
      <c r="Q11">
        <f t="shared" si="3"/>
        <v>35.687757677802587</v>
      </c>
      <c r="R11">
        <f t="shared" si="4"/>
        <v>3.3582171816965388E-4</v>
      </c>
      <c r="S11">
        <f t="shared" si="5"/>
        <v>-24.933072140441848</v>
      </c>
      <c r="T11">
        <f t="shared" si="6"/>
        <v>0.90949602981688571</v>
      </c>
      <c r="U11">
        <f t="shared" si="7"/>
        <v>110.45586894754082</v>
      </c>
      <c r="V11">
        <f t="shared" si="8"/>
        <v>0.90949602981688571</v>
      </c>
      <c r="W11">
        <f t="shared" si="9"/>
        <v>67.966734573988575</v>
      </c>
      <c r="X11">
        <f t="shared" si="10"/>
        <v>0.40106951871657753</v>
      </c>
      <c r="Y11">
        <f t="shared" si="11"/>
        <v>97.340588241819219</v>
      </c>
      <c r="Z11">
        <f t="shared" si="12"/>
        <v>6.684491978609626E-2</v>
      </c>
      <c r="AA11">
        <f t="shared" si="13"/>
        <v>54.843232538022249</v>
      </c>
      <c r="AB11">
        <f t="shared" si="14"/>
        <v>110.68443334358088</v>
      </c>
      <c r="AC11">
        <f t="shared" si="15"/>
        <v>-30.274979580572094</v>
      </c>
      <c r="AD11">
        <f t="shared" si="16"/>
        <v>80.409453763008784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0.25891368786541163</v>
      </c>
      <c r="G12" t="s">
        <v>98</v>
      </c>
      <c r="H12">
        <v>13.51</v>
      </c>
      <c r="I12" t="s">
        <v>101</v>
      </c>
      <c r="J12">
        <v>10.33</v>
      </c>
      <c r="M12">
        <v>60</v>
      </c>
      <c r="N12">
        <f t="shared" si="0"/>
        <v>1.9418526589905873E-2</v>
      </c>
      <c r="O12">
        <f t="shared" si="1"/>
        <v>90.14259586374763</v>
      </c>
      <c r="P12">
        <f t="shared" si="2"/>
        <v>1.2084471395773372E-3</v>
      </c>
      <c r="Q12">
        <f t="shared" si="3"/>
        <v>38.843989663914769</v>
      </c>
      <c r="R12">
        <f t="shared" si="4"/>
        <v>4.0298606180358464E-4</v>
      </c>
      <c r="S12">
        <f t="shared" si="5"/>
        <v>-21.767948036268749</v>
      </c>
      <c r="T12">
        <f t="shared" si="6"/>
        <v>1.0913952357802628</v>
      </c>
      <c r="U12">
        <f t="shared" si="7"/>
        <v>110.02037209427888</v>
      </c>
      <c r="V12">
        <f t="shared" si="8"/>
        <v>1.0913952357802628</v>
      </c>
      <c r="W12">
        <f t="shared" si="9"/>
        <v>69.287078844933149</v>
      </c>
      <c r="X12">
        <f t="shared" si="10"/>
        <v>0.48128342245989308</v>
      </c>
      <c r="Y12">
        <f t="shared" si="11"/>
        <v>98.869739742887774</v>
      </c>
      <c r="Z12">
        <f t="shared" si="12"/>
        <v>8.0213903743315509E-2</v>
      </c>
      <c r="AA12">
        <f t="shared" si="13"/>
        <v>54.843232537831845</v>
      </c>
      <c r="AB12">
        <f t="shared" si="14"/>
        <v>110.38305898508378</v>
      </c>
      <c r="AC12">
        <f t="shared" si="15"/>
        <v>-27.048849321682884</v>
      </c>
      <c r="AD12">
        <f t="shared" si="16"/>
        <v>83.334209663400898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5.8110452499763196E-2</v>
      </c>
      <c r="G13" t="s">
        <v>102</v>
      </c>
      <c r="H13">
        <f>(B13*H10)*(1-B7*COS(B14))/(B7*B9)</f>
        <v>1.6112628527697827E-2</v>
      </c>
      <c r="I13" t="s">
        <v>105</v>
      </c>
      <c r="J13">
        <f>(B13*J10)*(1-B7*COS(B14))/(B7*B9)</f>
        <v>5.3731474907144621E-3</v>
      </c>
      <c r="M13">
        <v>70</v>
      </c>
      <c r="N13">
        <f t="shared" si="0"/>
        <v>2.2654947688223522E-2</v>
      </c>
      <c r="O13">
        <f t="shared" si="1"/>
        <v>92.172316366905633</v>
      </c>
      <c r="P13">
        <f t="shared" si="2"/>
        <v>1.40985499617356E-3</v>
      </c>
      <c r="Q13">
        <f t="shared" si="3"/>
        <v>41.509890325563703</v>
      </c>
      <c r="R13">
        <f t="shared" si="4"/>
        <v>4.7015040543751539E-4</v>
      </c>
      <c r="S13">
        <f t="shared" si="5"/>
        <v>-19.092387303191444</v>
      </c>
      <c r="T13">
        <f t="shared" si="6"/>
        <v>1.27329444174364</v>
      </c>
      <c r="U13">
        <f t="shared" si="7"/>
        <v>109.65216475131051</v>
      </c>
      <c r="V13">
        <f t="shared" si="8"/>
        <v>1.27329444174364</v>
      </c>
      <c r="W13">
        <f t="shared" si="9"/>
        <v>70.323742861376303</v>
      </c>
      <c r="X13">
        <f t="shared" si="10"/>
        <v>0.56149732620320858</v>
      </c>
      <c r="Y13">
        <f t="shared" si="11"/>
        <v>100.14468693589816</v>
      </c>
      <c r="Z13">
        <f t="shared" si="12"/>
        <v>9.3582887700534759E-2</v>
      </c>
      <c r="AA13">
        <f t="shared" si="13"/>
        <v>54.84323253722836</v>
      </c>
      <c r="AB13">
        <f t="shared" si="14"/>
        <v>110.18292804700785</v>
      </c>
      <c r="AC13">
        <f t="shared" si="15"/>
        <v>-24.49130199968733</v>
      </c>
      <c r="AD13">
        <f t="shared" si="16"/>
        <v>85.691626047320511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4.06373878856229E-3</v>
      </c>
      <c r="I14" t="s">
        <v>106</v>
      </c>
      <c r="J14">
        <f>0.613*(10*J13)^4*((10*J13)^1.5+0.5)^-4</f>
        <v>7.4088813536489368E-5</v>
      </c>
      <c r="M14">
        <v>80</v>
      </c>
      <c r="N14">
        <f t="shared" si="0"/>
        <v>2.5891368786541163E-2</v>
      </c>
      <c r="O14">
        <f t="shared" si="1"/>
        <v>93.821655936748115</v>
      </c>
      <c r="P14">
        <f t="shared" si="2"/>
        <v>1.611262852769783E-3</v>
      </c>
      <c r="Q14">
        <f t="shared" si="3"/>
        <v>43.81671776312136</v>
      </c>
      <c r="R14">
        <f t="shared" si="4"/>
        <v>5.3731474907144615E-4</v>
      </c>
      <c r="S14">
        <f t="shared" si="5"/>
        <v>-16.775191487701232</v>
      </c>
      <c r="T14">
        <f t="shared" si="6"/>
        <v>1.4551936477070171</v>
      </c>
      <c r="U14">
        <f t="shared" si="7"/>
        <v>109.33320904293323</v>
      </c>
      <c r="V14">
        <f t="shared" si="8"/>
        <v>1.4551936477070171</v>
      </c>
      <c r="W14">
        <f t="shared" si="9"/>
        <v>71.146043372438029</v>
      </c>
      <c r="X14">
        <f t="shared" si="10"/>
        <v>0.64171122994652408</v>
      </c>
      <c r="Y14">
        <f t="shared" si="11"/>
        <v>101.23120982602975</v>
      </c>
      <c r="Z14">
        <f t="shared" si="12"/>
        <v>0.10695187165775401</v>
      </c>
      <c r="AA14">
        <f t="shared" si="13"/>
        <v>54.843232535601565</v>
      </c>
      <c r="AB14">
        <f t="shared" si="14"/>
        <v>110.06333172723359</v>
      </c>
      <c r="AC14">
        <f t="shared" si="15"/>
        <v>-22.397666626519193</v>
      </c>
      <c r="AD14">
        <f t="shared" si="16"/>
        <v>87.665665100714392</v>
      </c>
    </row>
    <row r="15" spans="1:30" x14ac:dyDescent="0.3">
      <c r="A15" t="s">
        <v>12</v>
      </c>
      <c r="B15">
        <v>1</v>
      </c>
      <c r="C15" t="s">
        <v>7</v>
      </c>
      <c r="E15" t="s">
        <v>91</v>
      </c>
      <c r="F15">
        <f>(B12*B9*F11*F14*F13)/(4*PI()*B15^2*(1-B7*COS(B14)))</f>
        <v>3.2401507927683495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0"/>
        <v>2.9127789884858809E-2</v>
      </c>
      <c r="O15">
        <f t="shared" si="1"/>
        <v>95.181429820289623</v>
      </c>
      <c r="P15">
        <f t="shared" si="2"/>
        <v>1.8126707093660058E-3</v>
      </c>
      <c r="Q15">
        <f t="shared" si="3"/>
        <v>45.849148198485466</v>
      </c>
      <c r="R15">
        <f t="shared" si="4"/>
        <v>6.0447909270537701E-4</v>
      </c>
      <c r="S15">
        <f t="shared" si="5"/>
        <v>-14.731732667154544</v>
      </c>
      <c r="T15">
        <f t="shared" si="6"/>
        <v>1.6370928536703939</v>
      </c>
      <c r="U15">
        <f t="shared" si="7"/>
        <v>109.05187016947265</v>
      </c>
      <c r="V15">
        <f t="shared" si="8"/>
        <v>1.6370928536703939</v>
      </c>
      <c r="W15">
        <f t="shared" si="9"/>
        <v>71.800135965097056</v>
      </c>
      <c r="X15">
        <f t="shared" si="10"/>
        <v>0.72192513368983957</v>
      </c>
      <c r="Y15">
        <f t="shared" si="11"/>
        <v>102.17182836120598</v>
      </c>
      <c r="Z15">
        <f t="shared" si="12"/>
        <v>0.12032085561497327</v>
      </c>
      <c r="AA15">
        <f t="shared" si="13"/>
        <v>54.843232531720936</v>
      </c>
      <c r="AB15">
        <f t="shared" si="14"/>
        <v>110.00817646483765</v>
      </c>
      <c r="AC15">
        <f t="shared" si="15"/>
        <v>-20.642894369008943</v>
      </c>
      <c r="AD15">
        <f t="shared" si="16"/>
        <v>89.365282095828704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99.085052308981872</v>
      </c>
      <c r="G16" t="s">
        <v>90</v>
      </c>
      <c r="H16">
        <f>H7*B7^H8*H9*(B12*B9^3*B10^2)</f>
        <v>0.22345264975808027</v>
      </c>
      <c r="I16" t="s">
        <v>90</v>
      </c>
      <c r="J16">
        <f>J7*B7^J8*J9*(B12*B9^3*B10^2)</f>
        <v>0.15559389471237367</v>
      </c>
      <c r="M16">
        <v>100</v>
      </c>
      <c r="N16">
        <f t="shared" si="0"/>
        <v>3.2364210983176454E-2</v>
      </c>
      <c r="O16">
        <f t="shared" si="1"/>
        <v>96.314460879557828</v>
      </c>
      <c r="P16">
        <f t="shared" si="2"/>
        <v>2.0140785659622283E-3</v>
      </c>
      <c r="Q16">
        <f t="shared" si="3"/>
        <v>47.665006841168804</v>
      </c>
      <c r="R16">
        <f t="shared" si="4"/>
        <v>6.7164343633930776E-4</v>
      </c>
      <c r="S16">
        <f t="shared" si="5"/>
        <v>-12.9042258614469</v>
      </c>
      <c r="T16">
        <f t="shared" si="6"/>
        <v>1.8189920596337714</v>
      </c>
      <c r="U16">
        <f t="shared" si="7"/>
        <v>108.80020397138892</v>
      </c>
      <c r="V16">
        <f t="shared" si="8"/>
        <v>1.8189920596337714</v>
      </c>
      <c r="W16">
        <f t="shared" si="9"/>
        <v>72.31876423104265</v>
      </c>
      <c r="X16">
        <f t="shared" si="10"/>
        <v>0.80213903743315507</v>
      </c>
      <c r="Y16">
        <f t="shared" si="11"/>
        <v>102.99566388317528</v>
      </c>
      <c r="Z16">
        <f t="shared" si="12"/>
        <v>0.13368983957219252</v>
      </c>
      <c r="AA16">
        <f t="shared" si="13"/>
        <v>54.843232523307591</v>
      </c>
      <c r="AB16">
        <f t="shared" si="14"/>
        <v>110.00397086781462</v>
      </c>
      <c r="AC16">
        <f t="shared" si="15"/>
        <v>-19.144954291317543</v>
      </c>
      <c r="AD16">
        <f t="shared" si="16"/>
        <v>90.859016576497069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6.0187042121471031E-2</v>
      </c>
      <c r="I17" t="s">
        <v>91</v>
      </c>
      <c r="J17">
        <f>(B12*B9*J16*J15*J14)/(4*PI()*B15^2*(1-B7*COS(B14))^4)</f>
        <v>7.6412754057886012E-8</v>
      </c>
      <c r="M17">
        <v>200</v>
      </c>
      <c r="N17">
        <f t="shared" si="0"/>
        <v>6.4728421966352909E-2</v>
      </c>
      <c r="O17">
        <f t="shared" si="1"/>
        <v>101.40386931455956</v>
      </c>
      <c r="P17">
        <f t="shared" si="2"/>
        <v>4.0281571319244567E-3</v>
      </c>
      <c r="Q17">
        <f t="shared" si="3"/>
        <v>59.526591180800878</v>
      </c>
      <c r="R17">
        <f t="shared" si="4"/>
        <v>1.3432868726786155E-3</v>
      </c>
      <c r="S17">
        <f t="shared" si="5"/>
        <v>-0.89791965525457973</v>
      </c>
      <c r="T17">
        <f t="shared" si="6"/>
        <v>3.6379841192675428</v>
      </c>
      <c r="U17">
        <f t="shared" si="7"/>
        <v>107.14453899523703</v>
      </c>
      <c r="V17">
        <f t="shared" si="8"/>
        <v>3.6379841192675428</v>
      </c>
      <c r="W17">
        <f t="shared" si="9"/>
        <v>73.577780832078957</v>
      </c>
      <c r="X17">
        <f t="shared" si="10"/>
        <v>1.6042780748663101</v>
      </c>
      <c r="Y17">
        <f t="shared" si="11"/>
        <v>107.67725541469319</v>
      </c>
      <c r="Z17">
        <f t="shared" si="12"/>
        <v>0.26737967914438504</v>
      </c>
      <c r="AA17">
        <f t="shared" si="13"/>
        <v>54.843228756354051</v>
      </c>
      <c r="AB17">
        <f t="shared" si="14"/>
        <v>110.94232551068258</v>
      </c>
      <c r="AC17">
        <f t="shared" si="15"/>
        <v>-10.847055415577483</v>
      </c>
      <c r="AD17">
        <f t="shared" si="16"/>
        <v>100.09527009510509</v>
      </c>
    </row>
    <row r="18" spans="1:30" x14ac:dyDescent="0.3">
      <c r="A18" t="s">
        <v>154</v>
      </c>
      <c r="B18">
        <v>120.5</v>
      </c>
      <c r="G18" t="s">
        <v>85</v>
      </c>
      <c r="H18">
        <f>10*LOG10(H17/B17^2)</f>
        <v>81.774430092174924</v>
      </c>
      <c r="I18" t="s">
        <v>85</v>
      </c>
      <c r="J18">
        <f>10*LOG10(J17/B17^2)</f>
        <v>22.811058614188951</v>
      </c>
      <c r="M18">
        <v>300</v>
      </c>
      <c r="N18">
        <f t="shared" si="0"/>
        <v>9.709263294952937E-2</v>
      </c>
      <c r="O18">
        <f t="shared" si="1"/>
        <v>102.26966508885737</v>
      </c>
      <c r="P18">
        <f t="shared" si="2"/>
        <v>6.0422356978866859E-3</v>
      </c>
      <c r="Q18">
        <f t="shared" si="3"/>
        <v>66.340373992979352</v>
      </c>
      <c r="R18">
        <f t="shared" si="4"/>
        <v>2.0149303090179231E-3</v>
      </c>
      <c r="S18">
        <f t="shared" si="5"/>
        <v>6.1006490416270776</v>
      </c>
      <c r="T18">
        <f t="shared" si="6"/>
        <v>5.4569761789013134</v>
      </c>
      <c r="U18">
        <f t="shared" si="7"/>
        <v>106.17603707043079</v>
      </c>
      <c r="V18">
        <f t="shared" si="8"/>
        <v>5.4569761789013134</v>
      </c>
      <c r="W18">
        <f t="shared" si="9"/>
        <v>72.248661817706278</v>
      </c>
      <c r="X18">
        <f t="shared" si="10"/>
        <v>2.4064171122994655</v>
      </c>
      <c r="Y18">
        <f t="shared" si="11"/>
        <v>109.3087739800028</v>
      </c>
      <c r="Z18">
        <f t="shared" si="12"/>
        <v>0.40106951871657753</v>
      </c>
      <c r="AA18">
        <f t="shared" si="13"/>
        <v>54.843135617620256</v>
      </c>
      <c r="AB18">
        <f t="shared" si="14"/>
        <v>111.57242475180928</v>
      </c>
      <c r="AC18">
        <f t="shared" si="15"/>
        <v>-7.0544626466411682</v>
      </c>
      <c r="AD18">
        <f t="shared" si="16"/>
        <v>104.51796210516811</v>
      </c>
    </row>
    <row r="19" spans="1:30" x14ac:dyDescent="0.3">
      <c r="M19">
        <v>400</v>
      </c>
      <c r="N19">
        <f t="shared" si="0"/>
        <v>0.12945684393270582</v>
      </c>
      <c r="O19">
        <f t="shared" si="1"/>
        <v>101.99748631629448</v>
      </c>
      <c r="P19">
        <f t="shared" si="2"/>
        <v>8.0563142638489134E-3</v>
      </c>
      <c r="Q19">
        <f t="shared" si="3"/>
        <v>71.06959167654162</v>
      </c>
      <c r="R19">
        <f t="shared" si="4"/>
        <v>2.6865737453572311E-3</v>
      </c>
      <c r="S19">
        <f t="shared" si="5"/>
        <v>11.044963900980971</v>
      </c>
      <c r="T19">
        <f t="shared" si="6"/>
        <v>7.2759682385350857</v>
      </c>
      <c r="U19">
        <f t="shared" si="7"/>
        <v>105.48887401908515</v>
      </c>
      <c r="V19">
        <f t="shared" si="8"/>
        <v>7.2759682385350857</v>
      </c>
      <c r="W19">
        <f t="shared" si="9"/>
        <v>70.478716156502543</v>
      </c>
      <c r="X19">
        <f t="shared" si="10"/>
        <v>3.2085561497326203</v>
      </c>
      <c r="Y19">
        <f t="shared" si="11"/>
        <v>109.65648847953597</v>
      </c>
      <c r="Z19">
        <f t="shared" si="12"/>
        <v>0.53475935828877008</v>
      </c>
      <c r="AA19">
        <f t="shared" si="13"/>
        <v>54.842264523713773</v>
      </c>
      <c r="AB19">
        <f t="shared" si="14"/>
        <v>111.5730460828707</v>
      </c>
      <c r="AC19">
        <f t="shared" si="15"/>
        <v>-4.7738910332852953</v>
      </c>
      <c r="AD19">
        <f t="shared" si="16"/>
        <v>106.79915504958541</v>
      </c>
    </row>
    <row r="20" spans="1:30" x14ac:dyDescent="0.3">
      <c r="M20">
        <v>500</v>
      </c>
      <c r="N20">
        <f t="shared" si="0"/>
        <v>0.16182105491588228</v>
      </c>
      <c r="O20">
        <f t="shared" si="1"/>
        <v>101.3590449821438</v>
      </c>
      <c r="P20">
        <f t="shared" si="2"/>
        <v>1.0070392829811143E-2</v>
      </c>
      <c r="Q20">
        <f t="shared" si="3"/>
        <v>74.646563661820352</v>
      </c>
      <c r="R20">
        <f t="shared" si="4"/>
        <v>3.3582171816965386E-3</v>
      </c>
      <c r="S20">
        <f t="shared" si="5"/>
        <v>14.861178437149645</v>
      </c>
      <c r="T20">
        <f t="shared" si="6"/>
        <v>9.0949602981688553</v>
      </c>
      <c r="U20">
        <f t="shared" si="7"/>
        <v>104.95586894754082</v>
      </c>
      <c r="V20">
        <f t="shared" si="8"/>
        <v>9.0949602981688553</v>
      </c>
      <c r="W20">
        <f t="shared" si="9"/>
        <v>68.752137904453761</v>
      </c>
      <c r="X20">
        <f t="shared" si="10"/>
        <v>4.0106951871657754</v>
      </c>
      <c r="Y20">
        <f t="shared" si="11"/>
        <v>109.38266741989666</v>
      </c>
      <c r="Z20">
        <f t="shared" si="12"/>
        <v>0.66844919786096257</v>
      </c>
      <c r="AA20">
        <f t="shared" si="13"/>
        <v>54.837465909964756</v>
      </c>
      <c r="AB20">
        <f t="shared" si="14"/>
        <v>111.1979597633503</v>
      </c>
      <c r="AC20">
        <f t="shared" si="15"/>
        <v>-3.2478075093781307</v>
      </c>
      <c r="AD20">
        <f t="shared" si="16"/>
        <v>107.95015225397216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0"/>
        <v>0.19418526589905874</v>
      </c>
      <c r="O21">
        <f t="shared" si="1"/>
        <v>100.6073388771877</v>
      </c>
      <c r="P21">
        <f t="shared" si="2"/>
        <v>1.2084471395773372E-2</v>
      </c>
      <c r="Q21">
        <f t="shared" si="3"/>
        <v>77.488626051201578</v>
      </c>
      <c r="R21">
        <f t="shared" si="4"/>
        <v>4.0298606180358462E-3</v>
      </c>
      <c r="S21">
        <f t="shared" si="5"/>
        <v>17.962120663784276</v>
      </c>
      <c r="T21">
        <f t="shared" si="6"/>
        <v>10.913952357802627</v>
      </c>
      <c r="U21">
        <f t="shared" si="7"/>
        <v>104.52037209427888</v>
      </c>
      <c r="V21">
        <f t="shared" si="8"/>
        <v>10.913952357802627</v>
      </c>
      <c r="W21">
        <f t="shared" si="9"/>
        <v>67.172649218497142</v>
      </c>
      <c r="X21">
        <f t="shared" si="10"/>
        <v>4.8128342245989311</v>
      </c>
      <c r="Y21">
        <f t="shared" si="11"/>
        <v>108.80462837643145</v>
      </c>
      <c r="Z21">
        <f t="shared" si="12"/>
        <v>0.80213903743315507</v>
      </c>
      <c r="AA21">
        <f t="shared" si="13"/>
        <v>54.8184912318819</v>
      </c>
      <c r="AB21">
        <f t="shared" si="14"/>
        <v>110.6377437358891</v>
      </c>
      <c r="AC21">
        <f t="shared" si="15"/>
        <v>-2.1700037836745878</v>
      </c>
      <c r="AD21">
        <f t="shared" si="16"/>
        <v>108.46773995221452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0"/>
        <v>0.2265494768822352</v>
      </c>
      <c r="O22">
        <f t="shared" si="1"/>
        <v>99.836908027778151</v>
      </c>
      <c r="P22">
        <f t="shared" si="2"/>
        <v>1.4098549961735599E-2</v>
      </c>
      <c r="Q22">
        <f t="shared" si="3"/>
        <v>79.819719842252937</v>
      </c>
      <c r="R22">
        <f t="shared" si="4"/>
        <v>4.7015040543751541E-3</v>
      </c>
      <c r="S22">
        <f t="shared" si="5"/>
        <v>20.568187215244521</v>
      </c>
      <c r="T22">
        <f t="shared" si="6"/>
        <v>12.732944417436398</v>
      </c>
      <c r="U22">
        <f t="shared" si="7"/>
        <v>104.15216475131052</v>
      </c>
      <c r="V22">
        <f t="shared" si="8"/>
        <v>12.732944417436398</v>
      </c>
      <c r="W22">
        <f t="shared" si="9"/>
        <v>65.748353209664273</v>
      </c>
      <c r="X22">
        <f t="shared" si="10"/>
        <v>5.6149732620320858</v>
      </c>
      <c r="Y22">
        <f t="shared" si="11"/>
        <v>108.08468375468551</v>
      </c>
      <c r="Z22">
        <f t="shared" si="12"/>
        <v>0.93582887700534767</v>
      </c>
      <c r="AA22">
        <f t="shared" si="13"/>
        <v>54.75889692827878</v>
      </c>
      <c r="AB22">
        <f t="shared" si="14"/>
        <v>110.00365094765434</v>
      </c>
      <c r="AC22">
        <f t="shared" si="15"/>
        <v>-1.3830326182040067</v>
      </c>
      <c r="AD22">
        <f t="shared" si="16"/>
        <v>108.62061832945032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0"/>
        <v>0.25891368786541163</v>
      </c>
      <c r="O23">
        <f t="shared" si="1"/>
        <v>99.085052308981872</v>
      </c>
      <c r="P23">
        <f t="shared" si="2"/>
        <v>1.6112628527697827E-2</v>
      </c>
      <c r="Q23">
        <f t="shared" si="3"/>
        <v>81.774430092174924</v>
      </c>
      <c r="R23">
        <f t="shared" si="4"/>
        <v>5.3731474907144621E-3</v>
      </c>
      <c r="S23">
        <f t="shared" si="5"/>
        <v>22.811058614188951</v>
      </c>
      <c r="T23">
        <f t="shared" si="6"/>
        <v>14.551936477070171</v>
      </c>
      <c r="U23">
        <f t="shared" si="7"/>
        <v>103.83320904293325</v>
      </c>
      <c r="V23">
        <f t="shared" si="8"/>
        <v>14.551936477070171</v>
      </c>
      <c r="W23">
        <f t="shared" si="9"/>
        <v>64.463881354824196</v>
      </c>
      <c r="X23">
        <f t="shared" si="10"/>
        <v>6.4171122994652405</v>
      </c>
      <c r="Y23">
        <f t="shared" si="11"/>
        <v>107.30774804491374</v>
      </c>
      <c r="Z23">
        <f t="shared" si="12"/>
        <v>1.0695187165775402</v>
      </c>
      <c r="AA23">
        <f t="shared" si="13"/>
        <v>54.602206947245293</v>
      </c>
      <c r="AB23">
        <f t="shared" si="14"/>
        <v>109.35635549470832</v>
      </c>
      <c r="AC23">
        <f t="shared" si="15"/>
        <v>-0.79460657411842606</v>
      </c>
      <c r="AD23">
        <f t="shared" si="16"/>
        <v>108.56174892058989</v>
      </c>
    </row>
    <row r="24" spans="1:30" x14ac:dyDescent="0.3">
      <c r="E24" t="s">
        <v>89</v>
      </c>
      <c r="F24">
        <f>(F27/B10^2)*SIN(F26)^2</f>
        <v>3.0029055401845015E-3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0"/>
        <v>0.29127789884858812</v>
      </c>
      <c r="O24">
        <f t="shared" si="1"/>
        <v>98.366109859656845</v>
      </c>
      <c r="P24">
        <f t="shared" si="2"/>
        <v>1.8126707093660058E-2</v>
      </c>
      <c r="Q24">
        <f t="shared" si="3"/>
        <v>83.440223920975214</v>
      </c>
      <c r="R24">
        <f t="shared" si="4"/>
        <v>6.0447909270537701E-3</v>
      </c>
      <c r="S24">
        <f t="shared" si="5"/>
        <v>24.77576091367926</v>
      </c>
      <c r="T24">
        <f t="shared" si="6"/>
        <v>16.370928536703939</v>
      </c>
      <c r="U24">
        <f t="shared" si="7"/>
        <v>103.55187016947264</v>
      </c>
      <c r="V24">
        <f t="shared" si="8"/>
        <v>16.370928536703939</v>
      </c>
      <c r="W24">
        <f t="shared" si="9"/>
        <v>63.300054005011461</v>
      </c>
      <c r="X24">
        <f t="shared" si="10"/>
        <v>7.2192513368983962</v>
      </c>
      <c r="Y24">
        <f t="shared" si="11"/>
        <v>106.51856599065621</v>
      </c>
      <c r="Z24">
        <f t="shared" si="12"/>
        <v>1.2032085561497328</v>
      </c>
      <c r="AA24">
        <f t="shared" si="13"/>
        <v>54.249787800702897</v>
      </c>
      <c r="AB24">
        <f t="shared" si="14"/>
        <v>108.72760195046304</v>
      </c>
      <c r="AC24">
        <f t="shared" si="15"/>
        <v>-0.34641558835306263</v>
      </c>
      <c r="AD24">
        <f t="shared" si="16"/>
        <v>108.38118636210997</v>
      </c>
    </row>
    <row r="25" spans="1:30" x14ac:dyDescent="0.3">
      <c r="E25" t="s">
        <v>83</v>
      </c>
      <c r="F25">
        <f>F27/F28</f>
        <v>1.3606060606060608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0"/>
        <v>0.32364210983176456</v>
      </c>
      <c r="O25">
        <f t="shared" si="1"/>
        <v>97.684602536556255</v>
      </c>
      <c r="P25">
        <f t="shared" si="2"/>
        <v>2.0140785659622285E-2</v>
      </c>
      <c r="Q25">
        <f t="shared" si="3"/>
        <v>84.877308954107974</v>
      </c>
      <c r="R25">
        <f t="shared" si="4"/>
        <v>6.7164343633930772E-3</v>
      </c>
      <c r="S25">
        <f t="shared" si="5"/>
        <v>26.520417174783319</v>
      </c>
      <c r="T25">
        <f t="shared" si="6"/>
        <v>18.189920596337711</v>
      </c>
      <c r="U25">
        <f t="shared" si="7"/>
        <v>103.30020397138894</v>
      </c>
      <c r="V25">
        <f t="shared" si="8"/>
        <v>18.189920596337711</v>
      </c>
      <c r="W25">
        <f t="shared" si="9"/>
        <v>62.239203407616621</v>
      </c>
      <c r="X25">
        <f t="shared" si="10"/>
        <v>8.0213903743315509</v>
      </c>
      <c r="Y25">
        <f t="shared" si="11"/>
        <v>105.74054848723711</v>
      </c>
      <c r="Z25">
        <f t="shared" si="12"/>
        <v>1.3368983957219251</v>
      </c>
      <c r="AA25">
        <f t="shared" si="13"/>
        <v>53.57170988554833</v>
      </c>
      <c r="AB25">
        <f t="shared" si="14"/>
        <v>108.13311253514914</v>
      </c>
      <c r="AC25">
        <f t="shared" si="15"/>
        <v>1.415276948792954E-4</v>
      </c>
      <c r="AD25">
        <f t="shared" si="16"/>
        <v>108.13325406284402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2.2129594841542265E-4</v>
      </c>
      <c r="I26" t="s">
        <v>89</v>
      </c>
      <c r="J26">
        <f>J25*(J24/B10)^2</f>
        <v>1.4631137085317199E-3</v>
      </c>
      <c r="M26">
        <v>2000</v>
      </c>
      <c r="N26">
        <f t="shared" si="0"/>
        <v>0.64728421966352911</v>
      </c>
      <c r="O26">
        <f t="shared" si="1"/>
        <v>92.575624176493932</v>
      </c>
      <c r="P26">
        <f t="shared" si="2"/>
        <v>4.028157131924457E-2</v>
      </c>
      <c r="Q26">
        <f t="shared" si="3"/>
        <v>92.631018799215155</v>
      </c>
      <c r="R26">
        <f t="shared" si="4"/>
        <v>1.3432868726786154E-2</v>
      </c>
      <c r="S26">
        <f t="shared" si="5"/>
        <v>37.52463412144202</v>
      </c>
      <c r="T26">
        <f t="shared" si="6"/>
        <v>36.379841192675421</v>
      </c>
      <c r="U26">
        <f t="shared" si="7"/>
        <v>101.64453899523704</v>
      </c>
      <c r="V26">
        <f t="shared" si="8"/>
        <v>36.379841192675421</v>
      </c>
      <c r="W26">
        <f t="shared" si="9"/>
        <v>54.983954571171417</v>
      </c>
      <c r="X26">
        <f t="shared" si="10"/>
        <v>16.042780748663102</v>
      </c>
      <c r="Y26">
        <f t="shared" si="11"/>
        <v>99.486199530590397</v>
      </c>
      <c r="Z26">
        <f t="shared" si="12"/>
        <v>2.6737967914438503</v>
      </c>
      <c r="AA26">
        <f t="shared" si="13"/>
        <v>35.394582987013685</v>
      </c>
      <c r="AB26">
        <f t="shared" si="14"/>
        <v>104.33453235048857</v>
      </c>
      <c r="AC26">
        <f t="shared" si="15"/>
        <v>1.201674176077685</v>
      </c>
      <c r="AD26">
        <f t="shared" si="16"/>
        <v>105.53620652656626</v>
      </c>
    </row>
    <row r="27" spans="1:30" x14ac:dyDescent="0.3">
      <c r="E27" t="s">
        <v>110</v>
      </c>
      <c r="F27">
        <v>8.98</v>
      </c>
      <c r="G27" t="s">
        <v>83</v>
      </c>
      <c r="H27">
        <f>H24</f>
        <v>0.33</v>
      </c>
      <c r="I27" t="s">
        <v>83</v>
      </c>
      <c r="J27">
        <f>J24</f>
        <v>0.6</v>
      </c>
      <c r="M27">
        <v>3000</v>
      </c>
      <c r="N27">
        <f t="shared" si="0"/>
        <v>0.97092632949529367</v>
      </c>
      <c r="O27">
        <f t="shared" si="1"/>
        <v>89.288634413470547</v>
      </c>
      <c r="P27">
        <f t="shared" si="2"/>
        <v>6.0422356978866859E-2</v>
      </c>
      <c r="Q27">
        <f t="shared" si="3"/>
        <v>95.342653950531556</v>
      </c>
      <c r="R27">
        <f t="shared" si="4"/>
        <v>2.0149303090179229E-2</v>
      </c>
      <c r="S27">
        <f t="shared" si="5"/>
        <v>43.311326589151093</v>
      </c>
      <c r="T27">
        <f t="shared" si="6"/>
        <v>54.569761789013135</v>
      </c>
      <c r="U27">
        <f t="shared" si="7"/>
        <v>100.67603707043078</v>
      </c>
      <c r="V27">
        <f t="shared" si="8"/>
        <v>54.569761789013135</v>
      </c>
      <c r="W27">
        <f t="shared" si="9"/>
        <v>50.632598135047537</v>
      </c>
      <c r="X27">
        <f t="shared" si="10"/>
        <v>24.064171122994654</v>
      </c>
      <c r="Y27">
        <f t="shared" si="11"/>
        <v>95.338657973724395</v>
      </c>
      <c r="Z27">
        <f t="shared" si="12"/>
        <v>4.0106951871657754</v>
      </c>
      <c r="AA27">
        <f t="shared" si="13"/>
        <v>21.354926948192304</v>
      </c>
      <c r="AB27">
        <f t="shared" si="14"/>
        <v>102.87219308417073</v>
      </c>
      <c r="AC27">
        <f t="shared" si="15"/>
        <v>1.2284560262974789</v>
      </c>
      <c r="AD27">
        <f t="shared" si="16"/>
        <v>104.10064911046821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3.5294117647058827</v>
      </c>
      <c r="I28" t="s">
        <v>81</v>
      </c>
      <c r="J28">
        <f>(B13*J27)*(1-B7*COS(B14))/(B7*B9)</f>
        <v>6.4171122994652405</v>
      </c>
      <c r="M28">
        <v>4000</v>
      </c>
      <c r="N28">
        <f t="shared" si="0"/>
        <v>1.2945684393270582</v>
      </c>
      <c r="O28">
        <f t="shared" si="1"/>
        <v>86.889130300898046</v>
      </c>
      <c r="P28">
        <f t="shared" si="2"/>
        <v>8.0563142638489141E-2</v>
      </c>
      <c r="Q28">
        <f t="shared" si="3"/>
        <v>96.306606814310044</v>
      </c>
      <c r="R28">
        <f t="shared" si="4"/>
        <v>2.6865737453572309E-2</v>
      </c>
      <c r="S28">
        <f t="shared" si="5"/>
        <v>46.929232476511416</v>
      </c>
      <c r="T28">
        <f t="shared" si="6"/>
        <v>72.759682385350843</v>
      </c>
      <c r="U28">
        <f t="shared" si="7"/>
        <v>99.988874019085131</v>
      </c>
      <c r="V28">
        <f t="shared" si="8"/>
        <v>72.759682385350843</v>
      </c>
      <c r="W28">
        <f t="shared" si="9"/>
        <v>47.527016369675451</v>
      </c>
      <c r="X28">
        <f t="shared" si="10"/>
        <v>32.085561497326204</v>
      </c>
      <c r="Y28">
        <f t="shared" si="11"/>
        <v>92.305940966934443</v>
      </c>
      <c r="Z28">
        <f t="shared" si="12"/>
        <v>5.3475935828877006</v>
      </c>
      <c r="AA28">
        <f t="shared" si="13"/>
        <v>11.361578790377365</v>
      </c>
      <c r="AB28">
        <f t="shared" si="14"/>
        <v>102.15794352559165</v>
      </c>
      <c r="AC28">
        <f t="shared" si="15"/>
        <v>0.96359790524507294</v>
      </c>
      <c r="AD28">
        <f t="shared" si="16"/>
        <v>103.12154143083671</v>
      </c>
    </row>
    <row r="29" spans="1:30" x14ac:dyDescent="0.3">
      <c r="E29" t="s">
        <v>113</v>
      </c>
      <c r="F29">
        <f>(B13*F25)*(1-B7*COS(B14))/(B7*B9)</f>
        <v>14.551936477070171</v>
      </c>
      <c r="G29" t="s">
        <v>125</v>
      </c>
      <c r="H29">
        <f>13.59*H28^2*(H28^2+12.5)^-2.25</f>
        <v>0.1216049215995005</v>
      </c>
      <c r="I29" t="s">
        <v>125</v>
      </c>
      <c r="J29">
        <f>13.59*J28^2*(J28^2+12.5)^-2.25</f>
        <v>7.1751797650781074E-2</v>
      </c>
      <c r="M29">
        <v>5000</v>
      </c>
      <c r="N29">
        <f t="shared" si="0"/>
        <v>1.6182105491588228</v>
      </c>
      <c r="O29">
        <f t="shared" si="1"/>
        <v>85.003491215836959</v>
      </c>
      <c r="P29">
        <f t="shared" si="2"/>
        <v>0.10070392829811144</v>
      </c>
      <c r="Q29">
        <f t="shared" si="3"/>
        <v>96.515913187983358</v>
      </c>
      <c r="R29">
        <f t="shared" si="4"/>
        <v>3.3582171816965385E-2</v>
      </c>
      <c r="S29">
        <f t="shared" si="5"/>
        <v>49.362869107062501</v>
      </c>
      <c r="T29">
        <f t="shared" si="6"/>
        <v>90.949602981688557</v>
      </c>
      <c r="U29">
        <f t="shared" si="7"/>
        <v>99.455868947540836</v>
      </c>
      <c r="V29">
        <f t="shared" si="8"/>
        <v>90.949602981688557</v>
      </c>
      <c r="W29">
        <f t="shared" si="9"/>
        <v>45.112556105497738</v>
      </c>
      <c r="X29">
        <f t="shared" si="10"/>
        <v>40.106951871657756</v>
      </c>
      <c r="Y29">
        <f t="shared" si="11"/>
        <v>89.925482628311443</v>
      </c>
      <c r="Z29">
        <f t="shared" si="12"/>
        <v>6.6844919786096257</v>
      </c>
      <c r="AA29">
        <f t="shared" si="13"/>
        <v>3.6089398819355534</v>
      </c>
      <c r="AB29">
        <f t="shared" si="14"/>
        <v>101.64508255875093</v>
      </c>
      <c r="AC29">
        <f t="shared" si="15"/>
        <v>0.55443415814925312</v>
      </c>
      <c r="AD29">
        <f t="shared" si="16"/>
        <v>102.19951671690018</v>
      </c>
    </row>
    <row r="30" spans="1:30" x14ac:dyDescent="0.3">
      <c r="E30" t="s">
        <v>114</v>
      </c>
      <c r="F30">
        <f>0.1406*F29^-0.55</f>
        <v>3.2238801337634543E-2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0"/>
        <v>1.9418526589905873</v>
      </c>
      <c r="O30">
        <f t="shared" si="1"/>
        <v>83.451578830149273</v>
      </c>
      <c r="P30">
        <f t="shared" si="2"/>
        <v>0.12084471395773372</v>
      </c>
      <c r="Q30">
        <f t="shared" si="3"/>
        <v>96.365668049725116</v>
      </c>
      <c r="R30">
        <f t="shared" si="4"/>
        <v>4.0298606180358458E-2</v>
      </c>
      <c r="S30">
        <f t="shared" si="5"/>
        <v>51.062995425932691</v>
      </c>
      <c r="T30">
        <f t="shared" si="6"/>
        <v>109.13952357802627</v>
      </c>
      <c r="U30">
        <f t="shared" si="7"/>
        <v>99.020372094278883</v>
      </c>
      <c r="V30">
        <f t="shared" si="8"/>
        <v>109.13952357802627</v>
      </c>
      <c r="W30">
        <f t="shared" si="9"/>
        <v>43.137531146962786</v>
      </c>
      <c r="X30">
        <f t="shared" si="10"/>
        <v>48.128342245989309</v>
      </c>
      <c r="Y30">
        <f t="shared" si="11"/>
        <v>87.969001854186473</v>
      </c>
      <c r="Z30">
        <f t="shared" si="12"/>
        <v>8.0213903743315509</v>
      </c>
      <c r="AA30">
        <f t="shared" si="13"/>
        <v>-2.7255347179096798</v>
      </c>
      <c r="AB30">
        <f t="shared" si="14"/>
        <v>101.19236931230226</v>
      </c>
      <c r="AC30">
        <f t="shared" si="15"/>
        <v>5.0112726333026991E-2</v>
      </c>
      <c r="AD30">
        <f t="shared" si="16"/>
        <v>101.24248203863529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1.5208181636076875E-3</v>
      </c>
      <c r="I31" t="s">
        <v>90</v>
      </c>
      <c r="J31">
        <f>J22*B7^J23*J26*(B12*B9^2*B10^2)</f>
        <v>1.0054996123026032E-2</v>
      </c>
      <c r="M31">
        <v>7000</v>
      </c>
      <c r="N31">
        <f t="shared" si="0"/>
        <v>2.2654947688223519</v>
      </c>
      <c r="O31">
        <f t="shared" si="1"/>
        <v>82.133488611413668</v>
      </c>
      <c r="P31">
        <f t="shared" si="2"/>
        <v>0.14098549961735601</v>
      </c>
      <c r="Q31">
        <f t="shared" si="3"/>
        <v>96.036181798384689</v>
      </c>
      <c r="R31">
        <f t="shared" si="4"/>
        <v>4.7015040543751538E-2</v>
      </c>
      <c r="S31">
        <f t="shared" si="5"/>
        <v>52.274909743045555</v>
      </c>
      <c r="T31">
        <f t="shared" si="6"/>
        <v>127.32944417436399</v>
      </c>
      <c r="U31">
        <f t="shared" si="7"/>
        <v>98.652164751310508</v>
      </c>
      <c r="V31">
        <f t="shared" si="8"/>
        <v>127.32944417436399</v>
      </c>
      <c r="W31">
        <f t="shared" si="9"/>
        <v>41.466579502835614</v>
      </c>
      <c r="X31">
        <f t="shared" si="10"/>
        <v>56.149732620320854</v>
      </c>
      <c r="Y31">
        <f t="shared" si="11"/>
        <v>86.309257086630723</v>
      </c>
      <c r="Z31">
        <f t="shared" si="12"/>
        <v>9.3582887700534769</v>
      </c>
      <c r="AA31">
        <f t="shared" si="13"/>
        <v>-8.0812725015040137</v>
      </c>
      <c r="AB31">
        <f t="shared" si="14"/>
        <v>100.76909211340167</v>
      </c>
      <c r="AC31">
        <f t="shared" si="15"/>
        <v>-0.5231027020581247</v>
      </c>
      <c r="AD31">
        <f t="shared" si="16"/>
        <v>100.24598941134354</v>
      </c>
    </row>
    <row r="32" spans="1:30" x14ac:dyDescent="0.3">
      <c r="E32" t="s">
        <v>90</v>
      </c>
      <c r="F32">
        <f>F22*B7^F23*F24*(B12*B9^3*B10^2)</f>
        <v>4.496472869437433</v>
      </c>
      <c r="G32" t="s">
        <v>91</v>
      </c>
      <c r="H32">
        <f>(B12*B9*H31*H30*H29)/(4*PI()*B15^2*(1-B7*COS(B14))^4)</f>
        <v>9.1944306970357988E-3</v>
      </c>
      <c r="I32" t="s">
        <v>91</v>
      </c>
      <c r="J32">
        <f>(B12*B9*J31*J30*J29)/(4*PI()*B15^2*(1-B7*COS(B14))^4)</f>
        <v>3.5868324858442491E-2</v>
      </c>
      <c r="M32">
        <v>8000</v>
      </c>
      <c r="N32">
        <f t="shared" si="0"/>
        <v>2.5891368786541165</v>
      </c>
      <c r="O32">
        <f t="shared" si="1"/>
        <v>80.988209256630569</v>
      </c>
      <c r="P32">
        <f t="shared" si="2"/>
        <v>0.16112628527697828</v>
      </c>
      <c r="Q32">
        <f t="shared" si="3"/>
        <v>95.617112380767765</v>
      </c>
      <c r="R32">
        <f t="shared" si="4"/>
        <v>5.3731474907144618E-2</v>
      </c>
      <c r="S32">
        <f t="shared" si="5"/>
        <v>53.1464849913663</v>
      </c>
      <c r="T32">
        <f t="shared" si="6"/>
        <v>145.51936477070169</v>
      </c>
      <c r="U32">
        <f t="shared" si="7"/>
        <v>98.333209042933234</v>
      </c>
      <c r="V32">
        <f t="shared" si="8"/>
        <v>145.51936477070169</v>
      </c>
      <c r="W32">
        <f t="shared" si="9"/>
        <v>40.018545382347774</v>
      </c>
      <c r="X32">
        <f t="shared" si="10"/>
        <v>64.171122994652407</v>
      </c>
      <c r="Y32">
        <f t="shared" si="11"/>
        <v>84.868506886215499</v>
      </c>
      <c r="Z32">
        <f t="shared" si="12"/>
        <v>10.695187165775401</v>
      </c>
      <c r="AA32">
        <f t="shared" si="13"/>
        <v>-12.720626805946102</v>
      </c>
      <c r="AB32">
        <f t="shared" si="14"/>
        <v>100.37044034056217</v>
      </c>
      <c r="AC32">
        <f t="shared" si="15"/>
        <v>-1.1468793432843185</v>
      </c>
      <c r="AD32">
        <f t="shared" si="16"/>
        <v>99.223560997277843</v>
      </c>
    </row>
    <row r="33" spans="5:30" x14ac:dyDescent="0.3">
      <c r="E33" t="s">
        <v>91</v>
      </c>
      <c r="F33">
        <f>(B12*B9*F32*F31*F30)/(4*PI()*B15^2*(1-B7*COS(B14))^2)</f>
        <v>9.6689852033209895</v>
      </c>
      <c r="G33" t="s">
        <v>85</v>
      </c>
      <c r="H33">
        <f>10*LOG10(H32/B17^2)</f>
        <v>73.614648523287642</v>
      </c>
      <c r="I33" t="s">
        <v>85</v>
      </c>
      <c r="J33">
        <f>10*LOG10(J32/B17^2)</f>
        <v>79.526511031700636</v>
      </c>
      <c r="M33">
        <v>9000</v>
      </c>
      <c r="N33">
        <f t="shared" si="0"/>
        <v>2.912778988485881</v>
      </c>
      <c r="O33">
        <f t="shared" si="1"/>
        <v>79.975798864758104</v>
      </c>
      <c r="P33">
        <f t="shared" si="2"/>
        <v>0.18126707093660058</v>
      </c>
      <c r="Q33">
        <f t="shared" si="3"/>
        <v>95.155700814249741</v>
      </c>
      <c r="R33">
        <f t="shared" si="4"/>
        <v>6.0447909270537691E-2</v>
      </c>
      <c r="S33">
        <f t="shared" si="5"/>
        <v>53.773021543401526</v>
      </c>
      <c r="T33">
        <f t="shared" si="6"/>
        <v>163.70928536703943</v>
      </c>
      <c r="U33">
        <f t="shared" si="7"/>
        <v>98.051870169472636</v>
      </c>
      <c r="V33">
        <f t="shared" si="8"/>
        <v>163.70928536703943</v>
      </c>
      <c r="W33">
        <f t="shared" si="9"/>
        <v>38.740942277689037</v>
      </c>
      <c r="X33">
        <f t="shared" si="10"/>
        <v>72.192513368983967</v>
      </c>
      <c r="Y33">
        <f t="shared" si="11"/>
        <v>83.595902274039901</v>
      </c>
      <c r="Z33">
        <f t="shared" si="12"/>
        <v>12.032085561497327</v>
      </c>
      <c r="AA33">
        <f t="shared" si="13"/>
        <v>-16.812828137317357</v>
      </c>
      <c r="AB33">
        <f t="shared" si="14"/>
        <v>99.996372777350103</v>
      </c>
      <c r="AC33">
        <f t="shared" si="15"/>
        <v>-1.8068953612431837</v>
      </c>
      <c r="AD33">
        <f t="shared" si="16"/>
        <v>98.189477416106925</v>
      </c>
    </row>
    <row r="34" spans="5:30" x14ac:dyDescent="0.3">
      <c r="E34" t="s">
        <v>85</v>
      </c>
      <c r="F34">
        <f>10*LOG10(F33/B17^2)</f>
        <v>103.83320904293325</v>
      </c>
      <c r="M34">
        <v>10000</v>
      </c>
      <c r="N34">
        <f t="shared" si="0"/>
        <v>3.2364210983176456</v>
      </c>
      <c r="O34">
        <f t="shared" si="1"/>
        <v>79.068702419844485</v>
      </c>
      <c r="P34">
        <f t="shared" si="2"/>
        <v>0.20140785659622287</v>
      </c>
      <c r="Q34">
        <f>10*LOG10((($B$12*$B$9*$H$16*$H$15*(0.613*(10*P34)^4*((10*P34)^1.5+0.5)^-4))/(4*PI()*$B$15^2*(1-$B$7*COS($B$14))^4))/$B$17^2)</f>
        <v>94.677822144068585</v>
      </c>
      <c r="R34">
        <f t="shared" si="4"/>
        <v>6.716434363393077E-2</v>
      </c>
      <c r="S34">
        <f t="shared" si="5"/>
        <v>54.21887614299191</v>
      </c>
      <c r="T34">
        <f t="shared" si="6"/>
        <v>181.89920596337711</v>
      </c>
      <c r="U34">
        <f t="shared" si="7"/>
        <v>97.800203971388925</v>
      </c>
      <c r="V34">
        <f t="shared" si="8"/>
        <v>181.89920596337711</v>
      </c>
      <c r="W34">
        <f t="shared" si="9"/>
        <v>37.597870580377567</v>
      </c>
      <c r="X34">
        <f t="shared" si="10"/>
        <v>80.213903743315512</v>
      </c>
      <c r="Y34">
        <f t="shared" si="11"/>
        <v>82.456408298198639</v>
      </c>
      <c r="Z34">
        <f t="shared" si="12"/>
        <v>13.368983957219251</v>
      </c>
      <c r="AA34">
        <f t="shared" si="13"/>
        <v>-20.473427213245174</v>
      </c>
      <c r="AB34">
        <f t="shared" si="14"/>
        <v>99.646874424726406</v>
      </c>
      <c r="AC34">
        <f t="shared" si="15"/>
        <v>-2.4915694246069107</v>
      </c>
      <c r="AD34">
        <f t="shared" si="16"/>
        <v>97.155305000119498</v>
      </c>
    </row>
    <row r="35" spans="5:30" x14ac:dyDescent="0.3">
      <c r="M35">
        <v>20000</v>
      </c>
      <c r="N35">
        <f t="shared" si="0"/>
        <v>6.4728421966352911</v>
      </c>
      <c r="O35">
        <f t="shared" si="1"/>
        <v>73.07854302850177</v>
      </c>
      <c r="P35">
        <f t="shared" si="2"/>
        <v>0.40281571319244575</v>
      </c>
      <c r="Q35">
        <f>10*LOG10((($B$12*$B$9*$H$16*$H$15*(0.613*(10*P35)^4*((10*P35)^1.5+0.5)^-4))/(4*PI()*$B$15^2*(1-$B$7*COS($B$14))^4))/$B$17^2)</f>
        <v>90.415190346439189</v>
      </c>
      <c r="R35">
        <f t="shared" si="4"/>
        <v>0.13432868726786154</v>
      </c>
      <c r="S35">
        <f t="shared" si="5"/>
        <v>54.58658962989341</v>
      </c>
      <c r="T35">
        <f t="shared" si="6"/>
        <v>363.79841192675423</v>
      </c>
      <c r="U35">
        <f t="shared" si="7"/>
        <v>96.144538995237028</v>
      </c>
      <c r="V35">
        <f t="shared" si="8"/>
        <v>363.79841192675423</v>
      </c>
      <c r="W35">
        <f t="shared" si="9"/>
        <v>30.074888739027124</v>
      </c>
      <c r="X35">
        <f t="shared" si="10"/>
        <v>160.42780748663102</v>
      </c>
      <c r="Y35">
        <f t="shared" si="11"/>
        <v>74.944878808683953</v>
      </c>
      <c r="Z35">
        <f t="shared" si="12"/>
        <v>26.737967914438503</v>
      </c>
      <c r="AA35">
        <f t="shared" si="13"/>
        <v>-44.55582673918375</v>
      </c>
      <c r="AB35">
        <f t="shared" si="14"/>
        <v>97.216413033035792</v>
      </c>
      <c r="AC35">
        <f t="shared" si="15"/>
        <v>-9.3467937594815851</v>
      </c>
      <c r="AD35">
        <f t="shared" si="16"/>
        <v>87.869619273554207</v>
      </c>
    </row>
    <row r="36" spans="5:30" x14ac:dyDescent="0.3">
      <c r="E36" t="s">
        <v>116</v>
      </c>
      <c r="M36">
        <v>30000</v>
      </c>
      <c r="N36">
        <f t="shared" si="0"/>
        <v>9.7092632949529367</v>
      </c>
      <c r="O36">
        <f t="shared" si="1"/>
        <v>69.564312350448162</v>
      </c>
      <c r="P36">
        <f t="shared" si="2"/>
        <v>0.60422356978866865</v>
      </c>
      <c r="Q36">
        <f>10*LOG10((($B$12*$B$9*$H$16*$H$15*(0.613*(10*P36)^4*((10*P36)^1.5+0.5)^-4))/(4*PI()*$B$15^2*(1-$B$7*COS($B$14))^4))/$B$17^2)</f>
        <v>87.36063794984932</v>
      </c>
      <c r="R36">
        <f t="shared" si="4"/>
        <v>0.2014930309017923</v>
      </c>
      <c r="S36">
        <f t="shared" si="5"/>
        <v>53.104149516913033</v>
      </c>
      <c r="T36">
        <f t="shared" si="6"/>
        <v>545.69761789013137</v>
      </c>
      <c r="U36">
        <f t="shared" si="7"/>
        <v>95.17603707043078</v>
      </c>
      <c r="V36">
        <f t="shared" si="8"/>
        <v>545.69761789013137</v>
      </c>
      <c r="W36">
        <f t="shared" si="9"/>
        <v>25.673119950592781</v>
      </c>
      <c r="X36">
        <f t="shared" si="10"/>
        <v>240.64171122994654</v>
      </c>
      <c r="Y36">
        <f t="shared" si="11"/>
        <v>70.545233012607781</v>
      </c>
      <c r="Z36">
        <f t="shared" si="12"/>
        <v>40.106951871657756</v>
      </c>
      <c r="AA36">
        <f t="shared" si="13"/>
        <v>-58.643127463158962</v>
      </c>
      <c r="AB36">
        <f t="shared" si="14"/>
        <v>95.863916390870372</v>
      </c>
      <c r="AC36">
        <f t="shared" si="15"/>
        <v>-14.969811759715991</v>
      </c>
      <c r="AD36">
        <f t="shared" si="16"/>
        <v>80.894104631154377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0"/>
        <v>12.945684393270582</v>
      </c>
      <c r="O37">
        <f t="shared" si="1"/>
        <v>67.068718240924468</v>
      </c>
      <c r="P37">
        <f t="shared" si="2"/>
        <v>0.80563142638489149</v>
      </c>
      <c r="Q37">
        <f>10*LOG10((($B$12*$B$9*$H$16*$H$15*(0.613*(10*P37)^4*((10*P37)^1.5+0.5)^-4))/(4*PI()*$B$15^2*(1-$B$7*COS($B$14))^4))/$B$17^2)</f>
        <v>85.061294410727513</v>
      </c>
      <c r="R37">
        <f t="shared" si="4"/>
        <v>0.26865737453572308</v>
      </c>
      <c r="S37">
        <f t="shared" si="5"/>
        <v>51.535835082082315</v>
      </c>
      <c r="T37">
        <f t="shared" si="6"/>
        <v>727.59682385350845</v>
      </c>
      <c r="U37">
        <f t="shared" si="7"/>
        <v>94.488874019085131</v>
      </c>
      <c r="V37">
        <f t="shared" si="8"/>
        <v>727.59682385350845</v>
      </c>
      <c r="W37">
        <f t="shared" si="9"/>
        <v>22.549830982525588</v>
      </c>
      <c r="X37">
        <f t="shared" si="10"/>
        <v>320.85561497326205</v>
      </c>
      <c r="Y37">
        <f t="shared" si="11"/>
        <v>67.422687253490523</v>
      </c>
      <c r="Z37">
        <f t="shared" si="12"/>
        <v>53.475935828877006</v>
      </c>
      <c r="AA37">
        <f t="shared" si="13"/>
        <v>-68.638226391805446</v>
      </c>
      <c r="AB37">
        <f t="shared" si="14"/>
        <v>94.972964309256866</v>
      </c>
      <c r="AC37">
        <f t="shared" si="15"/>
        <v>-19.409938448212671</v>
      </c>
      <c r="AD37">
        <f t="shared" si="16"/>
        <v>75.563025861044196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+10^(O235/10))</f>
        <v>110.78985120844806</v>
      </c>
      <c r="Q38">
        <f t="shared" ref="Q38:AD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+10^(Q235/10))</f>
        <v>105.19727329460164</v>
      </c>
      <c r="S38">
        <f t="shared" si="17"/>
        <v>60.679778080444947</v>
      </c>
      <c r="U38">
        <f t="shared" si="17"/>
        <v>122.13162504558321</v>
      </c>
      <c r="W38">
        <f t="shared" si="17"/>
        <v>81.853627993681229</v>
      </c>
      <c r="Y38">
        <f t="shared" si="17"/>
        <v>118.42589497967323</v>
      </c>
      <c r="AA38">
        <f t="shared" si="17"/>
        <v>67.526637593427935</v>
      </c>
      <c r="AB38">
        <f t="shared" si="17"/>
        <v>123.94946930970504</v>
      </c>
      <c r="AD38">
        <f t="shared" si="17"/>
        <v>118.08636530817806</v>
      </c>
    </row>
    <row r="39" spans="5:30" x14ac:dyDescent="0.3">
      <c r="E39" t="s">
        <v>117</v>
      </c>
      <c r="F39">
        <v>0.1</v>
      </c>
      <c r="M39" t="s">
        <v>153</v>
      </c>
      <c r="O39">
        <f>O38-20*LOG10($B$18-1)</f>
        <v>69.242493102764939</v>
      </c>
      <c r="Q39">
        <f t="shared" ref="Q39:AD39" si="18">Q38-20*LOG10($B$18-1)</f>
        <v>63.64991518891852</v>
      </c>
      <c r="S39">
        <f t="shared" si="18"/>
        <v>19.132419974761824</v>
      </c>
      <c r="U39">
        <f t="shared" si="18"/>
        <v>80.58426693990009</v>
      </c>
      <c r="W39">
        <f t="shared" si="18"/>
        <v>40.306269887998106</v>
      </c>
      <c r="Y39">
        <f t="shared" si="18"/>
        <v>76.8785368739901</v>
      </c>
      <c r="AA39">
        <f t="shared" si="18"/>
        <v>25.979279487744812</v>
      </c>
      <c r="AB39">
        <f t="shared" si="18"/>
        <v>82.402111204021907</v>
      </c>
      <c r="AD39">
        <f t="shared" si="18"/>
        <v>76.539007202494929</v>
      </c>
    </row>
    <row r="40" spans="5:30" x14ac:dyDescent="0.3">
      <c r="E40" t="s">
        <v>118</v>
      </c>
      <c r="F40">
        <v>0.46</v>
      </c>
    </row>
    <row r="41" spans="5:30" x14ac:dyDescent="0.3">
      <c r="E41" t="s">
        <v>89</v>
      </c>
      <c r="F41">
        <f>(F39/B10)^2*(F40/F39)</f>
        <v>4.6738354578096612E-5</v>
      </c>
    </row>
    <row r="42" spans="5:30" x14ac:dyDescent="0.3">
      <c r="E42" t="s">
        <v>83</v>
      </c>
      <c r="F42">
        <f>F39</f>
        <v>0.1</v>
      </c>
    </row>
    <row r="43" spans="5:30" x14ac:dyDescent="0.3">
      <c r="E43" t="s">
        <v>81</v>
      </c>
      <c r="F43">
        <f>(B13*F42)*(1-B7*COS(B14))/(B7*B9)</f>
        <v>1.0695187165775402</v>
      </c>
    </row>
    <row r="44" spans="5:30" x14ac:dyDescent="0.3">
      <c r="E44" t="s">
        <v>125</v>
      </c>
      <c r="F44">
        <f>5.325*(30+F43^8)^-1</f>
        <v>0.1679174375862936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6.9131020488337358E-2</v>
      </c>
    </row>
    <row r="47" spans="5:30" x14ac:dyDescent="0.3">
      <c r="E47" t="s">
        <v>91</v>
      </c>
      <c r="F47">
        <f>(B12*B9*F46*F45*F44)/(4*PI()*B15^2*(1-B7*COS(B14))^2)</f>
        <v>1.1541989796774712E-4</v>
      </c>
    </row>
    <row r="48" spans="5:30" x14ac:dyDescent="0.3">
      <c r="E48" t="s">
        <v>85</v>
      </c>
      <c r="F48">
        <f>10*LOG10(F47/B17^2)</f>
        <v>54.602206947245293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C29A-0EEA-4B62-B692-9F42C338054E}">
  <dimension ref="A1:P30"/>
  <sheetViews>
    <sheetView tabSelected="1" workbookViewId="0">
      <selection activeCell="E22" sqref="E22"/>
    </sheetView>
  </sheetViews>
  <sheetFormatPr defaultRowHeight="14.4" x14ac:dyDescent="0.3"/>
  <sheetData>
    <row r="1" spans="1:16" x14ac:dyDescent="0.3">
      <c r="A1" t="s">
        <v>128</v>
      </c>
      <c r="B1" t="s">
        <v>129</v>
      </c>
      <c r="C1" t="s">
        <v>131</v>
      </c>
      <c r="D1" t="s">
        <v>132</v>
      </c>
      <c r="E1" t="s">
        <v>135</v>
      </c>
      <c r="F1" t="s">
        <v>133</v>
      </c>
      <c r="G1" t="s">
        <v>137</v>
      </c>
      <c r="H1" t="s">
        <v>109</v>
      </c>
      <c r="I1" t="s">
        <v>139</v>
      </c>
      <c r="J1" t="s">
        <v>140</v>
      </c>
      <c r="K1" t="s">
        <v>142</v>
      </c>
      <c r="L1" t="s">
        <v>120</v>
      </c>
      <c r="M1" t="s">
        <v>144</v>
      </c>
      <c r="N1" t="s">
        <v>147</v>
      </c>
      <c r="O1" t="s">
        <v>146</v>
      </c>
      <c r="P1" t="s">
        <v>148</v>
      </c>
    </row>
    <row r="2" spans="1:16" x14ac:dyDescent="0.3">
      <c r="B2" t="s">
        <v>130</v>
      </c>
      <c r="D2" t="s">
        <v>134</v>
      </c>
      <c r="F2" t="s">
        <v>136</v>
      </c>
      <c r="H2" t="s">
        <v>138</v>
      </c>
      <c r="J2" t="s">
        <v>141</v>
      </c>
      <c r="L2" t="s">
        <v>143</v>
      </c>
      <c r="N2" t="s">
        <v>145</v>
      </c>
    </row>
    <row r="3" spans="1:16" x14ac:dyDescent="0.3">
      <c r="A3">
        <v>10</v>
      </c>
      <c r="B3">
        <f ca="1">(A3*$F$10*(1-$B$7*COS($B$14)))/($B$7*$B$9)</f>
        <v>1.3712518425477178E-3</v>
      </c>
      <c r="C3">
        <f ca="1">10*LOG10((($B$12*$B$9*$F$11*$F$14*(0.613*(10*B3)^4*((10*B3)^1.5+0.5)^-4))/(4*PI()*$B$15^2*(1-$B$7*COS($B$14))))/$B$17^2)</f>
        <v>61.705215447311737</v>
      </c>
      <c r="D3">
        <f ca="1">(A3*$H$10)*(1-$B$7*COS($B$14))/($B$7*$B$9)</f>
        <v>8.5335278096141813E-5</v>
      </c>
      <c r="E3">
        <f ca="1">10*LOG10((($B$12*$B$9*$H$16*$H$15*(0.613*(10*D3)^4*((10*D3)^1.5+0.5)^-4))/(4*PI()*$B$15^2*(1-$B$7*COS($B$14))^4))/$B$17^2)</f>
        <v>7.7631670509020836</v>
      </c>
      <c r="F3">
        <f ca="1">(A3*$J$10)*(1-$B$7*COS($B$14))/($B$7*$B$9)</f>
        <v>2.8457121976312215E-5</v>
      </c>
      <c r="G3">
        <f ca="1">10*LOG10((($B$12*$B$9*$J$16*$J$15*(0.613*(10*F3)^4*((10*F3)^1.5+0.5)^-4))/(4*PI()*$B$15^2*(1-$B$7*COS($B$14))^4))/$B$17^2)</f>
        <v>-52.885279001976137</v>
      </c>
      <c r="H3">
        <f ca="1">(A3*$F$25)*(1-$B$7*COS($B$14))/($B$7*$B$9)</f>
        <v>8.8928500693206597E-2</v>
      </c>
      <c r="I3">
        <f ca="1">10*LOG10((($B$12*$B$9*$F$32*$F$31*(0.1406*H3^-0.55))/(4*PI()*$B$15^2*(1-$B$7*COS($B$14))^2))/$B$17^2)</f>
        <v>134.65693802981943</v>
      </c>
      <c r="J3">
        <f ca="1">(A3*$F$25)*(1-$B$7*COS($B$14))/($B$7*$B$9)</f>
        <v>8.8928500693206597E-2</v>
      </c>
      <c r="K3">
        <f ca="1">10*LOG10((($B$12*$B$9*$H$31*$H$30*(13.59*J3^2*(J3^2+12.5)^-2.25))/(4*PI()*$B$15^2*(1-$B$7*COS($B$14))^4))/$B$17^2)</f>
        <v>67.038885476407103</v>
      </c>
      <c r="L3">
        <f ca="1">(A3*$J$27)*(1-$B$7*COS($B$14))/($B$7*$B$9)</f>
        <v>3.9215686274509803E-2</v>
      </c>
      <c r="M3">
        <f ca="1">10*LOG10((($B$12*$B$9*$F$32*$F$31*(13.59*L3^2*(L3^2+12.5)^-2.25))/(4*PI()*$B$15^2*(1-$B$7*COS($B$14))^2))/$B$17^2)</f>
        <v>95.91652370032817</v>
      </c>
      <c r="N3">
        <f ca="1">(A3*$F$42)*(1-$B$7*COS($B$14))/($B$7*$B$9)</f>
        <v>6.5359477124183009E-3</v>
      </c>
      <c r="O3">
        <f ca="1">10*LOG10((($B$12*$B$9*$F$46*$F$45*(5.325*(30+N3^8)^-1))/(4*PI()*$B$15^2*(1-$B$7*COS($B$14))^2))/$B$17^2)</f>
        <v>73.4906225152682</v>
      </c>
      <c r="P3">
        <f ca="1">10*LOG10(10^(C3/10)+10^(E3/10)+10^(G3/10)+10^(I3/10)+10^(K3/10)+10^(M3/10)+10^(O3/10))</f>
        <v>134.65752270293817</v>
      </c>
    </row>
    <row r="4" spans="1:16" x14ac:dyDescent="0.3">
      <c r="A4">
        <v>20</v>
      </c>
      <c r="B4">
        <f t="shared" ref="B4:B30" ca="1" si="0">(A4*$F$10*(1-$B$7*COS($B$14)))/($B$7*$B$9)</f>
        <v>2.7425036850954355E-3</v>
      </c>
      <c r="C4">
        <f t="shared" ref="C4:C30" ca="1" si="1">10*LOG10((($B$12*$B$9*$F$11*$F$14*(0.613*(10*B4)^4*((10*B4)^1.5+0.5)^-4))/(4*PI()*$B$15^2*(1-$B$7*COS($B$14))))/$B$17^2)</f>
        <v>73.645031749520257</v>
      </c>
      <c r="D4">
        <f t="shared" ref="D4:D30" ca="1" si="2">(A4*$H$10)*(1-$B$7*COS($B$14))/($B$7*$B$9)</f>
        <v>1.7067055619228363E-4</v>
      </c>
      <c r="E4">
        <f t="shared" ref="E4:E29" ca="1" si="3">10*LOG10((($B$12*$B$9*$H$16*$H$15*(0.613*(10*D4)^4*((10*D4)^1.5+0.5)^-4))/(4*PI()*$B$15^2*(1-$B$7*COS($B$14))^4))/$B$17^2)</f>
        <v>19.802783430865269</v>
      </c>
      <c r="F4">
        <f t="shared" ref="F4:F30" ca="1" si="4">(A4*$J$10)*(1-$B$7*COS($B$14))/($B$7*$B$9)</f>
        <v>5.6914243952624429E-5</v>
      </c>
      <c r="G4">
        <f t="shared" ref="G4:G30" ca="1" si="5">10*LOG10((($B$12*$B$9*$J$16*$J$15*(0.613*(10*F4)^4*((10*F4)^1.5+0.5)^-4))/(4*PI()*$B$15^2*(1-$B$7*COS($B$14))^4))/$B$17^2)</f>
        <v>-40.844384126679117</v>
      </c>
      <c r="H4">
        <f t="shared" ref="H4:H30" ca="1" si="6">(A4*$F$25)*(1-$B$7*COS($B$14))/($B$7*$B$9)</f>
        <v>0.17785700138641319</v>
      </c>
      <c r="I4">
        <f t="shared" ref="I4:I30" ca="1" si="7">10*LOG10((($B$12*$B$9*$F$32*$F$31*(0.1406*H4^-0.55))/(4*PI()*$B$15^2*(1-$B$7*COS($B$14))^2))/$B$17^2)</f>
        <v>133.00127305366755</v>
      </c>
      <c r="J4">
        <f t="shared" ref="J4:J30" ca="1" si="8">(A4*$F$25)*(1-$B$7*COS($B$14))/($B$7*$B$9)</f>
        <v>0.17785700138641319</v>
      </c>
      <c r="K4">
        <f t="shared" ref="K4:K30" ca="1" si="9">10*LOG10((($B$12*$B$9*$H$31*$H$30*(13.59*J4^2*(J4^2+12.5)^-2.25))/(4*PI()*$B$15^2*(1-$B$7*COS($B$14))^4))/$B$17^2)</f>
        <v>73.040968255232144</v>
      </c>
      <c r="L4">
        <f t="shared" ref="L4:L30" ca="1" si="10">(A4*$J$27)*(1-$B$7*COS($B$14))/($B$7*$B$9)</f>
        <v>7.8431372549019607E-2</v>
      </c>
      <c r="M4">
        <f t="shared" ref="M4:M30" ca="1" si="11">10*LOG10((($B$12*$B$9*$F$32*$F$31*(13.59*L4^2*(L4^2+12.5)^-2.25))/(4*PI()*$B$15^2*(1-$B$7*COS($B$14))^2))/$B$17^2)</f>
        <v>101.93351812474795</v>
      </c>
      <c r="N4">
        <f t="shared" ref="N4:N30" ca="1" si="12">(A4*$F$42)*(1-$B$7*COS($B$14))/($B$7*$B$9)</f>
        <v>1.3071895424836602E-2</v>
      </c>
      <c r="O4">
        <f t="shared" ref="O4:O30" ca="1" si="13">10*LOG10((($B$12*$B$9*$F$46*$F$45*(5.325*(30+N4^8)^-1))/(4*PI()*$B$15^2*(1-$B$7*COS($B$14))^2))/$B$17^2)</f>
        <v>73.4906225152682</v>
      </c>
      <c r="P4">
        <f t="shared" ref="P4:P30" ca="1" si="14">10*LOG10(10^(C4/10)+10^(E4/10)+10^(G4/10)+10^(I4/10)+10^(K4/10)+10^(M4/10)+10^(O4/10))</f>
        <v>133.00468231748386</v>
      </c>
    </row>
    <row r="5" spans="1:16" x14ac:dyDescent="0.3">
      <c r="A5">
        <v>30</v>
      </c>
      <c r="B5">
        <f t="shared" ca="1" si="0"/>
        <v>4.1137555276431533E-3</v>
      </c>
      <c r="C5">
        <f t="shared" ca="1" si="1"/>
        <v>80.558268424332311</v>
      </c>
      <c r="D5">
        <f t="shared" ca="1" si="2"/>
        <v>2.5600583428842541E-4</v>
      </c>
      <c r="E5">
        <f t="shared" ca="1" si="3"/>
        <v>26.844383520254816</v>
      </c>
      <c r="F5">
        <f t="shared" ca="1" si="4"/>
        <v>8.5371365928936654E-5</v>
      </c>
      <c r="G5">
        <f t="shared" ca="1" si="5"/>
        <v>-33.801128653733748</v>
      </c>
      <c r="H5">
        <f t="shared" ca="1" si="6"/>
        <v>0.26678550207961976</v>
      </c>
      <c r="I5">
        <f t="shared" ca="1" si="7"/>
        <v>132.0327711288613</v>
      </c>
      <c r="J5">
        <f t="shared" ca="1" si="8"/>
        <v>0.26678550207961976</v>
      </c>
      <c r="K5">
        <f t="shared" ca="1" si="9"/>
        <v>76.532009310095731</v>
      </c>
      <c r="L5">
        <f t="shared" ca="1" si="10"/>
        <v>0.11764705882352941</v>
      </c>
      <c r="M5">
        <f t="shared" ca="1" si="11"/>
        <v>105.44933711249037</v>
      </c>
      <c r="N5">
        <f t="shared" ca="1" si="12"/>
        <v>1.9607843137254902E-2</v>
      </c>
      <c r="O5">
        <f t="shared" ca="1" si="13"/>
        <v>73.4906225152682</v>
      </c>
      <c r="P5">
        <f t="shared" ca="1" si="14"/>
        <v>132.04234744284437</v>
      </c>
    </row>
    <row r="6" spans="1:16" x14ac:dyDescent="0.3">
      <c r="A6">
        <v>40</v>
      </c>
      <c r="B6">
        <f t="shared" ca="1" si="0"/>
        <v>5.4850073701908711E-3</v>
      </c>
      <c r="C6">
        <f t="shared" ca="1" si="1"/>
        <v>85.40263827927113</v>
      </c>
      <c r="D6">
        <f t="shared" ca="1" si="2"/>
        <v>3.4134111238456725E-4</v>
      </c>
      <c r="E6">
        <f t="shared" ca="1" si="3"/>
        <v>31.839505375407704</v>
      </c>
      <c r="F6">
        <f t="shared" ca="1" si="4"/>
        <v>1.1382848790524886E-4</v>
      </c>
      <c r="G6">
        <f t="shared" ca="1" si="5"/>
        <v>-28.804046803559231</v>
      </c>
      <c r="H6">
        <f t="shared" ca="1" si="6"/>
        <v>0.35571400277282639</v>
      </c>
      <c r="I6">
        <f t="shared" ca="1" si="7"/>
        <v>131.34560807751564</v>
      </c>
      <c r="J6">
        <f t="shared" ca="1" si="8"/>
        <v>0.35571400277282639</v>
      </c>
      <c r="K6">
        <f t="shared" ca="1" si="9"/>
        <v>78.987848546338299</v>
      </c>
      <c r="L6">
        <f t="shared" ca="1" si="10"/>
        <v>0.15686274509803921</v>
      </c>
      <c r="M6">
        <f t="shared" ca="1" si="11"/>
        <v>107.93970937124499</v>
      </c>
      <c r="N6">
        <f t="shared" ca="1" si="12"/>
        <v>2.6143790849673203E-2</v>
      </c>
      <c r="O6">
        <f t="shared" ca="1" si="13"/>
        <v>73.490622515268186</v>
      </c>
      <c r="P6">
        <f t="shared" ca="1" si="14"/>
        <v>131.36552934601218</v>
      </c>
    </row>
    <row r="7" spans="1:16" x14ac:dyDescent="0.3">
      <c r="A7">
        <v>50</v>
      </c>
      <c r="B7">
        <f t="shared" ca="1" si="0"/>
        <v>6.8562592127385889E-3</v>
      </c>
      <c r="C7">
        <f t="shared" ca="1" si="1"/>
        <v>89.10691006772899</v>
      </c>
      <c r="D7">
        <f t="shared" ca="1" si="2"/>
        <v>4.2667639048070904E-4</v>
      </c>
      <c r="E7">
        <f t="shared" ca="1" si="3"/>
        <v>35.713152724983146</v>
      </c>
      <c r="F7">
        <f t="shared" ca="1" si="4"/>
        <v>1.4228560988156108E-4</v>
      </c>
      <c r="G7">
        <f t="shared" ca="1" si="5"/>
        <v>-24.928176671996646</v>
      </c>
      <c r="H7">
        <f t="shared" ca="1" si="6"/>
        <v>0.44464250346603296</v>
      </c>
      <c r="I7">
        <f t="shared" ca="1" si="7"/>
        <v>130.81260300597134</v>
      </c>
      <c r="J7">
        <f t="shared" ca="1" si="8"/>
        <v>0.44464250346603296</v>
      </c>
      <c r="K7">
        <f t="shared" ca="1" si="9"/>
        <v>80.871121790223498</v>
      </c>
      <c r="L7">
        <f t="shared" ca="1" si="10"/>
        <v>0.19607843137254902</v>
      </c>
      <c r="M7">
        <f t="shared" ca="1" si="11"/>
        <v>109.8671170570116</v>
      </c>
      <c r="N7">
        <f t="shared" ca="1" si="12"/>
        <v>3.2679738562091505E-2</v>
      </c>
      <c r="O7">
        <f t="shared" ca="1" si="13"/>
        <v>73.490622515268015</v>
      </c>
      <c r="P7">
        <f t="shared" ca="1" si="14"/>
        <v>130.84773877929192</v>
      </c>
    </row>
    <row r="8" spans="1:16" x14ac:dyDescent="0.3">
      <c r="A8">
        <v>60</v>
      </c>
      <c r="B8">
        <f t="shared" ca="1" si="0"/>
        <v>8.2275110552863066E-3</v>
      </c>
      <c r="C8">
        <f t="shared" ca="1" si="1"/>
        <v>92.085796680223069</v>
      </c>
      <c r="D8">
        <f t="shared" ca="1" si="2"/>
        <v>5.1201166857685082E-4</v>
      </c>
      <c r="E8">
        <f t="shared" ca="1" si="3"/>
        <v>38.877358810124385</v>
      </c>
      <c r="F8">
        <f t="shared" ca="1" si="4"/>
        <v>1.7074273185787331E-4</v>
      </c>
      <c r="G8">
        <f t="shared" ca="1" si="5"/>
        <v>-21.761513278227479</v>
      </c>
      <c r="H8">
        <f t="shared" ca="1" si="6"/>
        <v>0.53357100415923953</v>
      </c>
      <c r="I8">
        <f t="shared" ca="1" si="7"/>
        <v>130.37710615270939</v>
      </c>
      <c r="J8">
        <f t="shared" ca="1" si="8"/>
        <v>0.53357100415923953</v>
      </c>
      <c r="K8">
        <f t="shared" ca="1" si="9"/>
        <v>82.388030292627747</v>
      </c>
      <c r="L8">
        <f t="shared" ca="1" si="10"/>
        <v>0.23529411764705882</v>
      </c>
      <c r="M8">
        <f t="shared" ca="1" si="11"/>
        <v>111.43756722112039</v>
      </c>
      <c r="N8">
        <f t="shared" ca="1" si="12"/>
        <v>3.9215686274509803E-2</v>
      </c>
      <c r="O8">
        <f t="shared" ca="1" si="13"/>
        <v>73.490622515267404</v>
      </c>
      <c r="P8">
        <f t="shared" ca="1" si="14"/>
        <v>130.43290858624624</v>
      </c>
    </row>
    <row r="9" spans="1:16" x14ac:dyDescent="0.3">
      <c r="A9">
        <v>70</v>
      </c>
      <c r="B9">
        <f t="shared" ca="1" si="0"/>
        <v>9.5987628978340244E-3</v>
      </c>
      <c r="C9">
        <f t="shared" ca="1" si="1"/>
        <v>94.561166914686822</v>
      </c>
      <c r="D9">
        <f t="shared" ca="1" si="2"/>
        <v>5.9734694667299272E-4</v>
      </c>
      <c r="E9">
        <f t="shared" ca="1" si="3"/>
        <v>41.551921763285392</v>
      </c>
      <c r="F9">
        <f t="shared" ca="1" si="4"/>
        <v>1.9919985383418554E-4</v>
      </c>
      <c r="G9">
        <f t="shared" ca="1" si="5"/>
        <v>-19.084279269420637</v>
      </c>
      <c r="H9">
        <f t="shared" ca="1" si="6"/>
        <v>0.62249950485244621</v>
      </c>
      <c r="I9">
        <f t="shared" ca="1" si="7"/>
        <v>130.00889880974103</v>
      </c>
      <c r="J9">
        <f t="shared" ca="1" si="8"/>
        <v>0.62249950485244621</v>
      </c>
      <c r="K9">
        <f t="shared" ca="1" si="9"/>
        <v>83.648702220421271</v>
      </c>
      <c r="L9">
        <f t="shared" ca="1" si="10"/>
        <v>0.27450980392156865</v>
      </c>
      <c r="M9">
        <f t="shared" ca="1" si="11"/>
        <v>112.76095571315837</v>
      </c>
      <c r="N9">
        <f t="shared" ca="1" si="12"/>
        <v>4.5751633986928102E-2</v>
      </c>
      <c r="O9">
        <f t="shared" ca="1" si="13"/>
        <v>73.490622515265429</v>
      </c>
      <c r="P9">
        <f t="shared" ca="1" si="14"/>
        <v>130.09130553165622</v>
      </c>
    </row>
    <row r="10" spans="1:16" x14ac:dyDescent="0.3">
      <c r="A10">
        <v>80</v>
      </c>
      <c r="B10">
        <f t="shared" ca="1" si="0"/>
        <v>1.0970014740381742E-2</v>
      </c>
      <c r="C10">
        <f t="shared" ca="1" si="1"/>
        <v>96.665908230728917</v>
      </c>
      <c r="D10">
        <f t="shared" ca="1" si="2"/>
        <v>6.8268222476913451E-4</v>
      </c>
      <c r="E10">
        <f t="shared" ca="1" si="3"/>
        <v>43.868046084808938</v>
      </c>
      <c r="F10">
        <f t="shared" ca="1" si="4"/>
        <v>2.2765697581049772E-4</v>
      </c>
      <c r="G10">
        <f t="shared" ca="1" si="5"/>
        <v>-16.765286273295594</v>
      </c>
      <c r="H10">
        <f t="shared" ca="1" si="6"/>
        <v>0.71142800554565278</v>
      </c>
      <c r="I10">
        <f t="shared" ca="1" si="7"/>
        <v>129.68994310136372</v>
      </c>
      <c r="J10">
        <f t="shared" ca="1" si="8"/>
        <v>0.71142800554565278</v>
      </c>
      <c r="K10">
        <f t="shared" ca="1" si="9"/>
        <v>84.719008799665005</v>
      </c>
      <c r="L10">
        <f t="shared" ca="1" si="10"/>
        <v>0.31372549019607843</v>
      </c>
      <c r="M10">
        <f t="shared" ca="1" si="11"/>
        <v>113.9028861439327</v>
      </c>
      <c r="N10">
        <f t="shared" ca="1" si="12"/>
        <v>5.2287581699346407E-2</v>
      </c>
      <c r="O10">
        <f t="shared" ca="1" si="13"/>
        <v>73.490622515260128</v>
      </c>
      <c r="P10">
        <f t="shared" ca="1" si="14"/>
        <v>129.80528318598624</v>
      </c>
    </row>
    <row r="11" spans="1:16" x14ac:dyDescent="0.3">
      <c r="A11">
        <v>90</v>
      </c>
      <c r="B11">
        <f t="shared" ca="1" si="0"/>
        <v>1.2341266582929458E-2</v>
      </c>
      <c r="C11">
        <f t="shared" ca="1" si="1"/>
        <v>98.486067785463845</v>
      </c>
      <c r="D11">
        <f t="shared" ca="1" si="2"/>
        <v>7.6801750286527629E-4</v>
      </c>
      <c r="E11">
        <f t="shared" ca="1" si="3"/>
        <v>45.91036457509415</v>
      </c>
      <c r="F11">
        <f t="shared" ca="1" si="4"/>
        <v>2.5611409778680995E-4</v>
      </c>
      <c r="G11">
        <f t="shared" ca="1" si="5"/>
        <v>-14.719914489289245</v>
      </c>
      <c r="H11">
        <f t="shared" ca="1" si="6"/>
        <v>0.80035650623885923</v>
      </c>
      <c r="I11">
        <f t="shared" ca="1" si="7"/>
        <v>129.40860422790314</v>
      </c>
      <c r="J11">
        <f t="shared" ca="1" si="8"/>
        <v>0.80035650623885923</v>
      </c>
      <c r="K11">
        <f t="shared" ca="1" si="9"/>
        <v>85.641571150936699</v>
      </c>
      <c r="L11">
        <f t="shared" ca="1" si="10"/>
        <v>0.35294117647058826</v>
      </c>
      <c r="M11">
        <f t="shared" ca="1" si="11"/>
        <v>114.90567988088371</v>
      </c>
      <c r="N11">
        <f t="shared" ca="1" si="12"/>
        <v>5.8823529411764705E-2</v>
      </c>
      <c r="O11">
        <f t="shared" ca="1" si="13"/>
        <v>73.490622515247452</v>
      </c>
      <c r="P11">
        <f t="shared" ca="1" si="14"/>
        <v>129.56350383189144</v>
      </c>
    </row>
    <row r="12" spans="1:16" x14ac:dyDescent="0.3">
      <c r="A12">
        <v>100</v>
      </c>
      <c r="B12">
        <f t="shared" ca="1" si="0"/>
        <v>1.3712518425477178E-2</v>
      </c>
      <c r="C12">
        <f t="shared" ca="1" si="1"/>
        <v>100.08065113814754</v>
      </c>
      <c r="D12">
        <f t="shared" ca="1" si="2"/>
        <v>8.5335278096141808E-4</v>
      </c>
      <c r="E12">
        <f t="shared" ca="1" si="3"/>
        <v>47.736666260775984</v>
      </c>
      <c r="F12">
        <f t="shared" ca="1" si="4"/>
        <v>2.8457121976312215E-4</v>
      </c>
      <c r="G12">
        <f t="shared" ca="1" si="5"/>
        <v>-12.890385666437233</v>
      </c>
      <c r="H12">
        <f t="shared" ca="1" si="6"/>
        <v>0.88928500693206591</v>
      </c>
      <c r="I12">
        <f t="shared" ca="1" si="7"/>
        <v>129.15693802981943</v>
      </c>
      <c r="J12">
        <f t="shared" ca="1" si="8"/>
        <v>0.88928500693206591</v>
      </c>
      <c r="K12">
        <f t="shared" ca="1" si="9"/>
        <v>86.445620234112766</v>
      </c>
      <c r="L12">
        <f t="shared" ca="1" si="10"/>
        <v>0.39215686274509803</v>
      </c>
      <c r="M12">
        <f t="shared" ca="1" si="11"/>
        <v>115.79823942015965</v>
      </c>
      <c r="N12">
        <f t="shared" ca="1" si="12"/>
        <v>6.535947712418301E-2</v>
      </c>
      <c r="O12">
        <f t="shared" ca="1" si="13"/>
        <v>73.490622515219997</v>
      </c>
      <c r="P12">
        <f t="shared" ca="1" si="14"/>
        <v>129.35822489697173</v>
      </c>
    </row>
    <row r="13" spans="1:16" x14ac:dyDescent="0.3">
      <c r="A13">
        <v>200</v>
      </c>
      <c r="B13">
        <f t="shared" ca="1" si="0"/>
        <v>2.7425036850954355E-2</v>
      </c>
      <c r="C13">
        <f t="shared" ca="1" si="1"/>
        <v>109.41568128779709</v>
      </c>
      <c r="D13">
        <f t="shared" ca="1" si="2"/>
        <v>1.7067055619228362E-3</v>
      </c>
      <c r="E13">
        <f t="shared" ca="1" si="3"/>
        <v>59.727938974122068</v>
      </c>
      <c r="F13">
        <f t="shared" ca="1" si="4"/>
        <v>5.6914243952624431E-4</v>
      </c>
      <c r="G13">
        <f t="shared" ca="1" si="5"/>
        <v>-0.85882382164188376</v>
      </c>
      <c r="H13">
        <f t="shared" ca="1" si="6"/>
        <v>1.7785700138641318</v>
      </c>
      <c r="I13">
        <f t="shared" ca="1" si="7"/>
        <v>127.50127305366753</v>
      </c>
      <c r="J13">
        <f t="shared" ca="1" si="8"/>
        <v>1.7785700138641318</v>
      </c>
      <c r="K13">
        <f t="shared" ca="1" si="9"/>
        <v>90.861260333834224</v>
      </c>
      <c r="L13">
        <f t="shared" ca="1" si="10"/>
        <v>0.78431372549019607</v>
      </c>
      <c r="M13">
        <f t="shared" ca="1" si="11"/>
        <v>121.46890411075313</v>
      </c>
      <c r="N13">
        <f t="shared" ca="1" si="12"/>
        <v>0.13071895424836602</v>
      </c>
      <c r="O13">
        <f t="shared" ca="1" si="13"/>
        <v>73.490622502926598</v>
      </c>
      <c r="P13">
        <f t="shared" ca="1" si="14"/>
        <v>128.52246661838817</v>
      </c>
    </row>
    <row r="14" spans="1:16" x14ac:dyDescent="0.3">
      <c r="A14">
        <v>300</v>
      </c>
      <c r="B14">
        <f t="shared" ca="1" si="0"/>
        <v>4.113755527643153E-2</v>
      </c>
      <c r="C14">
        <f t="shared" ca="1" si="1"/>
        <v>113.48423373593812</v>
      </c>
      <c r="D14">
        <f t="shared" ca="1" si="2"/>
        <v>2.5600583428842544E-3</v>
      </c>
      <c r="E14">
        <f t="shared" ca="1" si="3"/>
        <v>66.707148611431165</v>
      </c>
      <c r="F14">
        <f t="shared" ca="1" si="4"/>
        <v>8.5371365928936657E-4</v>
      </c>
      <c r="G14">
        <f t="shared" ca="1" si="5"/>
        <v>6.1723537574626857</v>
      </c>
      <c r="H14">
        <f t="shared" ca="1" si="6"/>
        <v>2.6678550207961975</v>
      </c>
      <c r="I14">
        <f t="shared" ca="1" si="7"/>
        <v>126.53277112886128</v>
      </c>
      <c r="J14">
        <f t="shared" ca="1" si="8"/>
        <v>2.6678550207961975</v>
      </c>
      <c r="K14">
        <f t="shared" ca="1" si="9"/>
        <v>92.183508368949973</v>
      </c>
      <c r="L14">
        <f t="shared" ca="1" si="10"/>
        <v>1.1764705882352942</v>
      </c>
      <c r="M14">
        <f t="shared" ca="1" si="11"/>
        <v>124.43398915294502</v>
      </c>
      <c r="N14">
        <f t="shared" ca="1" si="12"/>
        <v>0.19607843137254902</v>
      </c>
      <c r="O14">
        <f t="shared" ca="1" si="13"/>
        <v>73.490622198966435</v>
      </c>
      <c r="P14">
        <f t="shared" ca="1" si="14"/>
        <v>128.75135333469103</v>
      </c>
    </row>
    <row r="15" spans="1:16" x14ac:dyDescent="0.3">
      <c r="A15">
        <v>400</v>
      </c>
      <c r="B15">
        <f t="shared" ca="1" si="0"/>
        <v>5.4850073701908711E-2</v>
      </c>
      <c r="C15">
        <f t="shared" ca="1" si="1"/>
        <v>115.51268830439282</v>
      </c>
      <c r="D15">
        <f t="shared" ca="1" si="2"/>
        <v>3.4134111238456723E-3</v>
      </c>
      <c r="E15">
        <f t="shared" ca="1" si="3"/>
        <v>71.628695577854046</v>
      </c>
      <c r="F15">
        <f t="shared" ca="1" si="4"/>
        <v>1.1382848790524886E-3</v>
      </c>
      <c r="G15">
        <f t="shared" ca="1" si="5"/>
        <v>11.155144591256953</v>
      </c>
      <c r="H15">
        <f t="shared" ca="1" si="6"/>
        <v>3.5571400277282637</v>
      </c>
      <c r="I15">
        <f t="shared" ca="1" si="7"/>
        <v>125.84560807751564</v>
      </c>
      <c r="J15">
        <f t="shared" ca="1" si="8"/>
        <v>3.5571400277282637</v>
      </c>
      <c r="K15">
        <f t="shared" ca="1" si="9"/>
        <v>92.25337523876847</v>
      </c>
      <c r="L15">
        <f t="shared" ca="1" si="10"/>
        <v>1.5686274509803921</v>
      </c>
      <c r="M15">
        <f t="shared" ca="1" si="11"/>
        <v>126.20305336124885</v>
      </c>
      <c r="N15">
        <f t="shared" ca="1" si="12"/>
        <v>0.26143790849673204</v>
      </c>
      <c r="O15">
        <f t="shared" ca="1" si="13"/>
        <v>73.490619355818964</v>
      </c>
      <c r="P15">
        <f t="shared" ca="1" si="14"/>
        <v>129.22789001260801</v>
      </c>
    </row>
    <row r="16" spans="1:16" x14ac:dyDescent="0.3">
      <c r="A16">
        <v>500</v>
      </c>
      <c r="B16">
        <f t="shared" ca="1" si="0"/>
        <v>6.8562592127385885E-2</v>
      </c>
      <c r="C16">
        <f t="shared" ca="1" si="1"/>
        <v>116.54029176964529</v>
      </c>
      <c r="D16">
        <f t="shared" ca="1" si="2"/>
        <v>4.2667639048070902E-3</v>
      </c>
      <c r="E16">
        <f t="shared" ca="1" si="3"/>
        <v>75.419288788899721</v>
      </c>
      <c r="F16">
        <f t="shared" ca="1" si="4"/>
        <v>1.4228560988156108E-3</v>
      </c>
      <c r="G16">
        <f t="shared" ca="1" si="5"/>
        <v>15.014819899074446</v>
      </c>
      <c r="H16">
        <f t="shared" ca="1" si="6"/>
        <v>4.4464250346603293</v>
      </c>
      <c r="I16">
        <f t="shared" ca="1" si="7"/>
        <v>125.31260300597133</v>
      </c>
      <c r="J16">
        <f t="shared" ca="1" si="8"/>
        <v>4.4464250346603293</v>
      </c>
      <c r="K16">
        <f t="shared" ca="1" si="9"/>
        <v>91.756753690469139</v>
      </c>
      <c r="L16">
        <f t="shared" ca="1" si="10"/>
        <v>1.9607843137254901</v>
      </c>
      <c r="M16">
        <f t="shared" ca="1" si="11"/>
        <v>127.27663461828031</v>
      </c>
      <c r="N16">
        <f t="shared" ca="1" si="12"/>
        <v>0.32679738562091504</v>
      </c>
      <c r="O16">
        <f t="shared" ca="1" si="13"/>
        <v>73.490603683517207</v>
      </c>
      <c r="P16">
        <f t="shared" ca="1" si="14"/>
        <v>129.63419203708975</v>
      </c>
    </row>
    <row r="17" spans="1:16" x14ac:dyDescent="0.3">
      <c r="A17">
        <v>600</v>
      </c>
      <c r="B17">
        <f t="shared" ca="1" si="0"/>
        <v>8.2275110552863059E-2</v>
      </c>
      <c r="C17">
        <f t="shared" ca="1" si="1"/>
        <v>117.02111864854547</v>
      </c>
      <c r="D17">
        <f t="shared" ca="1" si="2"/>
        <v>5.1201166857685089E-3</v>
      </c>
      <c r="E17">
        <f t="shared" ca="1" si="3"/>
        <v>78.49214971511563</v>
      </c>
      <c r="F17">
        <f t="shared" ca="1" si="4"/>
        <v>1.7074273185787331E-3</v>
      </c>
      <c r="G17">
        <f t="shared" ca="1" si="5"/>
        <v>18.163594891917455</v>
      </c>
      <c r="H17">
        <f t="shared" ca="1" si="6"/>
        <v>5.335710041592395</v>
      </c>
      <c r="I17">
        <f t="shared" ca="1" si="7"/>
        <v>124.8771061527094</v>
      </c>
      <c r="J17">
        <f t="shared" ca="1" si="8"/>
        <v>5.335710041592395</v>
      </c>
      <c r="K17">
        <f t="shared" ca="1" si="9"/>
        <v>91.008129080353442</v>
      </c>
      <c r="L17">
        <f t="shared" ca="1" si="10"/>
        <v>2.3529411764705883</v>
      </c>
      <c r="M17">
        <f t="shared" ca="1" si="11"/>
        <v>127.89789105842472</v>
      </c>
      <c r="N17">
        <f t="shared" ca="1" si="12"/>
        <v>0.39215686274509803</v>
      </c>
      <c r="O17">
        <f t="shared" ca="1" si="13"/>
        <v>73.490541542765172</v>
      </c>
      <c r="P17">
        <f t="shared" ca="1" si="14"/>
        <v>129.88647632537092</v>
      </c>
    </row>
    <row r="18" spans="1:16" x14ac:dyDescent="0.3">
      <c r="A18">
        <v>700</v>
      </c>
      <c r="B18">
        <f t="shared" ca="1" si="0"/>
        <v>9.5987628978340248E-2</v>
      </c>
      <c r="C18">
        <f t="shared" ca="1" si="1"/>
        <v>117.1840441688334</v>
      </c>
      <c r="D18">
        <f t="shared" ca="1" si="2"/>
        <v>5.9734694667299268E-3</v>
      </c>
      <c r="E18">
        <f t="shared" ca="1" si="3"/>
        <v>81.067978247555573</v>
      </c>
      <c r="F18">
        <f t="shared" ca="1" si="4"/>
        <v>1.9919985383418555E-3</v>
      </c>
      <c r="G18">
        <f t="shared" ca="1" si="5"/>
        <v>20.821402496721831</v>
      </c>
      <c r="H18">
        <f t="shared" ca="1" si="6"/>
        <v>6.2249950485244616</v>
      </c>
      <c r="I18">
        <f t="shared" ca="1" si="7"/>
        <v>124.50889880974103</v>
      </c>
      <c r="J18">
        <f t="shared" ca="1" si="8"/>
        <v>6.2249950485244616</v>
      </c>
      <c r="K18">
        <f t="shared" ca="1" si="9"/>
        <v>90.159282272778341</v>
      </c>
      <c r="L18">
        <f t="shared" ca="1" si="10"/>
        <v>2.7450980392156863</v>
      </c>
      <c r="M18">
        <f t="shared" ca="1" si="11"/>
        <v>128.20962690998965</v>
      </c>
      <c r="N18">
        <f t="shared" ca="1" si="12"/>
        <v>0.45751633986928103</v>
      </c>
      <c r="O18">
        <f t="shared" ca="1" si="13"/>
        <v>73.490344606637336</v>
      </c>
      <c r="P18">
        <f t="shared" ca="1" si="14"/>
        <v>129.9868777088769</v>
      </c>
    </row>
    <row r="19" spans="1:16" x14ac:dyDescent="0.3">
      <c r="A19">
        <v>800</v>
      </c>
      <c r="B19">
        <f t="shared" ca="1" si="0"/>
        <v>0.10970014740381742</v>
      </c>
      <c r="C19">
        <f t="shared" ca="1" si="1"/>
        <v>117.15474543343529</v>
      </c>
      <c r="D19">
        <f t="shared" ca="1" si="2"/>
        <v>6.8268222476913446E-3</v>
      </c>
      <c r="E19">
        <f t="shared" ca="1" si="3"/>
        <v>83.278701282880348</v>
      </c>
      <c r="F19">
        <f t="shared" ca="1" si="4"/>
        <v>2.2765697581049772E-3</v>
      </c>
      <c r="G19">
        <f t="shared" ca="1" si="5"/>
        <v>23.11955266474488</v>
      </c>
      <c r="H19">
        <f t="shared" ca="1" si="6"/>
        <v>7.1142800554565273</v>
      </c>
      <c r="I19">
        <f t="shared" ca="1" si="7"/>
        <v>124.18994310136375</v>
      </c>
      <c r="J19">
        <f t="shared" ca="1" si="8"/>
        <v>7.1142800554565273</v>
      </c>
      <c r="K19">
        <f t="shared" ca="1" si="9"/>
        <v>89.284670132672304</v>
      </c>
      <c r="L19">
        <f t="shared" ca="1" si="10"/>
        <v>3.1372549019607843</v>
      </c>
      <c r="M19">
        <f t="shared" ca="1" si="11"/>
        <v>128.30459370076562</v>
      </c>
      <c r="N19">
        <f t="shared" ca="1" si="12"/>
        <v>0.52287581699346408</v>
      </c>
      <c r="O19">
        <f t="shared" ca="1" si="13"/>
        <v>73.489813771274811</v>
      </c>
      <c r="P19">
        <f t="shared" ca="1" si="14"/>
        <v>129.96188429121889</v>
      </c>
    </row>
    <row r="20" spans="1:16" x14ac:dyDescent="0.3">
      <c r="A20">
        <v>900</v>
      </c>
      <c r="B20">
        <f t="shared" ca="1" si="0"/>
        <v>0.1234126658292946</v>
      </c>
      <c r="C20">
        <f t="shared" ca="1" si="1"/>
        <v>117.00640141840621</v>
      </c>
      <c r="D20">
        <f t="shared" ca="1" si="2"/>
        <v>7.6801750286527625E-3</v>
      </c>
      <c r="E20">
        <f t="shared" ca="1" si="3"/>
        <v>85.209552277573664</v>
      </c>
      <c r="F20">
        <f t="shared" ca="1" si="4"/>
        <v>2.5611409778680998E-3</v>
      </c>
      <c r="G20">
        <f t="shared" ca="1" si="5"/>
        <v>25.142763904501081</v>
      </c>
      <c r="H20">
        <f t="shared" ca="1" si="6"/>
        <v>8.0035650623885939</v>
      </c>
      <c r="I20">
        <f t="shared" ca="1" si="7"/>
        <v>123.90860422790314</v>
      </c>
      <c r="J20">
        <f t="shared" ca="1" si="8"/>
        <v>8.0035650623885939</v>
      </c>
      <c r="K20">
        <f t="shared" ca="1" si="9"/>
        <v>88.42072388768284</v>
      </c>
      <c r="L20">
        <f t="shared" ca="1" si="10"/>
        <v>3.5294117647058822</v>
      </c>
      <c r="M20">
        <f t="shared" ca="1" si="11"/>
        <v>128.24632168044391</v>
      </c>
      <c r="N20">
        <f t="shared" ca="1" si="12"/>
        <v>0.58823529411764708</v>
      </c>
      <c r="O20">
        <f t="shared" ca="1" si="13"/>
        <v>73.488547754900765</v>
      </c>
      <c r="P20">
        <f t="shared" ca="1" si="14"/>
        <v>129.84092070985378</v>
      </c>
    </row>
    <row r="21" spans="1:16" x14ac:dyDescent="0.3">
      <c r="A21">
        <v>1000</v>
      </c>
      <c r="B21">
        <f t="shared" ca="1" si="0"/>
        <v>0.13712518425477177</v>
      </c>
      <c r="C21">
        <f t="shared" ca="1" si="1"/>
        <v>116.78350694048127</v>
      </c>
      <c r="D21">
        <f t="shared" ca="1" si="2"/>
        <v>8.5335278096141803E-3</v>
      </c>
      <c r="E21">
        <f t="shared" ca="1" si="3"/>
        <v>86.918833341369464</v>
      </c>
      <c r="F21">
        <f t="shared" ca="1" si="4"/>
        <v>2.8457121976312215E-3</v>
      </c>
      <c r="G21">
        <f t="shared" ca="1" si="5"/>
        <v>26.948896905236911</v>
      </c>
      <c r="H21">
        <f t="shared" ca="1" si="6"/>
        <v>8.8928500693206587</v>
      </c>
      <c r="I21">
        <f t="shared" ca="1" si="7"/>
        <v>123.65693802981943</v>
      </c>
      <c r="J21">
        <f t="shared" ca="1" si="8"/>
        <v>8.8928500693206587</v>
      </c>
      <c r="K21">
        <f t="shared" ca="1" si="9"/>
        <v>87.584729697351676</v>
      </c>
      <c r="L21">
        <f t="shared" ca="1" si="10"/>
        <v>3.9215686274509802</v>
      </c>
      <c r="M21">
        <f t="shared" ca="1" si="11"/>
        <v>128.07956927702526</v>
      </c>
      <c r="N21">
        <f t="shared" ca="1" si="12"/>
        <v>0.65359477124183007</v>
      </c>
      <c r="O21">
        <f t="shared" ca="1" si="13"/>
        <v>73.485804250352331</v>
      </c>
      <c r="P21">
        <f t="shared" ca="1" si="14"/>
        <v>129.64977816816412</v>
      </c>
    </row>
    <row r="22" spans="1:16" x14ac:dyDescent="0.3">
      <c r="A22">
        <v>2000</v>
      </c>
      <c r="B22">
        <f t="shared" ca="1" si="0"/>
        <v>0.27425036850954354</v>
      </c>
      <c r="C22">
        <f t="shared" ca="1" si="1"/>
        <v>113.65774928172884</v>
      </c>
      <c r="D22">
        <f t="shared" ca="1" si="2"/>
        <v>1.7067055619228361E-2</v>
      </c>
      <c r="E22">
        <f t="shared" ca="1" si="3"/>
        <v>97.513566001474203</v>
      </c>
      <c r="F22">
        <f t="shared" ca="1" si="4"/>
        <v>5.6914243952624431E-3</v>
      </c>
      <c r="G22">
        <f t="shared" ca="1" si="5"/>
        <v>38.690635913253558</v>
      </c>
      <c r="H22">
        <f t="shared" ca="1" si="6"/>
        <v>17.785700138641317</v>
      </c>
      <c r="I22">
        <f t="shared" ca="1" si="7"/>
        <v>122.00127305366755</v>
      </c>
      <c r="J22">
        <f t="shared" ca="1" si="8"/>
        <v>17.785700138641317</v>
      </c>
      <c r="K22">
        <f t="shared" ca="1" si="9"/>
        <v>81.114250073681262</v>
      </c>
      <c r="L22">
        <f t="shared" ca="1" si="10"/>
        <v>7.8431372549019605</v>
      </c>
      <c r="M22">
        <f t="shared" ca="1" si="11"/>
        <v>124.5591329439472</v>
      </c>
      <c r="N22">
        <f t="shared" ca="1" si="12"/>
        <v>1.3071895424836601</v>
      </c>
      <c r="O22">
        <f t="shared" ca="1" si="13"/>
        <v>72.404377318161991</v>
      </c>
      <c r="P22">
        <f t="shared" ca="1" si="14"/>
        <v>126.70275447831942</v>
      </c>
    </row>
    <row r="23" spans="1:16" x14ac:dyDescent="0.3">
      <c r="A23">
        <v>3000</v>
      </c>
      <c r="B23">
        <f t="shared" ca="1" si="0"/>
        <v>0.41137555276431531</v>
      </c>
      <c r="C23">
        <f t="shared" ca="1" si="1"/>
        <v>110.9392418580493</v>
      </c>
      <c r="D23">
        <f t="shared" ca="1" si="2"/>
        <v>2.5600583428842544E-2</v>
      </c>
      <c r="E23">
        <f t="shared" ca="1" si="3"/>
        <v>102.84698979725741</v>
      </c>
      <c r="F23">
        <f t="shared" ca="1" si="4"/>
        <v>8.5371365928936654E-3</v>
      </c>
      <c r="G23">
        <f t="shared" ca="1" si="5"/>
        <v>45.354014826758082</v>
      </c>
      <c r="H23">
        <f t="shared" ca="1" si="6"/>
        <v>26.678550207961976</v>
      </c>
      <c r="I23">
        <f t="shared" ca="1" si="7"/>
        <v>121.0327711288613</v>
      </c>
      <c r="J23">
        <f t="shared" ca="1" si="8"/>
        <v>26.678550207961976</v>
      </c>
      <c r="K23">
        <f t="shared" ca="1" si="9"/>
        <v>76.920541615058454</v>
      </c>
      <c r="L23">
        <f t="shared" ca="1" si="10"/>
        <v>11.764705882352942</v>
      </c>
      <c r="M23">
        <f t="shared" ca="1" si="11"/>
        <v>121.11958056947213</v>
      </c>
      <c r="N23">
        <f t="shared" ca="1" si="12"/>
        <v>1.9607843137254901</v>
      </c>
      <c r="O23">
        <f t="shared" ca="1" si="13"/>
        <v>64.308684119281793</v>
      </c>
      <c r="P23">
        <f t="shared" ca="1" si="14"/>
        <v>124.32326064032651</v>
      </c>
    </row>
    <row r="24" spans="1:16" x14ac:dyDescent="0.3">
      <c r="A24">
        <v>4000</v>
      </c>
      <c r="B24">
        <f t="shared" ca="1" si="0"/>
        <v>0.54850073701908708</v>
      </c>
      <c r="C24">
        <f t="shared" ca="1" si="1"/>
        <v>108.78815090172965</v>
      </c>
      <c r="D24">
        <f t="shared" ca="1" si="2"/>
        <v>3.4134111238456721E-2</v>
      </c>
      <c r="E24">
        <f t="shared" ca="1" si="3"/>
        <v>106.01554927405388</v>
      </c>
      <c r="F24">
        <f t="shared" ca="1" si="4"/>
        <v>1.1382848790524886E-2</v>
      </c>
      <c r="G24">
        <f t="shared" ca="1" si="5"/>
        <v>49.911756530984874</v>
      </c>
      <c r="H24">
        <f t="shared" ca="1" si="6"/>
        <v>35.571400277282635</v>
      </c>
      <c r="I24">
        <f t="shared" ca="1" si="7"/>
        <v>120.34560807751564</v>
      </c>
      <c r="J24">
        <f t="shared" ca="1" si="8"/>
        <v>35.571400277282635</v>
      </c>
      <c r="K24">
        <f t="shared" ca="1" si="9"/>
        <v>73.871138403833655</v>
      </c>
      <c r="L24">
        <f t="shared" ca="1" si="10"/>
        <v>15.686274509803921</v>
      </c>
      <c r="M24">
        <f t="shared" ca="1" si="11"/>
        <v>118.35680074706652</v>
      </c>
      <c r="N24">
        <f t="shared" ca="1" si="12"/>
        <v>2.6143790849673203</v>
      </c>
      <c r="O24">
        <f t="shared" ca="1" si="13"/>
        <v>54.813059169566415</v>
      </c>
      <c r="P24">
        <f t="shared" ca="1" si="14"/>
        <v>122.74952741482971</v>
      </c>
    </row>
    <row r="25" spans="1:16" x14ac:dyDescent="0.3">
      <c r="A25">
        <v>5000</v>
      </c>
      <c r="B25">
        <f t="shared" ca="1" si="0"/>
        <v>0.68562592127385891</v>
      </c>
      <c r="C25">
        <f t="shared" ca="1" si="1"/>
        <v>107.03607715245428</v>
      </c>
      <c r="D25">
        <f t="shared" ca="1" si="2"/>
        <v>4.2667639048070909E-2</v>
      </c>
      <c r="E25">
        <f t="shared" ca="1" si="3"/>
        <v>108.02666972353258</v>
      </c>
      <c r="F25">
        <f t="shared" ca="1" si="4"/>
        <v>1.422856098815611E-2</v>
      </c>
      <c r="G25">
        <f t="shared" ca="1" si="5"/>
        <v>53.302410148240291</v>
      </c>
      <c r="H25">
        <f t="shared" ca="1" si="6"/>
        <v>44.464250346603293</v>
      </c>
      <c r="I25">
        <f t="shared" ca="1" si="7"/>
        <v>119.81260300597131</v>
      </c>
      <c r="J25">
        <f t="shared" ca="1" si="8"/>
        <v>44.464250346603293</v>
      </c>
      <c r="K25">
        <f t="shared" ca="1" si="9"/>
        <v>71.482860672187513</v>
      </c>
      <c r="L25">
        <f t="shared" ca="1" si="10"/>
        <v>19.607843137254903</v>
      </c>
      <c r="M25">
        <f t="shared" ca="1" si="11"/>
        <v>116.10561447221906</v>
      </c>
      <c r="N25">
        <f t="shared" ca="1" si="12"/>
        <v>3.2679738562091503</v>
      </c>
      <c r="O25">
        <f t="shared" ca="1" si="13"/>
        <v>47.109545111993036</v>
      </c>
      <c r="P25">
        <f t="shared" ca="1" si="14"/>
        <v>121.70176828373519</v>
      </c>
    </row>
    <row r="26" spans="1:16" x14ac:dyDescent="0.3">
      <c r="A26">
        <v>6000</v>
      </c>
      <c r="B26">
        <f t="shared" ca="1" si="0"/>
        <v>0.82275110552863062</v>
      </c>
      <c r="C26">
        <f t="shared" ca="1" si="1"/>
        <v>105.56544767802103</v>
      </c>
      <c r="D26">
        <f t="shared" ca="1" si="2"/>
        <v>5.1201166857685089E-2</v>
      </c>
      <c r="E26">
        <f t="shared" ca="1" si="3"/>
        <v>109.34074907240158</v>
      </c>
      <c r="F26">
        <f t="shared" ca="1" si="4"/>
        <v>1.7074273185787331E-2</v>
      </c>
      <c r="G26">
        <f t="shared" ca="1" si="5"/>
        <v>55.947908859568699</v>
      </c>
      <c r="H26">
        <f t="shared" ca="1" si="6"/>
        <v>53.357100415923952</v>
      </c>
      <c r="I26">
        <f t="shared" ca="1" si="7"/>
        <v>119.37710615270939</v>
      </c>
      <c r="J26">
        <f t="shared" ca="1" si="8"/>
        <v>53.357100415923952</v>
      </c>
      <c r="K26">
        <f t="shared" ca="1" si="9"/>
        <v>69.522106473086154</v>
      </c>
      <c r="L26">
        <f t="shared" ca="1" si="10"/>
        <v>23.529411764705884</v>
      </c>
      <c r="M26">
        <f t="shared" ca="1" si="11"/>
        <v>114.22055677193839</v>
      </c>
      <c r="N26">
        <f t="shared" ca="1" si="12"/>
        <v>3.9215686274509802</v>
      </c>
      <c r="O26">
        <f t="shared" ca="1" si="13"/>
        <v>40.782720813122999</v>
      </c>
      <c r="P26">
        <f t="shared" ca="1" si="14"/>
        <v>120.9781405695459</v>
      </c>
    </row>
    <row r="27" spans="1:16" x14ac:dyDescent="0.3">
      <c r="A27">
        <v>7000</v>
      </c>
      <c r="B27">
        <f t="shared" ca="1" si="0"/>
        <v>0.95987628978340234</v>
      </c>
      <c r="C27">
        <f t="shared" ca="1" si="1"/>
        <v>104.30107632452659</v>
      </c>
      <c r="D27">
        <f t="shared" ca="1" si="2"/>
        <v>5.9734694667299269E-2</v>
      </c>
      <c r="E27">
        <f t="shared" ca="1" si="3"/>
        <v>110.20555244955658</v>
      </c>
      <c r="F27">
        <f t="shared" ca="1" si="4"/>
        <v>1.9919985383418552E-2</v>
      </c>
      <c r="G27">
        <f t="shared" ca="1" si="5"/>
        <v>58.075755587077353</v>
      </c>
      <c r="H27">
        <f t="shared" ca="1" si="6"/>
        <v>62.249950485244611</v>
      </c>
      <c r="I27">
        <f t="shared" ca="1" si="7"/>
        <v>119.00889880974103</v>
      </c>
      <c r="J27">
        <f t="shared" ca="1" si="8"/>
        <v>62.249950485244611</v>
      </c>
      <c r="K27">
        <f t="shared" ca="1" si="9"/>
        <v>67.859776103929335</v>
      </c>
      <c r="L27">
        <f t="shared" ca="1" si="10"/>
        <v>27.450980392156861</v>
      </c>
      <c r="M27">
        <f t="shared" ca="1" si="11"/>
        <v>112.60429611412546</v>
      </c>
      <c r="N27">
        <f t="shared" ca="1" si="12"/>
        <v>4.5751633986928102</v>
      </c>
      <c r="O27">
        <f t="shared" ca="1" si="13"/>
        <v>35.428627719065865</v>
      </c>
      <c r="P27">
        <f t="shared" ca="1" si="14"/>
        <v>120.45277307228518</v>
      </c>
    </row>
    <row r="28" spans="1:16" x14ac:dyDescent="0.3">
      <c r="A28">
        <v>8000</v>
      </c>
      <c r="B28">
        <f t="shared" ca="1" si="0"/>
        <v>1.0970014740381742</v>
      </c>
      <c r="C28">
        <f t="shared" ca="1" si="1"/>
        <v>103.19345406373432</v>
      </c>
      <c r="D28">
        <f t="shared" ca="1" si="2"/>
        <v>6.8268222476913443E-2</v>
      </c>
      <c r="E28">
        <f t="shared" ca="1" si="3"/>
        <v>110.76773316785996</v>
      </c>
      <c r="F28">
        <f t="shared" ca="1" si="4"/>
        <v>2.2765697581049772E-2</v>
      </c>
      <c r="G28">
        <f t="shared" ca="1" si="5"/>
        <v>59.823355515639172</v>
      </c>
      <c r="H28">
        <f t="shared" ca="1" si="6"/>
        <v>71.14280055456527</v>
      </c>
      <c r="I28">
        <f t="shared" ca="1" si="7"/>
        <v>118.68994310136374</v>
      </c>
      <c r="J28">
        <f t="shared" ca="1" si="8"/>
        <v>71.14280055456527</v>
      </c>
      <c r="K28">
        <f t="shared" ca="1" si="9"/>
        <v>66.417344165834905</v>
      </c>
      <c r="L28">
        <f t="shared" ca="1" si="10"/>
        <v>31.372549019607842</v>
      </c>
      <c r="M28">
        <f t="shared" ca="1" si="11"/>
        <v>111.19193945392695</v>
      </c>
      <c r="N28">
        <f t="shared" ca="1" si="12"/>
        <v>5.2287581699346406</v>
      </c>
      <c r="O28">
        <f t="shared" ca="1" si="13"/>
        <v>30.789717380914801</v>
      </c>
      <c r="P28">
        <f t="shared" ca="1" si="14"/>
        <v>120.04914429883573</v>
      </c>
    </row>
    <row r="29" spans="1:16" x14ac:dyDescent="0.3">
      <c r="A29">
        <v>9000</v>
      </c>
      <c r="B29">
        <f t="shared" ca="1" si="0"/>
        <v>1.2341266582929458</v>
      </c>
      <c r="C29">
        <f t="shared" ca="1" si="1"/>
        <v>102.20863498719538</v>
      </c>
      <c r="D29">
        <f t="shared" ca="1" si="2"/>
        <v>7.6801750286527637E-2</v>
      </c>
      <c r="E29">
        <f t="shared" ca="1" si="3"/>
        <v>111.11965818848799</v>
      </c>
      <c r="F29">
        <f t="shared" ca="1" si="4"/>
        <v>2.5611409778680996E-2</v>
      </c>
      <c r="G29">
        <f t="shared" ca="1" si="5"/>
        <v>61.280427165667447</v>
      </c>
      <c r="H29">
        <f t="shared" ca="1" si="6"/>
        <v>80.035650623885928</v>
      </c>
      <c r="I29">
        <f t="shared" ca="1" si="7"/>
        <v>118.40860422790314</v>
      </c>
      <c r="J29">
        <f t="shared" ca="1" si="8"/>
        <v>80.035650623885928</v>
      </c>
      <c r="K29">
        <f t="shared" ca="1" si="9"/>
        <v>65.14358492579629</v>
      </c>
      <c r="L29">
        <f t="shared" ca="1" si="10"/>
        <v>35.294117647058826</v>
      </c>
      <c r="M29">
        <f t="shared" ca="1" si="11"/>
        <v>109.93887966429836</v>
      </c>
      <c r="N29">
        <f t="shared" ca="1" si="12"/>
        <v>5.882352941176471</v>
      </c>
      <c r="O29">
        <f t="shared" ca="1" si="13"/>
        <v>26.697657887688816</v>
      </c>
      <c r="P29">
        <f t="shared" ca="1" si="14"/>
        <v>119.72132642549448</v>
      </c>
    </row>
    <row r="30" spans="1:16" x14ac:dyDescent="0.3">
      <c r="A30">
        <v>10000</v>
      </c>
      <c r="B30">
        <f t="shared" ca="1" si="0"/>
        <v>1.3712518425477178</v>
      </c>
      <c r="C30">
        <f t="shared" ca="1" si="1"/>
        <v>101.32246260564992</v>
      </c>
      <c r="D30">
        <f t="shared" ca="1" si="2"/>
        <v>8.5335278096141817E-2</v>
      </c>
      <c r="E30">
        <f ca="1">10*LOG10((($B$12*$B$9*$H$16*$H$15*(0.613*(10*D30)^4*((10*D30)^1.5+0.5)^-4))/(4*PI()*$B$15^2*(1-$B$7*COS($B$14))^4))/$B$17^2)</f>
        <v>111.32211911502516</v>
      </c>
      <c r="F30">
        <f t="shared" ca="1" si="4"/>
        <v>2.845712197631222E-2</v>
      </c>
      <c r="G30">
        <f t="shared" ca="1" si="5"/>
        <v>62.508976847534647</v>
      </c>
      <c r="H30">
        <f t="shared" ca="1" si="6"/>
        <v>88.928500693206587</v>
      </c>
      <c r="I30">
        <f t="shared" ca="1" si="7"/>
        <v>118.15693802981943</v>
      </c>
      <c r="J30">
        <f t="shared" ca="1" si="8"/>
        <v>88.928500693206587</v>
      </c>
      <c r="K30">
        <f t="shared" ca="1" si="9"/>
        <v>64.003264234478593</v>
      </c>
      <c r="L30">
        <f t="shared" ca="1" si="10"/>
        <v>39.215686274509807</v>
      </c>
      <c r="M30">
        <f t="shared" ca="1" si="11"/>
        <v>108.81340529117922</v>
      </c>
      <c r="N30">
        <f t="shared" ca="1" si="12"/>
        <v>6.5359477124183005</v>
      </c>
      <c r="O30">
        <f t="shared" ca="1" si="13"/>
        <v>23.037110404610882</v>
      </c>
      <c r="P30">
        <f t="shared" ca="1" si="14"/>
        <v>119.44194371127141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B194-94B2-4982-A80B-F1F54D8DC0E8}">
  <dimension ref="A1:P30"/>
  <sheetViews>
    <sheetView workbookViewId="0">
      <selection activeCell="O1" sqref="O1"/>
    </sheetView>
  </sheetViews>
  <sheetFormatPr defaultRowHeight="14.4" x14ac:dyDescent="0.3"/>
  <sheetData>
    <row r="1" spans="1:16" x14ac:dyDescent="0.3">
      <c r="A1" t="s">
        <v>128</v>
      </c>
      <c r="B1" t="s">
        <v>129</v>
      </c>
      <c r="C1" t="s">
        <v>131</v>
      </c>
      <c r="D1" t="s">
        <v>132</v>
      </c>
      <c r="E1" t="s">
        <v>135</v>
      </c>
      <c r="F1" t="s">
        <v>133</v>
      </c>
      <c r="G1" t="s">
        <v>137</v>
      </c>
      <c r="H1" t="s">
        <v>109</v>
      </c>
      <c r="I1" t="s">
        <v>139</v>
      </c>
      <c r="J1" t="s">
        <v>140</v>
      </c>
      <c r="K1" t="s">
        <v>142</v>
      </c>
      <c r="L1" t="s">
        <v>120</v>
      </c>
      <c r="M1" t="s">
        <v>144</v>
      </c>
      <c r="N1" t="s">
        <v>147</v>
      </c>
      <c r="O1" t="s">
        <v>146</v>
      </c>
      <c r="P1" t="s">
        <v>148</v>
      </c>
    </row>
    <row r="2" spans="1:16" x14ac:dyDescent="0.3">
      <c r="D2" t="s">
        <v>134</v>
      </c>
      <c r="F2" t="s">
        <v>136</v>
      </c>
      <c r="H2" t="s">
        <v>138</v>
      </c>
      <c r="J2" t="s">
        <v>141</v>
      </c>
      <c r="L2" t="s">
        <v>143</v>
      </c>
      <c r="N2" t="s">
        <v>145</v>
      </c>
      <c r="P2" t="s">
        <v>149</v>
      </c>
    </row>
    <row r="3" spans="1:16" x14ac:dyDescent="0.3">
      <c r="A3">
        <v>10</v>
      </c>
      <c r="B3">
        <f ca="1">(A3*$F$10*(1-$B$7*COS($B$14)))/($B$7*$B$9)</f>
        <v>3.2364210983176454E-3</v>
      </c>
      <c r="C3">
        <f ca="1">10*LOG10((($B$12*$B$9*$F$11*$F$14*(0.613*(10*B3)^4*((10*B3)^1.5+0.5)^-4))/(4*PI()*$B$15^2*(1-$B$7*COS($B$14))))/$B$17^2)</f>
        <v>61.559795187509664</v>
      </c>
      <c r="D3">
        <f ca="1">(A3*$H$10)*(1-$B$7*COS($B$14))/($B$7*$B$9)</f>
        <v>2.0140785659622287E-4</v>
      </c>
      <c r="E3">
        <f ca="1">10*LOG10((($B$12*$B$9*$H$16*$H$15*(0.613*(10*D3)^4*((10*D3)^1.5+0.5)^-4))/(4*PI()*$B$15^2*(1-$B$7*COS($B$14))^4))/$B$17^2)</f>
        <v>7.7608929829878006</v>
      </c>
      <c r="F3">
        <f ca="1">(A3*$J$10)*(1-$B$7*COS($B$14))/($B$7*$B$9)</f>
        <v>6.7164343633930768E-5</v>
      </c>
      <c r="G3">
        <f ca="1">10*LOG10((($B$12*$B$9*$J$16*$J$15*(0.613*(10*F3)^4*((10*F3)^1.5+0.5)^-4))/(4*PI()*$B$15^2*(1-$B$7*COS($B$14))^4))/$B$17^2)</f>
        <v>-52.88571696496949</v>
      </c>
      <c r="H3">
        <f ca="1">(A3*$F$25)*(1-$B$7*COS($B$14))/($B$7*$B$9)</f>
        <v>0.18189920596337714</v>
      </c>
      <c r="I3">
        <f ca="1">10*LOG10((($B$12*$B$9*$F$32*$F$31*(0.1406*H3^-0.55))/(4*PI()*$B$15^2*(1-$B$7*COS($B$14))^2))/$B$17^2)</f>
        <v>114.30020397138892</v>
      </c>
      <c r="J3">
        <f ca="1">(A3*$F$25)*(1-$B$7*COS($B$14))/($B$7*$B$9)</f>
        <v>0.18189920596337714</v>
      </c>
      <c r="K3">
        <f ca="1">10*LOG10((($B$12*$B$9*$H$31*$H$30*(13.59*J3^2*(J3^2+12.5)^-2.25))/(4*PI()*$B$15^2*(1-$B$7*COS($B$14))^4))/$B$17^2)</f>
        <v>54.587641160924896</v>
      </c>
      <c r="L3">
        <f ca="1">(A3*$J$27)*(1-$B$7*COS($B$14))/($B$7*$B$9)</f>
        <v>8.0213903743315509E-2</v>
      </c>
      <c r="M3">
        <f ca="1">10*LOG10((($B$12*$B$9*$F$32*$F$31*(13.59*L3^2*(L3^2+12.5)^-2.25))/(4*PI()*$B$15^2*(1-$B$7*COS($B$14))^2))/$B$17^2)</f>
        <v>83.481103939011859</v>
      </c>
      <c r="N3">
        <f ca="1">(A3*$F$42)*(1-$B$7*COS($B$14))/($B$7*$B$9)</f>
        <v>1.3368983957219251E-2</v>
      </c>
      <c r="O3">
        <f ca="1">10*LOG10((($B$12*$B$9*$F$46*$F$45*(5.325*(30+N3^8)^-1))/(4*PI()*$B$15^2*(1-$B$7*COS($B$14))^2))/$B$17^2)</f>
        <v>54.84323253807996</v>
      </c>
      <c r="P3">
        <f ca="1">10*LOG10(10^(C3/10)+10^(E3/10)+10^(G3/10)+10^(I3/10)+10^(K3/10)+10^(M3/10)+10^(O3/10))</f>
        <v>114.30383157682961</v>
      </c>
    </row>
    <row r="4" spans="1:16" x14ac:dyDescent="0.3">
      <c r="A4">
        <v>20</v>
      </c>
      <c r="B4">
        <f t="shared" ref="B4:B30" ca="1" si="0">(A4*$F$10*(1-$B$7*COS($B$14)))/($B$7*$B$9)</f>
        <v>6.4728421966352909E-3</v>
      </c>
      <c r="C4">
        <f t="shared" ref="C4:C30" ca="1" si="1">10*LOG10((($B$12*$B$9*$F$11*$F$14*(0.613*(10*B4)^4*((10*B4)^1.5+0.5)^-4))/(4*PI()*$B$15^2*(1-$B$7*COS($B$14))))/$B$17^2)</f>
        <v>73.239176400648461</v>
      </c>
      <c r="D4">
        <f t="shared" ref="D4:D30" ca="1" si="2">(A4*$H$10)*(1-$B$7*COS($B$14))/($B$7*$B$9)</f>
        <v>4.0281571319244575E-4</v>
      </c>
      <c r="E4">
        <f t="shared" ref="E4:E29" ca="1" si="3">10*LOG10((($B$12*$B$9*$H$16*$H$15*(0.613*(10*D4)^4*((10*D4)^1.5+0.5)^-4))/(4*PI()*$B$15^2*(1-$B$7*COS($B$14))^4))/$B$17^2)</f>
        <v>19.79635275117435</v>
      </c>
      <c r="F4">
        <f t="shared" ref="F4:F30" ca="1" si="4">(A4*$J$10)*(1-$B$7*COS($B$14))/($B$7*$B$9)</f>
        <v>1.3432868726786154E-4</v>
      </c>
      <c r="G4">
        <f t="shared" ref="G4:G30" ca="1" si="5">10*LOG10((($B$12*$B$9*$J$16*$J$15*(0.613*(10*F4)^4*((10*F4)^1.5+0.5)^-4))/(4*PI()*$B$15^2*(1-$B$7*COS($B$14))^4))/$B$17^2)</f>
        <v>-40.845622822795193</v>
      </c>
      <c r="H4">
        <f t="shared" ref="H4:H30" ca="1" si="6">(A4*$F$25)*(1-$B$7*COS($B$14))/($B$7*$B$9)</f>
        <v>0.36379841192675427</v>
      </c>
      <c r="I4">
        <f t="shared" ref="I4:I30" ca="1" si="7">10*LOG10((($B$12*$B$9*$F$32*$F$31*(0.1406*H4^-0.55))/(4*PI()*$B$15^2*(1-$B$7*COS($B$14))^2))/$B$17^2)</f>
        <v>112.64453899523703</v>
      </c>
      <c r="J4">
        <f t="shared" ref="J4:J30" ca="1" si="8">(A4*$F$25)*(1-$B$7*COS($B$14))/($B$7*$B$9)</f>
        <v>0.36379841192675427</v>
      </c>
      <c r="K4">
        <f t="shared" ref="K4:K30" ca="1" si="9">10*LOG10((($B$12*$B$9*$H$31*$H$30*(13.59*J4^2*(J4^2+12.5)^-2.25))/(4*PI()*$B$15^2*(1-$B$7*COS($B$14))^4))/$B$17^2)</f>
        <v>60.531154726598459</v>
      </c>
      <c r="L4">
        <f t="shared" ref="L4:L30" ca="1" si="10">(A4*$J$27)*(1-$B$7*COS($B$14))/($B$7*$B$9)</f>
        <v>0.16042780748663102</v>
      </c>
      <c r="M4">
        <f t="shared" ref="M4:M30" ca="1" si="11">10*LOG10((($B$12*$B$9*$F$32*$F$31*(13.59*L4^2*(L4^2+12.5)^-2.25))/(4*PI()*$B$15^2*(1-$B$7*COS($B$14))^2))/$B$17^2)</f>
        <v>89.486633654653374</v>
      </c>
      <c r="N4">
        <f t="shared" ref="N4:N30" ca="1" si="12">(A4*$F$42)*(1-$B$7*COS($B$14))/($B$7*$B$9)</f>
        <v>2.6737967914438502E-2</v>
      </c>
      <c r="O4">
        <f t="shared" ref="O4:O30" ca="1" si="13">10*LOG10((($B$12*$B$9*$F$46*$F$45*(5.325*(30+N4^8)^-1))/(4*PI()*$B$15^2*(1-$B$7*COS($B$14))^2))/$B$17^2)</f>
        <v>54.843232538079924</v>
      </c>
      <c r="P4">
        <f t="shared" ref="P4:P30" ca="1" si="14">10*LOG10(10^(C4/10)+10^(E4/10)+10^(G4/10)+10^(I4/10)+10^(K4/10)+10^(M4/10)+10^(O4/10))</f>
        <v>112.66600687122532</v>
      </c>
    </row>
    <row r="5" spans="1:16" x14ac:dyDescent="0.3">
      <c r="A5">
        <v>30</v>
      </c>
      <c r="B5">
        <f t="shared" ca="1" si="0"/>
        <v>9.7092632949529363E-3</v>
      </c>
      <c r="C5">
        <f t="shared" ca="1" si="1"/>
        <v>79.825215210083286</v>
      </c>
      <c r="D5">
        <f t="shared" ca="1" si="2"/>
        <v>6.0422356978866859E-4</v>
      </c>
      <c r="E5">
        <f t="shared" ca="1" si="3"/>
        <v>26.832572830708411</v>
      </c>
      <c r="F5">
        <f t="shared" ca="1" si="4"/>
        <v>2.0149303090179232E-4</v>
      </c>
      <c r="G5">
        <f t="shared" ca="1" si="5"/>
        <v>-33.803404164170821</v>
      </c>
      <c r="H5">
        <f t="shared" ca="1" si="6"/>
        <v>0.54569761789013138</v>
      </c>
      <c r="I5">
        <f t="shared" ca="1" si="7"/>
        <v>111.67603707043078</v>
      </c>
      <c r="J5">
        <f t="shared" ca="1" si="8"/>
        <v>0.54569761789013138</v>
      </c>
      <c r="K5">
        <f t="shared" ca="1" si="9"/>
        <v>63.925838828336772</v>
      </c>
      <c r="L5">
        <f t="shared" ca="1" si="10"/>
        <v>0.24064171122994654</v>
      </c>
      <c r="M5">
        <f t="shared" ca="1" si="11"/>
        <v>92.983393373529211</v>
      </c>
      <c r="N5">
        <f t="shared" ca="1" si="12"/>
        <v>4.0106951871657755E-2</v>
      </c>
      <c r="O5">
        <f t="shared" ca="1" si="13"/>
        <v>54.843232538078993</v>
      </c>
      <c r="P5">
        <f t="shared" ca="1" si="14"/>
        <v>111.73720619667286</v>
      </c>
    </row>
    <row r="6" spans="1:16" x14ac:dyDescent="0.3">
      <c r="A6">
        <v>40</v>
      </c>
      <c r="B6">
        <f t="shared" ca="1" si="0"/>
        <v>1.2945684393270582E-2</v>
      </c>
      <c r="C6">
        <f t="shared" ca="1" si="1"/>
        <v>84.296006404842984</v>
      </c>
      <c r="D6">
        <f t="shared" ca="1" si="2"/>
        <v>8.0563142638489149E-4</v>
      </c>
      <c r="E6">
        <f t="shared" ca="1" si="3"/>
        <v>31.821327502306296</v>
      </c>
      <c r="F6">
        <f t="shared" ca="1" si="4"/>
        <v>2.6865737453572307E-4</v>
      </c>
      <c r="G6">
        <f t="shared" ca="1" si="5"/>
        <v>-28.807549962970562</v>
      </c>
      <c r="H6">
        <f t="shared" ca="1" si="6"/>
        <v>0.72759682385350855</v>
      </c>
      <c r="I6">
        <f t="shared" ca="1" si="7"/>
        <v>110.98887401908513</v>
      </c>
      <c r="J6">
        <f t="shared" ca="1" si="8"/>
        <v>0.72759682385350855</v>
      </c>
      <c r="K6">
        <f t="shared" ca="1" si="9"/>
        <v>66.249350224541786</v>
      </c>
      <c r="L6">
        <f t="shared" ca="1" si="10"/>
        <v>0.32085561497326204</v>
      </c>
      <c r="M6">
        <f t="shared" ca="1" si="11"/>
        <v>95.447184126286743</v>
      </c>
      <c r="N6">
        <f t="shared" ca="1" si="12"/>
        <v>5.3475935828877004E-2</v>
      </c>
      <c r="O6">
        <f t="shared" ca="1" si="13"/>
        <v>54.843232538070275</v>
      </c>
      <c r="P6">
        <f t="shared" ca="1" si="14"/>
        <v>111.11763445380275</v>
      </c>
    </row>
    <row r="7" spans="1:16" x14ac:dyDescent="0.3">
      <c r="A7">
        <v>50</v>
      </c>
      <c r="B7">
        <f t="shared" ca="1" si="0"/>
        <v>1.6182105491588227E-2</v>
      </c>
      <c r="C7">
        <f t="shared" ca="1" si="1"/>
        <v>87.593634389420032</v>
      </c>
      <c r="D7">
        <f t="shared" ca="1" si="2"/>
        <v>1.0070392829811142E-3</v>
      </c>
      <c r="E7">
        <f t="shared" ca="1" si="3"/>
        <v>35.687757677802587</v>
      </c>
      <c r="F7">
        <f t="shared" ca="1" si="4"/>
        <v>3.3582171816965388E-4</v>
      </c>
      <c r="G7">
        <f t="shared" ca="1" si="5"/>
        <v>-24.933072140441848</v>
      </c>
      <c r="H7">
        <f t="shared" ca="1" si="6"/>
        <v>0.90949602981688571</v>
      </c>
      <c r="I7">
        <f t="shared" ca="1" si="7"/>
        <v>110.45586894754082</v>
      </c>
      <c r="J7">
        <f t="shared" ca="1" si="8"/>
        <v>0.90949602981688571</v>
      </c>
      <c r="K7">
        <f t="shared" ca="1" si="9"/>
        <v>67.966734573988575</v>
      </c>
      <c r="L7">
        <f t="shared" ca="1" si="10"/>
        <v>0.40106951871657753</v>
      </c>
      <c r="M7">
        <f t="shared" ca="1" si="11"/>
        <v>97.340588241819219</v>
      </c>
      <c r="N7">
        <f t="shared" ca="1" si="12"/>
        <v>6.684491978609626E-2</v>
      </c>
      <c r="O7">
        <f t="shared" ca="1" si="13"/>
        <v>54.843232538022249</v>
      </c>
      <c r="P7">
        <f t="shared" ca="1" si="14"/>
        <v>110.68443334358088</v>
      </c>
    </row>
    <row r="8" spans="1:16" x14ac:dyDescent="0.3">
      <c r="A8">
        <v>60</v>
      </c>
      <c r="B8">
        <f t="shared" ca="1" si="0"/>
        <v>1.9418526589905873E-2</v>
      </c>
      <c r="C8">
        <f t="shared" ca="1" si="1"/>
        <v>90.14259586374763</v>
      </c>
      <c r="D8">
        <f t="shared" ca="1" si="2"/>
        <v>1.2084471395773372E-3</v>
      </c>
      <c r="E8">
        <f t="shared" ca="1" si="3"/>
        <v>38.843989663914769</v>
      </c>
      <c r="F8">
        <f t="shared" ca="1" si="4"/>
        <v>4.0298606180358464E-4</v>
      </c>
      <c r="G8">
        <f t="shared" ca="1" si="5"/>
        <v>-21.767948036268749</v>
      </c>
      <c r="H8">
        <f t="shared" ca="1" si="6"/>
        <v>1.0913952357802628</v>
      </c>
      <c r="I8">
        <f t="shared" ca="1" si="7"/>
        <v>110.02037209427888</v>
      </c>
      <c r="J8">
        <f t="shared" ca="1" si="8"/>
        <v>1.0913952357802628</v>
      </c>
      <c r="K8">
        <f t="shared" ca="1" si="9"/>
        <v>69.287078844933149</v>
      </c>
      <c r="L8">
        <f t="shared" ca="1" si="10"/>
        <v>0.48128342245989308</v>
      </c>
      <c r="M8">
        <f t="shared" ca="1" si="11"/>
        <v>98.869739742887774</v>
      </c>
      <c r="N8">
        <f t="shared" ca="1" si="12"/>
        <v>8.0213903743315509E-2</v>
      </c>
      <c r="O8">
        <f t="shared" ca="1" si="13"/>
        <v>54.843232537831845</v>
      </c>
      <c r="P8">
        <f t="shared" ca="1" si="14"/>
        <v>110.38305898508378</v>
      </c>
    </row>
    <row r="9" spans="1:16" x14ac:dyDescent="0.3">
      <c r="A9">
        <v>70</v>
      </c>
      <c r="B9">
        <f t="shared" ca="1" si="0"/>
        <v>2.2654947688223522E-2</v>
      </c>
      <c r="C9">
        <f t="shared" ca="1" si="1"/>
        <v>92.172316366905633</v>
      </c>
      <c r="D9">
        <f t="shared" ca="1" si="2"/>
        <v>1.40985499617356E-3</v>
      </c>
      <c r="E9">
        <f t="shared" ca="1" si="3"/>
        <v>41.509890325563703</v>
      </c>
      <c r="F9">
        <f t="shared" ca="1" si="4"/>
        <v>4.7015040543751539E-4</v>
      </c>
      <c r="G9">
        <f t="shared" ca="1" si="5"/>
        <v>-19.092387303191444</v>
      </c>
      <c r="H9">
        <f t="shared" ca="1" si="6"/>
        <v>1.27329444174364</v>
      </c>
      <c r="I9">
        <f t="shared" ca="1" si="7"/>
        <v>109.65216475131051</v>
      </c>
      <c r="J9">
        <f t="shared" ca="1" si="8"/>
        <v>1.27329444174364</v>
      </c>
      <c r="K9">
        <f t="shared" ca="1" si="9"/>
        <v>70.323742861376303</v>
      </c>
      <c r="L9">
        <f t="shared" ca="1" si="10"/>
        <v>0.56149732620320858</v>
      </c>
      <c r="M9">
        <f t="shared" ca="1" si="11"/>
        <v>100.14468693589816</v>
      </c>
      <c r="N9">
        <f t="shared" ca="1" si="12"/>
        <v>9.3582887700534759E-2</v>
      </c>
      <c r="O9">
        <f t="shared" ca="1" si="13"/>
        <v>54.84323253722836</v>
      </c>
      <c r="P9">
        <f t="shared" ca="1" si="14"/>
        <v>110.18292804700785</v>
      </c>
    </row>
    <row r="10" spans="1:16" x14ac:dyDescent="0.3">
      <c r="A10">
        <v>80</v>
      </c>
      <c r="B10">
        <f t="shared" ca="1" si="0"/>
        <v>2.5891368786541163E-2</v>
      </c>
      <c r="C10">
        <f t="shared" ca="1" si="1"/>
        <v>93.821655936748115</v>
      </c>
      <c r="D10">
        <f t="shared" ca="1" si="2"/>
        <v>1.611262852769783E-3</v>
      </c>
      <c r="E10">
        <f t="shared" ca="1" si="3"/>
        <v>43.81671776312136</v>
      </c>
      <c r="F10">
        <f t="shared" ca="1" si="4"/>
        <v>5.3731474907144615E-4</v>
      </c>
      <c r="G10">
        <f t="shared" ca="1" si="5"/>
        <v>-16.775191487701232</v>
      </c>
      <c r="H10">
        <f t="shared" ca="1" si="6"/>
        <v>1.4551936477070171</v>
      </c>
      <c r="I10">
        <f t="shared" ca="1" si="7"/>
        <v>109.33320904293323</v>
      </c>
      <c r="J10">
        <f t="shared" ca="1" si="8"/>
        <v>1.4551936477070171</v>
      </c>
      <c r="K10">
        <f t="shared" ca="1" si="9"/>
        <v>71.146043372438029</v>
      </c>
      <c r="L10">
        <f t="shared" ca="1" si="10"/>
        <v>0.64171122994652408</v>
      </c>
      <c r="M10">
        <f t="shared" ca="1" si="11"/>
        <v>101.23120982602975</v>
      </c>
      <c r="N10">
        <f t="shared" ca="1" si="12"/>
        <v>0.10695187165775401</v>
      </c>
      <c r="O10">
        <f t="shared" ca="1" si="13"/>
        <v>54.843232535601565</v>
      </c>
      <c r="P10">
        <f t="shared" ca="1" si="14"/>
        <v>110.06333172723359</v>
      </c>
    </row>
    <row r="11" spans="1:16" x14ac:dyDescent="0.3">
      <c r="A11">
        <v>90</v>
      </c>
      <c r="B11">
        <f t="shared" ca="1" si="0"/>
        <v>2.9127789884858809E-2</v>
      </c>
      <c r="C11">
        <f t="shared" ca="1" si="1"/>
        <v>95.181429820289623</v>
      </c>
      <c r="D11">
        <f t="shared" ca="1" si="2"/>
        <v>1.8126707093660058E-3</v>
      </c>
      <c r="E11">
        <f t="shared" ca="1" si="3"/>
        <v>45.849148198485466</v>
      </c>
      <c r="F11">
        <f t="shared" ca="1" si="4"/>
        <v>6.0447909270537701E-4</v>
      </c>
      <c r="G11">
        <f t="shared" ca="1" si="5"/>
        <v>-14.731732667154544</v>
      </c>
      <c r="H11">
        <f t="shared" ca="1" si="6"/>
        <v>1.6370928536703939</v>
      </c>
      <c r="I11">
        <f t="shared" ca="1" si="7"/>
        <v>109.05187016947265</v>
      </c>
      <c r="J11">
        <f t="shared" ca="1" si="8"/>
        <v>1.6370928536703939</v>
      </c>
      <c r="K11">
        <f t="shared" ca="1" si="9"/>
        <v>71.800135965097056</v>
      </c>
      <c r="L11">
        <f t="shared" ca="1" si="10"/>
        <v>0.72192513368983957</v>
      </c>
      <c r="M11">
        <f t="shared" ca="1" si="11"/>
        <v>102.17182836120598</v>
      </c>
      <c r="N11">
        <f t="shared" ca="1" si="12"/>
        <v>0.12032085561497327</v>
      </c>
      <c r="O11">
        <f t="shared" ca="1" si="13"/>
        <v>54.843232531720936</v>
      </c>
      <c r="P11">
        <f t="shared" ca="1" si="14"/>
        <v>110.00817646483765</v>
      </c>
    </row>
    <row r="12" spans="1:16" x14ac:dyDescent="0.3">
      <c r="A12">
        <v>100</v>
      </c>
      <c r="B12">
        <f t="shared" ca="1" si="0"/>
        <v>3.2364210983176454E-2</v>
      </c>
      <c r="C12">
        <f t="shared" ca="1" si="1"/>
        <v>96.314460879557828</v>
      </c>
      <c r="D12">
        <f t="shared" ca="1" si="2"/>
        <v>2.0140785659622283E-3</v>
      </c>
      <c r="E12">
        <f t="shared" ca="1" si="3"/>
        <v>47.665006841168804</v>
      </c>
      <c r="F12">
        <f t="shared" ca="1" si="4"/>
        <v>6.7164343633930776E-4</v>
      </c>
      <c r="G12">
        <f t="shared" ca="1" si="5"/>
        <v>-12.9042258614469</v>
      </c>
      <c r="H12">
        <f t="shared" ca="1" si="6"/>
        <v>1.8189920596337714</v>
      </c>
      <c r="I12">
        <f t="shared" ca="1" si="7"/>
        <v>108.80020397138892</v>
      </c>
      <c r="J12">
        <f t="shared" ca="1" si="8"/>
        <v>1.8189920596337714</v>
      </c>
      <c r="K12">
        <f t="shared" ca="1" si="9"/>
        <v>72.31876423104265</v>
      </c>
      <c r="L12">
        <f t="shared" ca="1" si="10"/>
        <v>0.80213903743315507</v>
      </c>
      <c r="M12">
        <f t="shared" ca="1" si="11"/>
        <v>102.99566388317528</v>
      </c>
      <c r="N12">
        <f t="shared" ca="1" si="12"/>
        <v>0.13368983957219252</v>
      </c>
      <c r="O12">
        <f t="shared" ca="1" si="13"/>
        <v>54.843232523307591</v>
      </c>
      <c r="P12">
        <f t="shared" ca="1" si="14"/>
        <v>110.00397086781462</v>
      </c>
    </row>
    <row r="13" spans="1:16" x14ac:dyDescent="0.3">
      <c r="A13">
        <v>200</v>
      </c>
      <c r="B13">
        <f t="shared" ca="1" si="0"/>
        <v>6.4728421966352909E-2</v>
      </c>
      <c r="C13">
        <f t="shared" ca="1" si="1"/>
        <v>101.40386931455956</v>
      </c>
      <c r="D13">
        <f t="shared" ca="1" si="2"/>
        <v>4.0281571319244567E-3</v>
      </c>
      <c r="E13">
        <f t="shared" ca="1" si="3"/>
        <v>59.526591180800878</v>
      </c>
      <c r="F13">
        <f t="shared" ca="1" si="4"/>
        <v>1.3432868726786155E-3</v>
      </c>
      <c r="G13">
        <f t="shared" ca="1" si="5"/>
        <v>-0.89791965525457973</v>
      </c>
      <c r="H13">
        <f t="shared" ca="1" si="6"/>
        <v>3.6379841192675428</v>
      </c>
      <c r="I13">
        <f t="shared" ca="1" si="7"/>
        <v>107.14453899523703</v>
      </c>
      <c r="J13">
        <f t="shared" ca="1" si="8"/>
        <v>3.6379841192675428</v>
      </c>
      <c r="K13">
        <f t="shared" ca="1" si="9"/>
        <v>73.577780832078957</v>
      </c>
      <c r="L13">
        <f t="shared" ca="1" si="10"/>
        <v>1.6042780748663101</v>
      </c>
      <c r="M13">
        <f t="shared" ca="1" si="11"/>
        <v>107.67725541469319</v>
      </c>
      <c r="N13">
        <f t="shared" ca="1" si="12"/>
        <v>0.26737967914438504</v>
      </c>
      <c r="O13">
        <f t="shared" ca="1" si="13"/>
        <v>54.843228756354051</v>
      </c>
      <c r="P13">
        <f t="shared" ca="1" si="14"/>
        <v>110.94232551068258</v>
      </c>
    </row>
    <row r="14" spans="1:16" x14ac:dyDescent="0.3">
      <c r="A14">
        <v>300</v>
      </c>
      <c r="B14">
        <f t="shared" ca="1" si="0"/>
        <v>9.709263294952937E-2</v>
      </c>
      <c r="C14">
        <f t="shared" ca="1" si="1"/>
        <v>102.26966508885737</v>
      </c>
      <c r="D14">
        <f t="shared" ca="1" si="2"/>
        <v>6.0422356978866859E-3</v>
      </c>
      <c r="E14">
        <f t="shared" ca="1" si="3"/>
        <v>66.340373992979352</v>
      </c>
      <c r="F14">
        <f t="shared" ca="1" si="4"/>
        <v>2.0149303090179231E-3</v>
      </c>
      <c r="G14">
        <f t="shared" ca="1" si="5"/>
        <v>6.1006490416270776</v>
      </c>
      <c r="H14">
        <f t="shared" ca="1" si="6"/>
        <v>5.4569761789013134</v>
      </c>
      <c r="I14">
        <f t="shared" ca="1" si="7"/>
        <v>106.17603707043079</v>
      </c>
      <c r="J14">
        <f t="shared" ca="1" si="8"/>
        <v>5.4569761789013134</v>
      </c>
      <c r="K14">
        <f t="shared" ca="1" si="9"/>
        <v>72.248661817706278</v>
      </c>
      <c r="L14">
        <f t="shared" ca="1" si="10"/>
        <v>2.4064171122994655</v>
      </c>
      <c r="M14">
        <f t="shared" ca="1" si="11"/>
        <v>109.3087739800028</v>
      </c>
      <c r="N14">
        <f t="shared" ca="1" si="12"/>
        <v>0.40106951871657753</v>
      </c>
      <c r="O14">
        <f t="shared" ca="1" si="13"/>
        <v>54.843135617620256</v>
      </c>
      <c r="P14">
        <f t="shared" ca="1" si="14"/>
        <v>111.57242475180928</v>
      </c>
    </row>
    <row r="15" spans="1:16" x14ac:dyDescent="0.3">
      <c r="A15">
        <v>400</v>
      </c>
      <c r="B15">
        <f t="shared" ca="1" si="0"/>
        <v>0.12945684393270582</v>
      </c>
      <c r="C15">
        <f t="shared" ca="1" si="1"/>
        <v>101.99748631629448</v>
      </c>
      <c r="D15">
        <f t="shared" ca="1" si="2"/>
        <v>8.0563142638489134E-3</v>
      </c>
      <c r="E15">
        <f t="shared" ca="1" si="3"/>
        <v>71.06959167654162</v>
      </c>
      <c r="F15">
        <f t="shared" ca="1" si="4"/>
        <v>2.6865737453572311E-3</v>
      </c>
      <c r="G15">
        <f t="shared" ca="1" si="5"/>
        <v>11.044963900980971</v>
      </c>
      <c r="H15">
        <f t="shared" ca="1" si="6"/>
        <v>7.2759682385350857</v>
      </c>
      <c r="I15">
        <f t="shared" ca="1" si="7"/>
        <v>105.48887401908515</v>
      </c>
      <c r="J15">
        <f t="shared" ca="1" si="8"/>
        <v>7.2759682385350857</v>
      </c>
      <c r="K15">
        <f t="shared" ca="1" si="9"/>
        <v>70.478716156502543</v>
      </c>
      <c r="L15">
        <f t="shared" ca="1" si="10"/>
        <v>3.2085561497326203</v>
      </c>
      <c r="M15">
        <f t="shared" ca="1" si="11"/>
        <v>109.65648847953597</v>
      </c>
      <c r="N15">
        <f t="shared" ca="1" si="12"/>
        <v>0.53475935828877008</v>
      </c>
      <c r="O15">
        <f t="shared" ca="1" si="13"/>
        <v>54.842264523713773</v>
      </c>
      <c r="P15">
        <f t="shared" ca="1" si="14"/>
        <v>111.5730460828707</v>
      </c>
    </row>
    <row r="16" spans="1:16" x14ac:dyDescent="0.3">
      <c r="A16">
        <v>500</v>
      </c>
      <c r="B16">
        <f t="shared" ca="1" si="0"/>
        <v>0.16182105491588228</v>
      </c>
      <c r="C16">
        <f t="shared" ca="1" si="1"/>
        <v>101.3590449821438</v>
      </c>
      <c r="D16">
        <f t="shared" ca="1" si="2"/>
        <v>1.0070392829811143E-2</v>
      </c>
      <c r="E16">
        <f t="shared" ca="1" si="3"/>
        <v>74.646563661820352</v>
      </c>
      <c r="F16">
        <f t="shared" ca="1" si="4"/>
        <v>3.3582171816965386E-3</v>
      </c>
      <c r="G16">
        <f t="shared" ca="1" si="5"/>
        <v>14.861178437149645</v>
      </c>
      <c r="H16">
        <f t="shared" ca="1" si="6"/>
        <v>9.0949602981688553</v>
      </c>
      <c r="I16">
        <f t="shared" ca="1" si="7"/>
        <v>104.95586894754082</v>
      </c>
      <c r="J16">
        <f t="shared" ca="1" si="8"/>
        <v>9.0949602981688553</v>
      </c>
      <c r="K16">
        <f t="shared" ca="1" si="9"/>
        <v>68.752137904453761</v>
      </c>
      <c r="L16">
        <f t="shared" ca="1" si="10"/>
        <v>4.0106951871657754</v>
      </c>
      <c r="M16">
        <f t="shared" ca="1" si="11"/>
        <v>109.38266741989666</v>
      </c>
      <c r="N16">
        <f t="shared" ca="1" si="12"/>
        <v>0.66844919786096257</v>
      </c>
      <c r="O16">
        <f t="shared" ca="1" si="13"/>
        <v>54.837465909964756</v>
      </c>
      <c r="P16">
        <f t="shared" ca="1" si="14"/>
        <v>111.1979597633503</v>
      </c>
    </row>
    <row r="17" spans="1:16" x14ac:dyDescent="0.3">
      <c r="A17">
        <v>600</v>
      </c>
      <c r="B17">
        <f t="shared" ca="1" si="0"/>
        <v>0.19418526589905874</v>
      </c>
      <c r="C17">
        <f t="shared" ca="1" si="1"/>
        <v>100.6073388771877</v>
      </c>
      <c r="D17">
        <f t="shared" ca="1" si="2"/>
        <v>1.2084471395773372E-2</v>
      </c>
      <c r="E17">
        <f t="shared" ca="1" si="3"/>
        <v>77.488626051201578</v>
      </c>
      <c r="F17">
        <f t="shared" ca="1" si="4"/>
        <v>4.0298606180358462E-3</v>
      </c>
      <c r="G17">
        <f t="shared" ca="1" si="5"/>
        <v>17.962120663784276</v>
      </c>
      <c r="H17">
        <f t="shared" ca="1" si="6"/>
        <v>10.913952357802627</v>
      </c>
      <c r="I17">
        <f t="shared" ca="1" si="7"/>
        <v>104.52037209427888</v>
      </c>
      <c r="J17">
        <f t="shared" ca="1" si="8"/>
        <v>10.913952357802627</v>
      </c>
      <c r="K17">
        <f t="shared" ca="1" si="9"/>
        <v>67.172649218497142</v>
      </c>
      <c r="L17">
        <f t="shared" ca="1" si="10"/>
        <v>4.8128342245989311</v>
      </c>
      <c r="M17">
        <f t="shared" ca="1" si="11"/>
        <v>108.80462837643145</v>
      </c>
      <c r="N17">
        <f t="shared" ca="1" si="12"/>
        <v>0.80213903743315507</v>
      </c>
      <c r="O17">
        <f t="shared" ca="1" si="13"/>
        <v>54.8184912318819</v>
      </c>
      <c r="P17">
        <f t="shared" ca="1" si="14"/>
        <v>110.6377437358891</v>
      </c>
    </row>
    <row r="18" spans="1:16" x14ac:dyDescent="0.3">
      <c r="A18">
        <v>700</v>
      </c>
      <c r="B18">
        <f t="shared" ca="1" si="0"/>
        <v>0.2265494768822352</v>
      </c>
      <c r="C18">
        <f t="shared" ca="1" si="1"/>
        <v>99.836908027778151</v>
      </c>
      <c r="D18">
        <f t="shared" ca="1" si="2"/>
        <v>1.4098549961735599E-2</v>
      </c>
      <c r="E18">
        <f t="shared" ca="1" si="3"/>
        <v>79.819719842252937</v>
      </c>
      <c r="F18">
        <f t="shared" ca="1" si="4"/>
        <v>4.7015040543751541E-3</v>
      </c>
      <c r="G18">
        <f t="shared" ca="1" si="5"/>
        <v>20.568187215244521</v>
      </c>
      <c r="H18">
        <f t="shared" ca="1" si="6"/>
        <v>12.732944417436398</v>
      </c>
      <c r="I18">
        <f t="shared" ca="1" si="7"/>
        <v>104.15216475131052</v>
      </c>
      <c r="J18">
        <f t="shared" ca="1" si="8"/>
        <v>12.732944417436398</v>
      </c>
      <c r="K18">
        <f t="shared" ca="1" si="9"/>
        <v>65.748353209664273</v>
      </c>
      <c r="L18">
        <f t="shared" ca="1" si="10"/>
        <v>5.6149732620320858</v>
      </c>
      <c r="M18">
        <f t="shared" ca="1" si="11"/>
        <v>108.08468375468551</v>
      </c>
      <c r="N18">
        <f t="shared" ca="1" si="12"/>
        <v>0.93582887700534767</v>
      </c>
      <c r="O18">
        <f t="shared" ca="1" si="13"/>
        <v>54.75889692827878</v>
      </c>
      <c r="P18">
        <f t="shared" ca="1" si="14"/>
        <v>110.00365094765434</v>
      </c>
    </row>
    <row r="19" spans="1:16" x14ac:dyDescent="0.3">
      <c r="A19">
        <v>800</v>
      </c>
      <c r="B19">
        <f t="shared" ca="1" si="0"/>
        <v>0.25891368786541163</v>
      </c>
      <c r="C19">
        <f t="shared" ca="1" si="1"/>
        <v>99.085052308981872</v>
      </c>
      <c r="D19">
        <f t="shared" ca="1" si="2"/>
        <v>1.6112628527697827E-2</v>
      </c>
      <c r="E19">
        <f t="shared" ca="1" si="3"/>
        <v>81.774430092174924</v>
      </c>
      <c r="F19">
        <f t="shared" ca="1" si="4"/>
        <v>5.3731474907144621E-3</v>
      </c>
      <c r="G19">
        <f t="shared" ca="1" si="5"/>
        <v>22.811058614188951</v>
      </c>
      <c r="H19">
        <f t="shared" ca="1" si="6"/>
        <v>14.551936477070171</v>
      </c>
      <c r="I19">
        <f t="shared" ca="1" si="7"/>
        <v>103.83320904293325</v>
      </c>
      <c r="J19">
        <f t="shared" ca="1" si="8"/>
        <v>14.551936477070171</v>
      </c>
      <c r="K19">
        <f t="shared" ca="1" si="9"/>
        <v>64.463881354824196</v>
      </c>
      <c r="L19">
        <f t="shared" ca="1" si="10"/>
        <v>6.4171122994652405</v>
      </c>
      <c r="M19">
        <f t="shared" ca="1" si="11"/>
        <v>107.30774804491374</v>
      </c>
      <c r="N19">
        <f t="shared" ca="1" si="12"/>
        <v>1.0695187165775402</v>
      </c>
      <c r="O19">
        <f t="shared" ca="1" si="13"/>
        <v>54.602206947245293</v>
      </c>
      <c r="P19">
        <f t="shared" ca="1" si="14"/>
        <v>109.35635549470832</v>
      </c>
    </row>
    <row r="20" spans="1:16" x14ac:dyDescent="0.3">
      <c r="A20">
        <v>900</v>
      </c>
      <c r="B20">
        <f t="shared" ca="1" si="0"/>
        <v>0.29127789884858812</v>
      </c>
      <c r="C20">
        <f t="shared" ca="1" si="1"/>
        <v>98.366109859656845</v>
      </c>
      <c r="D20">
        <f t="shared" ca="1" si="2"/>
        <v>1.8126707093660058E-2</v>
      </c>
      <c r="E20">
        <f t="shared" ca="1" si="3"/>
        <v>83.440223920975214</v>
      </c>
      <c r="F20">
        <f t="shared" ca="1" si="4"/>
        <v>6.0447909270537701E-3</v>
      </c>
      <c r="G20">
        <f t="shared" ca="1" si="5"/>
        <v>24.77576091367926</v>
      </c>
      <c r="H20">
        <f t="shared" ca="1" si="6"/>
        <v>16.370928536703939</v>
      </c>
      <c r="I20">
        <f t="shared" ca="1" si="7"/>
        <v>103.55187016947264</v>
      </c>
      <c r="J20">
        <f t="shared" ca="1" si="8"/>
        <v>16.370928536703939</v>
      </c>
      <c r="K20">
        <f t="shared" ca="1" si="9"/>
        <v>63.300054005011461</v>
      </c>
      <c r="L20">
        <f t="shared" ca="1" si="10"/>
        <v>7.2192513368983962</v>
      </c>
      <c r="M20">
        <f t="shared" ca="1" si="11"/>
        <v>106.51856599065621</v>
      </c>
      <c r="N20">
        <f t="shared" ca="1" si="12"/>
        <v>1.2032085561497328</v>
      </c>
      <c r="O20">
        <f t="shared" ca="1" si="13"/>
        <v>54.249787800702897</v>
      </c>
      <c r="P20">
        <f t="shared" ca="1" si="14"/>
        <v>108.72760195046304</v>
      </c>
    </row>
    <row r="21" spans="1:16" x14ac:dyDescent="0.3">
      <c r="A21">
        <v>1000</v>
      </c>
      <c r="B21">
        <f t="shared" ca="1" si="0"/>
        <v>0.32364210983176456</v>
      </c>
      <c r="C21">
        <f t="shared" ca="1" si="1"/>
        <v>97.684602536556255</v>
      </c>
      <c r="D21">
        <f t="shared" ca="1" si="2"/>
        <v>2.0140785659622285E-2</v>
      </c>
      <c r="E21">
        <f t="shared" ca="1" si="3"/>
        <v>84.877308954107974</v>
      </c>
      <c r="F21">
        <f t="shared" ca="1" si="4"/>
        <v>6.7164343633930772E-3</v>
      </c>
      <c r="G21">
        <f t="shared" ca="1" si="5"/>
        <v>26.520417174783319</v>
      </c>
      <c r="H21">
        <f t="shared" ca="1" si="6"/>
        <v>18.189920596337711</v>
      </c>
      <c r="I21">
        <f t="shared" ca="1" si="7"/>
        <v>103.30020397138894</v>
      </c>
      <c r="J21">
        <f t="shared" ca="1" si="8"/>
        <v>18.189920596337711</v>
      </c>
      <c r="K21">
        <f t="shared" ca="1" si="9"/>
        <v>62.239203407616621</v>
      </c>
      <c r="L21">
        <f t="shared" ca="1" si="10"/>
        <v>8.0213903743315509</v>
      </c>
      <c r="M21">
        <f t="shared" ca="1" si="11"/>
        <v>105.74054848723711</v>
      </c>
      <c r="N21">
        <f t="shared" ca="1" si="12"/>
        <v>1.3368983957219251</v>
      </c>
      <c r="O21">
        <f t="shared" ca="1" si="13"/>
        <v>53.57170988554833</v>
      </c>
      <c r="P21">
        <f t="shared" ca="1" si="14"/>
        <v>108.13311253514914</v>
      </c>
    </row>
    <row r="22" spans="1:16" x14ac:dyDescent="0.3">
      <c r="A22">
        <v>2000</v>
      </c>
      <c r="B22">
        <f t="shared" ca="1" si="0"/>
        <v>0.64728421966352911</v>
      </c>
      <c r="C22">
        <f t="shared" ca="1" si="1"/>
        <v>92.575624176493932</v>
      </c>
      <c r="D22">
        <f t="shared" ca="1" si="2"/>
        <v>4.028157131924457E-2</v>
      </c>
      <c r="E22">
        <f t="shared" ca="1" si="3"/>
        <v>92.631018799215155</v>
      </c>
      <c r="F22">
        <f t="shared" ca="1" si="4"/>
        <v>1.3432868726786154E-2</v>
      </c>
      <c r="G22">
        <f t="shared" ca="1" si="5"/>
        <v>37.52463412144202</v>
      </c>
      <c r="H22">
        <f t="shared" ca="1" si="6"/>
        <v>36.379841192675421</v>
      </c>
      <c r="I22">
        <f t="shared" ca="1" si="7"/>
        <v>101.64453899523704</v>
      </c>
      <c r="J22">
        <f t="shared" ca="1" si="8"/>
        <v>36.379841192675421</v>
      </c>
      <c r="K22">
        <f t="shared" ca="1" si="9"/>
        <v>54.983954571171417</v>
      </c>
      <c r="L22">
        <f t="shared" ca="1" si="10"/>
        <v>16.042780748663102</v>
      </c>
      <c r="M22">
        <f t="shared" ca="1" si="11"/>
        <v>99.486199530590397</v>
      </c>
      <c r="N22">
        <f t="shared" ca="1" si="12"/>
        <v>2.6737967914438503</v>
      </c>
      <c r="O22">
        <f t="shared" ca="1" si="13"/>
        <v>35.394582987013685</v>
      </c>
      <c r="P22">
        <f t="shared" ca="1" si="14"/>
        <v>104.33453235048857</v>
      </c>
    </row>
    <row r="23" spans="1:16" x14ac:dyDescent="0.3">
      <c r="A23">
        <v>3000</v>
      </c>
      <c r="B23">
        <f t="shared" ca="1" si="0"/>
        <v>0.97092632949529367</v>
      </c>
      <c r="C23">
        <f t="shared" ca="1" si="1"/>
        <v>89.288634413470547</v>
      </c>
      <c r="D23">
        <f t="shared" ca="1" si="2"/>
        <v>6.0422356978866859E-2</v>
      </c>
      <c r="E23">
        <f t="shared" ca="1" si="3"/>
        <v>95.342653950531556</v>
      </c>
      <c r="F23">
        <f t="shared" ca="1" si="4"/>
        <v>2.0149303090179229E-2</v>
      </c>
      <c r="G23">
        <f t="shared" ca="1" si="5"/>
        <v>43.311326589151093</v>
      </c>
      <c r="H23">
        <f t="shared" ca="1" si="6"/>
        <v>54.569761789013135</v>
      </c>
      <c r="I23">
        <f t="shared" ca="1" si="7"/>
        <v>100.67603707043078</v>
      </c>
      <c r="J23">
        <f t="shared" ca="1" si="8"/>
        <v>54.569761789013135</v>
      </c>
      <c r="K23">
        <f t="shared" ca="1" si="9"/>
        <v>50.632598135047537</v>
      </c>
      <c r="L23">
        <f t="shared" ca="1" si="10"/>
        <v>24.064171122994654</v>
      </c>
      <c r="M23">
        <f t="shared" ca="1" si="11"/>
        <v>95.338657973724395</v>
      </c>
      <c r="N23">
        <f t="shared" ca="1" si="12"/>
        <v>4.0106951871657754</v>
      </c>
      <c r="O23">
        <f t="shared" ca="1" si="13"/>
        <v>21.354926948192304</v>
      </c>
      <c r="P23">
        <f t="shared" ca="1" si="14"/>
        <v>102.87219308417073</v>
      </c>
    </row>
    <row r="24" spans="1:16" x14ac:dyDescent="0.3">
      <c r="A24">
        <v>4000</v>
      </c>
      <c r="B24">
        <f t="shared" ca="1" si="0"/>
        <v>1.2945684393270582</v>
      </c>
      <c r="C24">
        <f t="shared" ca="1" si="1"/>
        <v>86.889130300898046</v>
      </c>
      <c r="D24">
        <f t="shared" ca="1" si="2"/>
        <v>8.0563142638489141E-2</v>
      </c>
      <c r="E24">
        <f t="shared" ca="1" si="3"/>
        <v>96.306606814310044</v>
      </c>
      <c r="F24">
        <f t="shared" ca="1" si="4"/>
        <v>2.6865737453572309E-2</v>
      </c>
      <c r="G24">
        <f t="shared" ca="1" si="5"/>
        <v>46.929232476511416</v>
      </c>
      <c r="H24">
        <f t="shared" ca="1" si="6"/>
        <v>72.759682385350843</v>
      </c>
      <c r="I24">
        <f t="shared" ca="1" si="7"/>
        <v>99.988874019085131</v>
      </c>
      <c r="J24">
        <f t="shared" ca="1" si="8"/>
        <v>72.759682385350843</v>
      </c>
      <c r="K24">
        <f t="shared" ca="1" si="9"/>
        <v>47.527016369675451</v>
      </c>
      <c r="L24">
        <f t="shared" ca="1" si="10"/>
        <v>32.085561497326204</v>
      </c>
      <c r="M24">
        <f t="shared" ca="1" si="11"/>
        <v>92.305940966934443</v>
      </c>
      <c r="N24">
        <f t="shared" ca="1" si="12"/>
        <v>5.3475935828877006</v>
      </c>
      <c r="O24">
        <f t="shared" ca="1" si="13"/>
        <v>11.361578790377365</v>
      </c>
      <c r="P24">
        <f t="shared" ca="1" si="14"/>
        <v>102.15794352559165</v>
      </c>
    </row>
    <row r="25" spans="1:16" x14ac:dyDescent="0.3">
      <c r="A25">
        <v>5000</v>
      </c>
      <c r="B25">
        <f t="shared" ca="1" si="0"/>
        <v>1.6182105491588228</v>
      </c>
      <c r="C25">
        <f t="shared" ca="1" si="1"/>
        <v>85.003491215836959</v>
      </c>
      <c r="D25">
        <f t="shared" ca="1" si="2"/>
        <v>0.10070392829811144</v>
      </c>
      <c r="E25">
        <f t="shared" ca="1" si="3"/>
        <v>96.515913187983358</v>
      </c>
      <c r="F25">
        <f t="shared" ca="1" si="4"/>
        <v>3.3582171816965385E-2</v>
      </c>
      <c r="G25">
        <f t="shared" ca="1" si="5"/>
        <v>49.362869107062501</v>
      </c>
      <c r="H25">
        <f t="shared" ca="1" si="6"/>
        <v>90.949602981688557</v>
      </c>
      <c r="I25">
        <f t="shared" ca="1" si="7"/>
        <v>99.455868947540836</v>
      </c>
      <c r="J25">
        <f t="shared" ca="1" si="8"/>
        <v>90.949602981688557</v>
      </c>
      <c r="K25">
        <f t="shared" ca="1" si="9"/>
        <v>45.112556105497738</v>
      </c>
      <c r="L25">
        <f t="shared" ca="1" si="10"/>
        <v>40.106951871657756</v>
      </c>
      <c r="M25">
        <f t="shared" ca="1" si="11"/>
        <v>89.925482628311443</v>
      </c>
      <c r="N25">
        <f t="shared" ca="1" si="12"/>
        <v>6.6844919786096257</v>
      </c>
      <c r="O25">
        <f t="shared" ca="1" si="13"/>
        <v>3.6089398819355534</v>
      </c>
      <c r="P25">
        <f t="shared" ca="1" si="14"/>
        <v>101.64508255875093</v>
      </c>
    </row>
    <row r="26" spans="1:16" x14ac:dyDescent="0.3">
      <c r="A26">
        <v>6000</v>
      </c>
      <c r="B26">
        <f t="shared" ca="1" si="0"/>
        <v>1.9418526589905873</v>
      </c>
      <c r="C26">
        <f t="shared" ca="1" si="1"/>
        <v>83.451578830149273</v>
      </c>
      <c r="D26">
        <f t="shared" ca="1" si="2"/>
        <v>0.12084471395773372</v>
      </c>
      <c r="E26">
        <f t="shared" ca="1" si="3"/>
        <v>96.365668049725116</v>
      </c>
      <c r="F26">
        <f t="shared" ca="1" si="4"/>
        <v>4.0298606180358458E-2</v>
      </c>
      <c r="G26">
        <f t="shared" ca="1" si="5"/>
        <v>51.062995425932691</v>
      </c>
      <c r="H26">
        <f t="shared" ca="1" si="6"/>
        <v>109.13952357802627</v>
      </c>
      <c r="I26">
        <f t="shared" ca="1" si="7"/>
        <v>99.020372094278883</v>
      </c>
      <c r="J26">
        <f t="shared" ca="1" si="8"/>
        <v>109.13952357802627</v>
      </c>
      <c r="K26">
        <f t="shared" ca="1" si="9"/>
        <v>43.137531146962786</v>
      </c>
      <c r="L26">
        <f t="shared" ca="1" si="10"/>
        <v>48.128342245989309</v>
      </c>
      <c r="M26">
        <f t="shared" ca="1" si="11"/>
        <v>87.969001854186473</v>
      </c>
      <c r="N26">
        <f t="shared" ca="1" si="12"/>
        <v>8.0213903743315509</v>
      </c>
      <c r="O26">
        <f t="shared" ca="1" si="13"/>
        <v>-2.7255347179096798</v>
      </c>
      <c r="P26">
        <f t="shared" ca="1" si="14"/>
        <v>101.19236931230226</v>
      </c>
    </row>
    <row r="27" spans="1:16" x14ac:dyDescent="0.3">
      <c r="A27">
        <v>7000</v>
      </c>
      <c r="B27">
        <f t="shared" ca="1" si="0"/>
        <v>2.2654947688223519</v>
      </c>
      <c r="C27">
        <f t="shared" ca="1" si="1"/>
        <v>82.133488611413668</v>
      </c>
      <c r="D27">
        <f t="shared" ca="1" si="2"/>
        <v>0.14098549961735601</v>
      </c>
      <c r="E27">
        <f t="shared" ca="1" si="3"/>
        <v>96.036181798384689</v>
      </c>
      <c r="F27">
        <f t="shared" ca="1" si="4"/>
        <v>4.7015040543751538E-2</v>
      </c>
      <c r="G27">
        <f t="shared" ca="1" si="5"/>
        <v>52.274909743045555</v>
      </c>
      <c r="H27">
        <f t="shared" ca="1" si="6"/>
        <v>127.32944417436399</v>
      </c>
      <c r="I27">
        <f t="shared" ca="1" si="7"/>
        <v>98.652164751310508</v>
      </c>
      <c r="J27">
        <f t="shared" ca="1" si="8"/>
        <v>127.32944417436399</v>
      </c>
      <c r="K27">
        <f t="shared" ca="1" si="9"/>
        <v>41.466579502835614</v>
      </c>
      <c r="L27">
        <f t="shared" ca="1" si="10"/>
        <v>56.149732620320854</v>
      </c>
      <c r="M27">
        <f t="shared" ca="1" si="11"/>
        <v>86.309257086630723</v>
      </c>
      <c r="N27">
        <f t="shared" ca="1" si="12"/>
        <v>9.3582887700534769</v>
      </c>
      <c r="O27">
        <f t="shared" ca="1" si="13"/>
        <v>-8.0812725015040137</v>
      </c>
      <c r="P27">
        <f t="shared" ca="1" si="14"/>
        <v>100.76909211340167</v>
      </c>
    </row>
    <row r="28" spans="1:16" x14ac:dyDescent="0.3">
      <c r="A28">
        <v>8000</v>
      </c>
      <c r="B28">
        <f t="shared" ca="1" si="0"/>
        <v>2.5891368786541165</v>
      </c>
      <c r="C28">
        <f t="shared" ca="1" si="1"/>
        <v>80.988209256630569</v>
      </c>
      <c r="D28">
        <f t="shared" ca="1" si="2"/>
        <v>0.16112628527697828</v>
      </c>
      <c r="E28">
        <f t="shared" ca="1" si="3"/>
        <v>95.617112380767765</v>
      </c>
      <c r="F28">
        <f t="shared" ca="1" si="4"/>
        <v>5.3731474907144618E-2</v>
      </c>
      <c r="G28">
        <f t="shared" ca="1" si="5"/>
        <v>53.1464849913663</v>
      </c>
      <c r="H28">
        <f t="shared" ca="1" si="6"/>
        <v>145.51936477070169</v>
      </c>
      <c r="I28">
        <f t="shared" ca="1" si="7"/>
        <v>98.333209042933234</v>
      </c>
      <c r="J28">
        <f t="shared" ca="1" si="8"/>
        <v>145.51936477070169</v>
      </c>
      <c r="K28">
        <f t="shared" ca="1" si="9"/>
        <v>40.018545382347774</v>
      </c>
      <c r="L28">
        <f t="shared" ca="1" si="10"/>
        <v>64.171122994652407</v>
      </c>
      <c r="M28">
        <f t="shared" ca="1" si="11"/>
        <v>84.868506886215499</v>
      </c>
      <c r="N28">
        <f t="shared" ca="1" si="12"/>
        <v>10.695187165775401</v>
      </c>
      <c r="O28">
        <f t="shared" ca="1" si="13"/>
        <v>-12.720626805946102</v>
      </c>
      <c r="P28">
        <f t="shared" ca="1" si="14"/>
        <v>100.37044034056217</v>
      </c>
    </row>
    <row r="29" spans="1:16" x14ac:dyDescent="0.3">
      <c r="A29">
        <v>9000</v>
      </c>
      <c r="B29">
        <f t="shared" ca="1" si="0"/>
        <v>2.912778988485881</v>
      </c>
      <c r="C29">
        <f t="shared" ca="1" si="1"/>
        <v>79.975798864758104</v>
      </c>
      <c r="D29">
        <f t="shared" ca="1" si="2"/>
        <v>0.18126707093660058</v>
      </c>
      <c r="E29">
        <f t="shared" ca="1" si="3"/>
        <v>95.155700814249741</v>
      </c>
      <c r="F29">
        <f t="shared" ca="1" si="4"/>
        <v>6.0447909270537691E-2</v>
      </c>
      <c r="G29">
        <f t="shared" ca="1" si="5"/>
        <v>53.773021543401526</v>
      </c>
      <c r="H29">
        <f t="shared" ca="1" si="6"/>
        <v>163.70928536703943</v>
      </c>
      <c r="I29">
        <f t="shared" ca="1" si="7"/>
        <v>98.051870169472636</v>
      </c>
      <c r="J29">
        <f t="shared" ca="1" si="8"/>
        <v>163.70928536703943</v>
      </c>
      <c r="K29">
        <f t="shared" ca="1" si="9"/>
        <v>38.740942277689037</v>
      </c>
      <c r="L29">
        <f t="shared" ca="1" si="10"/>
        <v>72.192513368983967</v>
      </c>
      <c r="M29">
        <f t="shared" ca="1" si="11"/>
        <v>83.595902274039901</v>
      </c>
      <c r="N29">
        <f t="shared" ca="1" si="12"/>
        <v>12.032085561497327</v>
      </c>
      <c r="O29">
        <f t="shared" ca="1" si="13"/>
        <v>-16.812828137317357</v>
      </c>
      <c r="P29">
        <f t="shared" ca="1" si="14"/>
        <v>99.996372777350103</v>
      </c>
    </row>
    <row r="30" spans="1:16" x14ac:dyDescent="0.3">
      <c r="A30">
        <v>10000</v>
      </c>
      <c r="B30">
        <f t="shared" ca="1" si="0"/>
        <v>3.2364210983176456</v>
      </c>
      <c r="C30">
        <f t="shared" ca="1" si="1"/>
        <v>79.068702419844485</v>
      </c>
      <c r="D30">
        <f t="shared" ca="1" si="2"/>
        <v>0.20140785659622287</v>
      </c>
      <c r="E30">
        <f ca="1">10*LOG10((($B$12*$B$9*$H$16*$H$15*(0.613*(10*D30)^4*((10*D30)^1.5+0.5)^-4))/(4*PI()*$B$15^2*(1-$B$7*COS($B$14))^4))/$B$17^2)</f>
        <v>94.677822144068585</v>
      </c>
      <c r="F30">
        <f t="shared" ca="1" si="4"/>
        <v>6.716434363393077E-2</v>
      </c>
      <c r="G30">
        <f t="shared" ca="1" si="5"/>
        <v>54.21887614299191</v>
      </c>
      <c r="H30">
        <f t="shared" ca="1" si="6"/>
        <v>181.89920596337711</v>
      </c>
      <c r="I30">
        <f t="shared" ca="1" si="7"/>
        <v>97.800203971388925</v>
      </c>
      <c r="J30">
        <f t="shared" ca="1" si="8"/>
        <v>181.89920596337711</v>
      </c>
      <c r="K30">
        <f t="shared" ca="1" si="9"/>
        <v>37.597870580377567</v>
      </c>
      <c r="L30">
        <f t="shared" ca="1" si="10"/>
        <v>80.213903743315512</v>
      </c>
      <c r="M30">
        <f t="shared" ca="1" si="11"/>
        <v>82.456408298198639</v>
      </c>
      <c r="N30">
        <f t="shared" ca="1" si="12"/>
        <v>13.368983957219251</v>
      </c>
      <c r="O30">
        <f t="shared" ca="1" si="13"/>
        <v>-20.473427213245174</v>
      </c>
      <c r="P30">
        <f t="shared" ca="1" si="14"/>
        <v>99.646874424726406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8"/>
  <sheetViews>
    <sheetView topLeftCell="E1" zoomScale="70" zoomScaleNormal="130" workbookViewId="0">
      <selection activeCell="M5" sqref="M5:AB34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7" max="27" width="12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M5" t="s">
        <v>128</v>
      </c>
      <c r="N5" t="s">
        <v>129</v>
      </c>
      <c r="O5" t="s">
        <v>131</v>
      </c>
      <c r="P5" t="s">
        <v>132</v>
      </c>
      <c r="Q5" t="s">
        <v>135</v>
      </c>
      <c r="R5" t="s">
        <v>133</v>
      </c>
      <c r="S5" t="s">
        <v>137</v>
      </c>
      <c r="T5" t="s">
        <v>109</v>
      </c>
      <c r="U5" t="s">
        <v>139</v>
      </c>
      <c r="V5" t="s">
        <v>140</v>
      </c>
      <c r="W5" t="s">
        <v>142</v>
      </c>
      <c r="X5" t="s">
        <v>120</v>
      </c>
      <c r="Y5" t="s">
        <v>144</v>
      </c>
      <c r="Z5" t="s">
        <v>147</v>
      </c>
      <c r="AA5" t="s">
        <v>146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N6" t="s">
        <v>130</v>
      </c>
      <c r="P6" t="s">
        <v>134</v>
      </c>
      <c r="R6" t="s">
        <v>136</v>
      </c>
      <c r="T6" t="s">
        <v>138</v>
      </c>
      <c r="V6" t="s">
        <v>141</v>
      </c>
      <c r="X6" t="s">
        <v>143</v>
      </c>
      <c r="Z6" t="s">
        <v>145</v>
      </c>
      <c r="AC6" t="s">
        <v>150</v>
      </c>
      <c r="AD6" t="s">
        <v>151</v>
      </c>
    </row>
    <row r="7" spans="1:30" x14ac:dyDescent="0.3">
      <c r="A7" t="s">
        <v>72</v>
      </c>
      <c r="B7">
        <v>0.45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1.3712518425477178E-3</v>
      </c>
      <c r="O7">
        <f>10*LOG10((($B$12*$B$9*$F$11*$F$14*(0.613*(10*N7)^4*((10*N7)^1.5+0.5)^-4))/(4*PI()*$B$15^2*(1-$B$7*COS($B$14))))/$B$17^2)</f>
        <v>61.705215447311737</v>
      </c>
      <c r="P7">
        <f>(M7*$H$10)*(1-$B$7*COS($B$14))/($B$7*$B$9)</f>
        <v>8.5335278096141813E-5</v>
      </c>
      <c r="Q7">
        <f>10*LOG10((($B$12*$B$9*$H$16*$H$15*(0.613*(10*P7)^4*((10*P7)^1.5+0.5)^-4))/(4*PI()*$B$15^2*(1-$B$7*COS($B$14))^4))/$B$17^2)</f>
        <v>7.7631670509020836</v>
      </c>
      <c r="R7">
        <f>(M7*$J$10)*(1-$B$7*COS($B$14))/($B$7*$B$9)</f>
        <v>2.8457121976312215E-5</v>
      </c>
      <c r="S7">
        <f>10*LOG10((($B$12*$B$9*$J$16*$J$15*(0.613*(10*R7)^4*((10*R7)^1.5+0.5)^-4))/(4*PI()*$B$15^2*(1-$B$7*COS($B$14))^4))/$B$17^2)</f>
        <v>-52.885279001976137</v>
      </c>
      <c r="T7">
        <f>(M7*$F$25)*(1-$B$7*COS($B$14))/($B$7*$B$9)</f>
        <v>8.8928500693206597E-2</v>
      </c>
      <c r="U7">
        <f>10*LOG10((($B$12*$B$9*$F$32*$F$31*(0.1406*T7^-0.55))/(4*PI()*$B$15^2*(1-$B$7*COS($B$14))^2))/$B$17^2)</f>
        <v>134.65693802981943</v>
      </c>
      <c r="V7">
        <f>(M7*$F$25)*(1-$B$7*COS($B$14))/($B$7*$B$9)</f>
        <v>8.8928500693206597E-2</v>
      </c>
      <c r="W7">
        <f>10*LOG10((($B$12*$B$9*$H$31*$H$30*(13.59*V7^2*(V7^2+12.5)^-2.25))/(4*PI()*$B$15^2*(1-$B$7*COS($B$14))^4))/$B$17^2)</f>
        <v>67.038885476407103</v>
      </c>
      <c r="X7">
        <f>(M7*$J$27)*(1-$B$7*COS($B$14))/($B$7*$B$9)</f>
        <v>3.9215686274509803E-2</v>
      </c>
      <c r="Y7">
        <f>10*LOG10((($B$12*$B$9*$F$32*$F$31*(13.59*X7^2*(X7^2+12.5)^-2.25))/(4*PI()*$B$15^2*(1-$B$7*COS($B$14))^2))/$B$17^2)</f>
        <v>95.91652370032817</v>
      </c>
      <c r="Z7">
        <f>(M7*$F$42)*(1-$B$7*COS($B$14))/($B$7*$B$9)</f>
        <v>6.5359477124183009E-3</v>
      </c>
      <c r="AA7">
        <f>10*LOG10((($B$12*$B$9*$F$46*$F$45*(5.325*(30+Z7^8)^-1))/(4*PI()*$B$15^2*(1-$B$7*COS($B$14))^2))/$B$17^2)</f>
        <v>73.4906225152682</v>
      </c>
      <c r="AB7">
        <f>10*LOG10(10^(O7/10)+10^(Q7/10)+10^(S7/10)+10^(U7/10)+10^(W7/10)+10^(Y7/10)+10^(AA7/10))</f>
        <v>134.65752270293817</v>
      </c>
      <c r="AC7">
        <f>20*LOG((12194^2*M7^4)/((M7^2+20.6^2)*SQRT((M7^2+107.7^2)*(M7^2+737.9^2))*(M7^2+12194^2)))+2</f>
        <v>-70.434939741819917</v>
      </c>
      <c r="AD7">
        <f>AB7+AC7</f>
        <v>64.222582961118249</v>
      </c>
    </row>
    <row r="8" spans="1:30" x14ac:dyDescent="0.3">
      <c r="A8" t="s">
        <v>73</v>
      </c>
      <c r="B8">
        <v>49.29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0">(M8*$F$10*(1-$B$7*COS($B$14)))/($B$7*$B$9)</f>
        <v>2.7425036850954355E-3</v>
      </c>
      <c r="O8">
        <f t="shared" ref="O8:O37" si="1">10*LOG10((($B$12*$B$9*$F$11*$F$14*(0.613*(10*N8)^4*((10*N8)^1.5+0.5)^-4))/(4*PI()*$B$15^2*(1-$B$7*COS($B$14))))/$B$17^2)</f>
        <v>73.645031749520257</v>
      </c>
      <c r="P8">
        <f t="shared" ref="P8:P37" si="2">(M8*$H$10)*(1-$B$7*COS($B$14))/($B$7*$B$9)</f>
        <v>1.7067055619228363E-4</v>
      </c>
      <c r="Q8">
        <f t="shared" ref="Q8:Q33" si="3">10*LOG10((($B$12*$B$9*$H$16*$H$15*(0.613*(10*P8)^4*((10*P8)^1.5+0.5)^-4))/(4*PI()*$B$15^2*(1-$B$7*COS($B$14))^4))/$B$17^2)</f>
        <v>19.802783430865269</v>
      </c>
      <c r="R8">
        <f t="shared" ref="R8:R37" si="4">(M8*$J$10)*(1-$B$7*COS($B$14))/($B$7*$B$9)</f>
        <v>5.6914243952624429E-5</v>
      </c>
      <c r="S8">
        <f t="shared" ref="S8:S37" si="5">10*LOG10((($B$12*$B$9*$J$16*$J$15*(0.613*(10*R8)^4*((10*R8)^1.5+0.5)^-4))/(4*PI()*$B$15^2*(1-$B$7*COS($B$14))^4))/$B$17^2)</f>
        <v>-40.844384126679117</v>
      </c>
      <c r="T8">
        <f t="shared" ref="T8:T37" si="6">(M8*$F$25)*(1-$B$7*COS($B$14))/($B$7*$B$9)</f>
        <v>0.17785700138641319</v>
      </c>
      <c r="U8">
        <f t="shared" ref="U8:U37" si="7">10*LOG10((($B$12*$B$9*$F$32*$F$31*(0.1406*T8^-0.55))/(4*PI()*$B$15^2*(1-$B$7*COS($B$14))^2))/$B$17^2)</f>
        <v>133.00127305366755</v>
      </c>
      <c r="V8">
        <f t="shared" ref="V8:V37" si="8">(M8*$F$25)*(1-$B$7*COS($B$14))/($B$7*$B$9)</f>
        <v>0.17785700138641319</v>
      </c>
      <c r="W8">
        <f t="shared" ref="W8:W37" si="9">10*LOG10((($B$12*$B$9*$H$31*$H$30*(13.59*V8^2*(V8^2+12.5)^-2.25))/(4*PI()*$B$15^2*(1-$B$7*COS($B$14))^4))/$B$17^2)</f>
        <v>73.040968255232144</v>
      </c>
      <c r="X8">
        <f t="shared" ref="X8:X37" si="10">(M8*$J$27)*(1-$B$7*COS($B$14))/($B$7*$B$9)</f>
        <v>7.8431372549019607E-2</v>
      </c>
      <c r="Y8">
        <f t="shared" ref="Y8:Y37" si="11">10*LOG10((($B$12*$B$9*$F$32*$F$31*(13.59*X8^2*(X8^2+12.5)^-2.25))/(4*PI()*$B$15^2*(1-$B$7*COS($B$14))^2))/$B$17^2)</f>
        <v>101.93351812474795</v>
      </c>
      <c r="Z8">
        <f t="shared" ref="Z8:Z37" si="12">(M8*$F$42)*(1-$B$7*COS($B$14))/($B$7*$B$9)</f>
        <v>1.3071895424836602E-2</v>
      </c>
      <c r="AA8">
        <f t="shared" ref="AA8:AA37" si="13">10*LOG10((($B$12*$B$9*$F$46*$F$45*(5.325*(30+Z8^8)^-1))/(4*PI()*$B$15^2*(1-$B$7*COS($B$14))^2))/$B$17^2)</f>
        <v>73.4906225152682</v>
      </c>
      <c r="AB8">
        <f t="shared" ref="AB8:AB37" si="14">10*LOG10(10^(O8/10)+10^(Q8/10)+10^(S8/10)+10^(U8/10)+10^(W8/10)+10^(Y8/10)+10^(AA8/10))</f>
        <v>133.00468231748386</v>
      </c>
      <c r="AC8">
        <f t="shared" ref="AC8:AC37" si="15">20*LOG((12194^2*M8^4)/((M8^2+20.6^2)*SQRT((M8^2+107.7^2)*(M8^2+737.9^2))*(M8^2+12194^2)))+2</f>
        <v>-50.394656885439417</v>
      </c>
      <c r="AD8">
        <f t="shared" ref="AD8:AD37" si="16">AB8+AC8</f>
        <v>82.610025432044438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6.6875408615899782E-4</v>
      </c>
      <c r="G9" t="s">
        <v>89</v>
      </c>
      <c r="H9">
        <f>0.37*(H12/H11^2)*((B12*B7*B9*H12)/(B11*H11))^-0.2*(H11/B10)^2</f>
        <v>1.7763670134298909E-4</v>
      </c>
      <c r="I9" t="s">
        <v>89</v>
      </c>
      <c r="J9">
        <f>0.37*(J12/J11^2)*((B12*B7*B9*J12)/(B11*J11))^-0.2*(J11/B10)^2</f>
        <v>1.2369146768112982E-4</v>
      </c>
      <c r="M9">
        <v>30</v>
      </c>
      <c r="N9">
        <f t="shared" si="0"/>
        <v>4.1137555276431533E-3</v>
      </c>
      <c r="O9">
        <f t="shared" si="1"/>
        <v>80.558268424332311</v>
      </c>
      <c r="P9">
        <f t="shared" si="2"/>
        <v>2.5600583428842541E-4</v>
      </c>
      <c r="Q9">
        <f t="shared" si="3"/>
        <v>26.844383520254816</v>
      </c>
      <c r="R9">
        <f t="shared" si="4"/>
        <v>8.5371365928936654E-5</v>
      </c>
      <c r="S9">
        <f t="shared" si="5"/>
        <v>-33.801128653733748</v>
      </c>
      <c r="T9">
        <f t="shared" si="6"/>
        <v>0.26678550207961976</v>
      </c>
      <c r="U9">
        <f t="shared" si="7"/>
        <v>132.0327711288613</v>
      </c>
      <c r="V9">
        <f t="shared" si="8"/>
        <v>0.26678550207961976</v>
      </c>
      <c r="W9">
        <f t="shared" si="9"/>
        <v>76.532009310095731</v>
      </c>
      <c r="X9">
        <f t="shared" si="10"/>
        <v>0.11764705882352941</v>
      </c>
      <c r="Y9">
        <f t="shared" si="11"/>
        <v>105.44933711249037</v>
      </c>
      <c r="Z9">
        <f t="shared" si="12"/>
        <v>1.9607843137254902E-2</v>
      </c>
      <c r="AA9">
        <f t="shared" si="13"/>
        <v>73.4906225152682</v>
      </c>
      <c r="AB9">
        <f t="shared" si="14"/>
        <v>132.04234744284437</v>
      </c>
      <c r="AC9">
        <f t="shared" si="15"/>
        <v>-40.606449491877584</v>
      </c>
      <c r="AD9">
        <f t="shared" si="16"/>
        <v>91.43589795096679</v>
      </c>
    </row>
    <row r="10" spans="1:30" x14ac:dyDescent="0.3">
      <c r="A10" t="s">
        <v>74</v>
      </c>
      <c r="B10">
        <v>31.372</v>
      </c>
      <c r="C10" t="s">
        <v>7</v>
      </c>
      <c r="E10" t="s">
        <v>83</v>
      </c>
      <c r="F10">
        <f>F9*B10</f>
        <v>2.098015319098008E-2</v>
      </c>
      <c r="G10" t="s">
        <v>83</v>
      </c>
      <c r="H10">
        <f>H9*H11</f>
        <v>1.3056297548709698E-3</v>
      </c>
      <c r="I10" t="s">
        <v>83</v>
      </c>
      <c r="J10">
        <f>J9*J11</f>
        <v>4.3539396623757694E-4</v>
      </c>
      <c r="M10">
        <v>40</v>
      </c>
      <c r="N10">
        <f t="shared" si="0"/>
        <v>5.4850073701908711E-3</v>
      </c>
      <c r="O10">
        <f t="shared" si="1"/>
        <v>85.40263827927113</v>
      </c>
      <c r="P10">
        <f t="shared" si="2"/>
        <v>3.4134111238456725E-4</v>
      </c>
      <c r="Q10">
        <f t="shared" si="3"/>
        <v>31.839505375407704</v>
      </c>
      <c r="R10">
        <f t="shared" si="4"/>
        <v>1.1382848790524886E-4</v>
      </c>
      <c r="S10">
        <f t="shared" si="5"/>
        <v>-28.804046803559231</v>
      </c>
      <c r="T10">
        <f t="shared" si="6"/>
        <v>0.35571400277282639</v>
      </c>
      <c r="U10">
        <f t="shared" si="7"/>
        <v>131.34560807751564</v>
      </c>
      <c r="V10">
        <f t="shared" si="8"/>
        <v>0.35571400277282639</v>
      </c>
      <c r="W10">
        <f t="shared" si="9"/>
        <v>78.987848546338299</v>
      </c>
      <c r="X10">
        <f t="shared" si="10"/>
        <v>0.15686274509803921</v>
      </c>
      <c r="Y10">
        <f t="shared" si="11"/>
        <v>107.93970937124499</v>
      </c>
      <c r="Z10">
        <f t="shared" si="12"/>
        <v>2.6143790849673203E-2</v>
      </c>
      <c r="AA10">
        <f t="shared" si="13"/>
        <v>73.490622515268186</v>
      </c>
      <c r="AB10">
        <f t="shared" si="14"/>
        <v>131.36552934601218</v>
      </c>
      <c r="AC10">
        <f t="shared" si="15"/>
        <v>-34.539248027007993</v>
      </c>
      <c r="AD10">
        <f t="shared" si="16"/>
        <v>96.826281319004181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26.10420407217536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0"/>
        <v>6.8562592127385889E-3</v>
      </c>
      <c r="O11">
        <f t="shared" si="1"/>
        <v>89.10691006772899</v>
      </c>
      <c r="P11">
        <f t="shared" si="2"/>
        <v>4.2667639048070904E-4</v>
      </c>
      <c r="Q11">
        <f t="shared" si="3"/>
        <v>35.713152724983146</v>
      </c>
      <c r="R11">
        <f t="shared" si="4"/>
        <v>1.4228560988156108E-4</v>
      </c>
      <c r="S11">
        <f t="shared" si="5"/>
        <v>-24.928176671996646</v>
      </c>
      <c r="T11">
        <f t="shared" si="6"/>
        <v>0.44464250346603296</v>
      </c>
      <c r="U11">
        <f t="shared" si="7"/>
        <v>130.81260300597134</v>
      </c>
      <c r="V11">
        <f t="shared" si="8"/>
        <v>0.44464250346603296</v>
      </c>
      <c r="W11">
        <f t="shared" si="9"/>
        <v>80.871121790223498</v>
      </c>
      <c r="X11">
        <f t="shared" si="10"/>
        <v>0.19607843137254902</v>
      </c>
      <c r="Y11">
        <f t="shared" si="11"/>
        <v>109.8671170570116</v>
      </c>
      <c r="Z11">
        <f t="shared" si="12"/>
        <v>3.2679738562091505E-2</v>
      </c>
      <c r="AA11">
        <f t="shared" si="13"/>
        <v>73.490622515268015</v>
      </c>
      <c r="AB11">
        <f t="shared" si="14"/>
        <v>130.84773877929192</v>
      </c>
      <c r="AC11">
        <f t="shared" si="15"/>
        <v>-30.274979580572094</v>
      </c>
      <c r="AD11">
        <f t="shared" si="16"/>
        <v>100.57275919871982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0.10970014740381742</v>
      </c>
      <c r="G12" t="s">
        <v>98</v>
      </c>
      <c r="H12">
        <v>13.51</v>
      </c>
      <c r="I12" t="s">
        <v>101</v>
      </c>
      <c r="J12">
        <v>10.33</v>
      </c>
      <c r="M12">
        <v>60</v>
      </c>
      <c r="N12">
        <f t="shared" si="0"/>
        <v>8.2275110552863066E-3</v>
      </c>
      <c r="O12">
        <f t="shared" si="1"/>
        <v>92.085796680223069</v>
      </c>
      <c r="P12">
        <f t="shared" si="2"/>
        <v>5.1201166857685082E-4</v>
      </c>
      <c r="Q12">
        <f t="shared" si="3"/>
        <v>38.877358810124385</v>
      </c>
      <c r="R12">
        <f t="shared" si="4"/>
        <v>1.7074273185787331E-4</v>
      </c>
      <c r="S12">
        <f t="shared" si="5"/>
        <v>-21.761513278227479</v>
      </c>
      <c r="T12">
        <f t="shared" si="6"/>
        <v>0.53357100415923953</v>
      </c>
      <c r="U12">
        <f t="shared" si="7"/>
        <v>130.37710615270939</v>
      </c>
      <c r="V12">
        <f t="shared" si="8"/>
        <v>0.53357100415923953</v>
      </c>
      <c r="W12">
        <f t="shared" si="9"/>
        <v>82.388030292627747</v>
      </c>
      <c r="X12">
        <f t="shared" si="10"/>
        <v>0.23529411764705882</v>
      </c>
      <c r="Y12">
        <f t="shared" si="11"/>
        <v>111.43756722112039</v>
      </c>
      <c r="Z12">
        <f t="shared" si="12"/>
        <v>3.9215686274509803E-2</v>
      </c>
      <c r="AA12">
        <f t="shared" si="13"/>
        <v>73.490622515267404</v>
      </c>
      <c r="AB12">
        <f t="shared" si="14"/>
        <v>130.43290858624624</v>
      </c>
      <c r="AC12">
        <f t="shared" si="15"/>
        <v>-27.048849321682884</v>
      </c>
      <c r="AD12">
        <f t="shared" si="16"/>
        <v>103.38405926456336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0.12006940859937185</v>
      </c>
      <c r="G13" t="s">
        <v>102</v>
      </c>
      <c r="H13">
        <f>(B13*H10)*(1-B7*COS(B14))/(B7*B9)</f>
        <v>6.8268222476913446E-3</v>
      </c>
      <c r="I13" t="s">
        <v>105</v>
      </c>
      <c r="J13">
        <f>(B13*J10)*(1-B7*COS(B14))/(B7*B9)</f>
        <v>2.2765697581049772E-3</v>
      </c>
      <c r="M13">
        <v>70</v>
      </c>
      <c r="N13">
        <f t="shared" si="0"/>
        <v>9.5987628978340244E-3</v>
      </c>
      <c r="O13">
        <f t="shared" si="1"/>
        <v>94.561166914686822</v>
      </c>
      <c r="P13">
        <f t="shared" si="2"/>
        <v>5.9734694667299272E-4</v>
      </c>
      <c r="Q13">
        <f t="shared" si="3"/>
        <v>41.551921763285392</v>
      </c>
      <c r="R13">
        <f t="shared" si="4"/>
        <v>1.9919985383418554E-4</v>
      </c>
      <c r="S13">
        <f t="shared" si="5"/>
        <v>-19.084279269420637</v>
      </c>
      <c r="T13">
        <f t="shared" si="6"/>
        <v>0.62249950485244621</v>
      </c>
      <c r="U13">
        <f t="shared" si="7"/>
        <v>130.00889880974103</v>
      </c>
      <c r="V13">
        <f t="shared" si="8"/>
        <v>0.62249950485244621</v>
      </c>
      <c r="W13">
        <f t="shared" si="9"/>
        <v>83.648702220421271</v>
      </c>
      <c r="X13">
        <f t="shared" si="10"/>
        <v>0.27450980392156865</v>
      </c>
      <c r="Y13">
        <f t="shared" si="11"/>
        <v>112.76095571315837</v>
      </c>
      <c r="Z13">
        <f t="shared" si="12"/>
        <v>4.5751633986928102E-2</v>
      </c>
      <c r="AA13">
        <f t="shared" si="13"/>
        <v>73.490622515265429</v>
      </c>
      <c r="AB13">
        <f t="shared" si="14"/>
        <v>130.09130553165622</v>
      </c>
      <c r="AC13">
        <f t="shared" si="15"/>
        <v>-24.49130199968733</v>
      </c>
      <c r="AD13">
        <f t="shared" si="16"/>
        <v>105.60000353196889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1.8516619624937838E-4</v>
      </c>
      <c r="I14" t="s">
        <v>106</v>
      </c>
      <c r="J14">
        <f>0.613*(10*J13)^4*((10*J13)^1.5+0.5)^-4</f>
        <v>2.5633673414755458E-6</v>
      </c>
      <c r="M14">
        <v>80</v>
      </c>
      <c r="N14">
        <f t="shared" si="0"/>
        <v>1.0970014740381742E-2</v>
      </c>
      <c r="O14">
        <f t="shared" si="1"/>
        <v>96.665908230728917</v>
      </c>
      <c r="P14">
        <f t="shared" si="2"/>
        <v>6.8268222476913451E-4</v>
      </c>
      <c r="Q14">
        <f t="shared" si="3"/>
        <v>43.868046084808938</v>
      </c>
      <c r="R14">
        <f t="shared" si="4"/>
        <v>2.2765697581049772E-4</v>
      </c>
      <c r="S14">
        <f t="shared" si="5"/>
        <v>-16.765286273295594</v>
      </c>
      <c r="T14">
        <f t="shared" si="6"/>
        <v>0.71142800554565278</v>
      </c>
      <c r="U14">
        <f t="shared" si="7"/>
        <v>129.68994310136372</v>
      </c>
      <c r="V14">
        <f t="shared" si="8"/>
        <v>0.71142800554565278</v>
      </c>
      <c r="W14">
        <f t="shared" si="9"/>
        <v>84.719008799665005</v>
      </c>
      <c r="X14">
        <f t="shared" si="10"/>
        <v>0.31372549019607843</v>
      </c>
      <c r="Y14">
        <f t="shared" si="11"/>
        <v>113.9028861439327</v>
      </c>
      <c r="Z14">
        <f t="shared" si="12"/>
        <v>5.2287581699346407E-2</v>
      </c>
      <c r="AA14">
        <f t="shared" si="13"/>
        <v>73.490622515260128</v>
      </c>
      <c r="AB14">
        <f t="shared" si="14"/>
        <v>129.80528318598624</v>
      </c>
      <c r="AC14">
        <f t="shared" si="15"/>
        <v>-22.397666626519193</v>
      </c>
      <c r="AD14">
        <f t="shared" si="16"/>
        <v>107.40761655946704</v>
      </c>
    </row>
    <row r="15" spans="1:30" x14ac:dyDescent="0.3">
      <c r="A15" t="s">
        <v>12</v>
      </c>
      <c r="B15">
        <v>1</v>
      </c>
      <c r="C15" t="s">
        <v>7</v>
      </c>
      <c r="E15" t="s">
        <v>91</v>
      </c>
      <c r="F15">
        <f>(B12*B9*F11*F14*F13)/(4*PI()*B15^2*(1-B7*COS(B14)))</f>
        <v>207.74689172964335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0"/>
        <v>1.2341266582929458E-2</v>
      </c>
      <c r="O15">
        <f t="shared" si="1"/>
        <v>98.486067785463845</v>
      </c>
      <c r="P15">
        <f t="shared" si="2"/>
        <v>7.6801750286527629E-4</v>
      </c>
      <c r="Q15">
        <f t="shared" si="3"/>
        <v>45.91036457509415</v>
      </c>
      <c r="R15">
        <f t="shared" si="4"/>
        <v>2.5611409778680995E-4</v>
      </c>
      <c r="S15">
        <f t="shared" si="5"/>
        <v>-14.719914489289245</v>
      </c>
      <c r="T15">
        <f t="shared" si="6"/>
        <v>0.80035650623885923</v>
      </c>
      <c r="U15">
        <f t="shared" si="7"/>
        <v>129.40860422790314</v>
      </c>
      <c r="V15">
        <f t="shared" si="8"/>
        <v>0.80035650623885923</v>
      </c>
      <c r="W15">
        <f t="shared" si="9"/>
        <v>85.641571150936699</v>
      </c>
      <c r="X15">
        <f t="shared" si="10"/>
        <v>0.35294117647058826</v>
      </c>
      <c r="Y15">
        <f t="shared" si="11"/>
        <v>114.90567988088371</v>
      </c>
      <c r="Z15">
        <f t="shared" si="12"/>
        <v>5.8823529411764705E-2</v>
      </c>
      <c r="AA15">
        <f t="shared" si="13"/>
        <v>73.490622515247452</v>
      </c>
      <c r="AB15">
        <f t="shared" si="14"/>
        <v>129.56350383189144</v>
      </c>
      <c r="AC15">
        <f t="shared" si="15"/>
        <v>-20.642894369008943</v>
      </c>
      <c r="AD15">
        <f t="shared" si="16"/>
        <v>108.9206094628825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117.15474543343529</v>
      </c>
      <c r="G16" t="s">
        <v>90</v>
      </c>
      <c r="H16">
        <f>H7*B7^H8*H9*(B12*B9^3*B10^2)</f>
        <v>6.9338861601557094</v>
      </c>
      <c r="I16" t="s">
        <v>90</v>
      </c>
      <c r="J16">
        <f>J7*B7^J8*J9*(B12*B9^3*B10^2)</f>
        <v>4.8281833055857026</v>
      </c>
      <c r="M16">
        <v>100</v>
      </c>
      <c r="N16">
        <f t="shared" si="0"/>
        <v>1.3712518425477178E-2</v>
      </c>
      <c r="O16">
        <f t="shared" si="1"/>
        <v>100.08065113814754</v>
      </c>
      <c r="P16">
        <f t="shared" si="2"/>
        <v>8.5335278096141808E-4</v>
      </c>
      <c r="Q16">
        <f t="shared" si="3"/>
        <v>47.736666260775984</v>
      </c>
      <c r="R16">
        <f t="shared" si="4"/>
        <v>2.8457121976312215E-4</v>
      </c>
      <c r="S16">
        <f t="shared" si="5"/>
        <v>-12.890385666437233</v>
      </c>
      <c r="T16">
        <f t="shared" si="6"/>
        <v>0.88928500693206591</v>
      </c>
      <c r="U16">
        <f t="shared" si="7"/>
        <v>129.15693802981943</v>
      </c>
      <c r="V16">
        <f t="shared" si="8"/>
        <v>0.88928500693206591</v>
      </c>
      <c r="W16">
        <f t="shared" si="9"/>
        <v>86.445620234112766</v>
      </c>
      <c r="X16">
        <f t="shared" si="10"/>
        <v>0.39215686274509803</v>
      </c>
      <c r="Y16">
        <f t="shared" si="11"/>
        <v>115.79823942015965</v>
      </c>
      <c r="Z16">
        <f t="shared" si="12"/>
        <v>6.535947712418301E-2</v>
      </c>
      <c r="AA16">
        <f t="shared" si="13"/>
        <v>73.490622515219997</v>
      </c>
      <c r="AB16">
        <f t="shared" si="14"/>
        <v>129.35822489697173</v>
      </c>
      <c r="AC16">
        <f t="shared" si="15"/>
        <v>-19.144954291317543</v>
      </c>
      <c r="AD16">
        <f t="shared" si="16"/>
        <v>110.21327060565419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8.5100109640245641E-2</v>
      </c>
      <c r="I17" t="s">
        <v>91</v>
      </c>
      <c r="J17">
        <f>(B12*B9*J16*J15*J14)/(4*PI()*B15^2*(1-B7*COS(B14))^4)</f>
        <v>8.2038036574523888E-8</v>
      </c>
      <c r="M17">
        <v>200</v>
      </c>
      <c r="N17">
        <f t="shared" si="0"/>
        <v>2.7425036850954355E-2</v>
      </c>
      <c r="O17">
        <f t="shared" si="1"/>
        <v>109.41568128779709</v>
      </c>
      <c r="P17">
        <f t="shared" si="2"/>
        <v>1.7067055619228362E-3</v>
      </c>
      <c r="Q17">
        <f t="shared" si="3"/>
        <v>59.727938974122068</v>
      </c>
      <c r="R17">
        <f t="shared" si="4"/>
        <v>5.6914243952624431E-4</v>
      </c>
      <c r="S17">
        <f t="shared" si="5"/>
        <v>-0.85882382164188376</v>
      </c>
      <c r="T17">
        <f t="shared" si="6"/>
        <v>1.7785700138641318</v>
      </c>
      <c r="U17">
        <f t="shared" si="7"/>
        <v>127.50127305366753</v>
      </c>
      <c r="V17">
        <f t="shared" si="8"/>
        <v>1.7785700138641318</v>
      </c>
      <c r="W17">
        <f t="shared" si="9"/>
        <v>90.861260333834224</v>
      </c>
      <c r="X17">
        <f t="shared" si="10"/>
        <v>0.78431372549019607</v>
      </c>
      <c r="Y17">
        <f t="shared" si="11"/>
        <v>121.46890411075313</v>
      </c>
      <c r="Z17">
        <f t="shared" si="12"/>
        <v>0.13071895424836602</v>
      </c>
      <c r="AA17">
        <f t="shared" si="13"/>
        <v>73.490622502926598</v>
      </c>
      <c r="AB17">
        <f t="shared" si="14"/>
        <v>128.52246661838817</v>
      </c>
      <c r="AC17">
        <f t="shared" si="15"/>
        <v>-10.847055415577483</v>
      </c>
      <c r="AD17">
        <f t="shared" si="16"/>
        <v>117.67541120281068</v>
      </c>
    </row>
    <row r="18" spans="1:30" x14ac:dyDescent="0.3">
      <c r="A18" t="s">
        <v>154</v>
      </c>
      <c r="B18">
        <f>122+6000*B19/100</f>
        <v>1022</v>
      </c>
      <c r="G18" t="s">
        <v>85</v>
      </c>
      <c r="H18">
        <f>10*LOG10(H17/B17^2)</f>
        <v>83.278701282880348</v>
      </c>
      <c r="I18" t="s">
        <v>85</v>
      </c>
      <c r="J18">
        <f>10*LOG10(J17/B17^2)</f>
        <v>23.11955266474488</v>
      </c>
      <c r="M18">
        <v>300</v>
      </c>
      <c r="N18">
        <f t="shared" si="0"/>
        <v>4.113755527643153E-2</v>
      </c>
      <c r="O18">
        <f t="shared" si="1"/>
        <v>113.48423373593812</v>
      </c>
      <c r="P18">
        <f t="shared" si="2"/>
        <v>2.5600583428842544E-3</v>
      </c>
      <c r="Q18">
        <f t="shared" si="3"/>
        <v>66.707148611431165</v>
      </c>
      <c r="R18">
        <f t="shared" si="4"/>
        <v>8.5371365928936657E-4</v>
      </c>
      <c r="S18">
        <f t="shared" si="5"/>
        <v>6.1723537574626857</v>
      </c>
      <c r="T18">
        <f t="shared" si="6"/>
        <v>2.6678550207961975</v>
      </c>
      <c r="U18">
        <f t="shared" si="7"/>
        <v>126.53277112886128</v>
      </c>
      <c r="V18">
        <f t="shared" si="8"/>
        <v>2.6678550207961975</v>
      </c>
      <c r="W18">
        <f t="shared" si="9"/>
        <v>92.183508368949973</v>
      </c>
      <c r="X18">
        <f t="shared" si="10"/>
        <v>1.1764705882352942</v>
      </c>
      <c r="Y18">
        <f t="shared" si="11"/>
        <v>124.43398915294502</v>
      </c>
      <c r="Z18">
        <f t="shared" si="12"/>
        <v>0.19607843137254902</v>
      </c>
      <c r="AA18">
        <f t="shared" si="13"/>
        <v>73.490622198966435</v>
      </c>
      <c r="AB18">
        <f t="shared" si="14"/>
        <v>128.75135333469103</v>
      </c>
      <c r="AC18">
        <f t="shared" si="15"/>
        <v>-7.0544626466411682</v>
      </c>
      <c r="AD18">
        <f t="shared" si="16"/>
        <v>121.69689068804986</v>
      </c>
    </row>
    <row r="19" spans="1:30" x14ac:dyDescent="0.3">
      <c r="A19" t="s">
        <v>158</v>
      </c>
      <c r="B19">
        <v>15</v>
      </c>
      <c r="M19">
        <v>400</v>
      </c>
      <c r="N19">
        <f t="shared" si="0"/>
        <v>5.4850073701908711E-2</v>
      </c>
      <c r="O19">
        <f t="shared" si="1"/>
        <v>115.51268830439282</v>
      </c>
      <c r="P19">
        <f t="shared" si="2"/>
        <v>3.4134111238456723E-3</v>
      </c>
      <c r="Q19">
        <f t="shared" si="3"/>
        <v>71.628695577854046</v>
      </c>
      <c r="R19">
        <f t="shared" si="4"/>
        <v>1.1382848790524886E-3</v>
      </c>
      <c r="S19">
        <f t="shared" si="5"/>
        <v>11.155144591256953</v>
      </c>
      <c r="T19">
        <f t="shared" si="6"/>
        <v>3.5571400277282637</v>
      </c>
      <c r="U19">
        <f t="shared" si="7"/>
        <v>125.84560807751564</v>
      </c>
      <c r="V19">
        <f t="shared" si="8"/>
        <v>3.5571400277282637</v>
      </c>
      <c r="W19">
        <f t="shared" si="9"/>
        <v>92.25337523876847</v>
      </c>
      <c r="X19">
        <f t="shared" si="10"/>
        <v>1.5686274509803921</v>
      </c>
      <c r="Y19">
        <f t="shared" si="11"/>
        <v>126.20305336124885</v>
      </c>
      <c r="Z19">
        <f t="shared" si="12"/>
        <v>0.26143790849673204</v>
      </c>
      <c r="AA19">
        <f t="shared" si="13"/>
        <v>73.490619355818964</v>
      </c>
      <c r="AB19">
        <f t="shared" si="14"/>
        <v>129.22789001260801</v>
      </c>
      <c r="AC19">
        <f t="shared" si="15"/>
        <v>-4.7738910332852953</v>
      </c>
      <c r="AD19">
        <f t="shared" si="16"/>
        <v>124.45399897932272</v>
      </c>
    </row>
    <row r="20" spans="1:30" x14ac:dyDescent="0.3">
      <c r="M20">
        <v>500</v>
      </c>
      <c r="N20">
        <f t="shared" si="0"/>
        <v>6.8562592127385885E-2</v>
      </c>
      <c r="O20">
        <f t="shared" si="1"/>
        <v>116.54029176964529</v>
      </c>
      <c r="P20">
        <f t="shared" si="2"/>
        <v>4.2667639048070902E-3</v>
      </c>
      <c r="Q20">
        <f t="shared" si="3"/>
        <v>75.419288788899721</v>
      </c>
      <c r="R20">
        <f t="shared" si="4"/>
        <v>1.4228560988156108E-3</v>
      </c>
      <c r="S20">
        <f t="shared" si="5"/>
        <v>15.014819899074446</v>
      </c>
      <c r="T20">
        <f t="shared" si="6"/>
        <v>4.4464250346603293</v>
      </c>
      <c r="U20">
        <f t="shared" si="7"/>
        <v>125.31260300597133</v>
      </c>
      <c r="V20">
        <f t="shared" si="8"/>
        <v>4.4464250346603293</v>
      </c>
      <c r="W20">
        <f t="shared" si="9"/>
        <v>91.756753690469139</v>
      </c>
      <c r="X20">
        <f t="shared" si="10"/>
        <v>1.9607843137254901</v>
      </c>
      <c r="Y20">
        <f t="shared" si="11"/>
        <v>127.27663461828031</v>
      </c>
      <c r="Z20">
        <f t="shared" si="12"/>
        <v>0.32679738562091504</v>
      </c>
      <c r="AA20">
        <f t="shared" si="13"/>
        <v>73.490603683517207</v>
      </c>
      <c r="AB20">
        <f t="shared" si="14"/>
        <v>129.63419203708975</v>
      </c>
      <c r="AC20">
        <f t="shared" si="15"/>
        <v>-3.2478075093781307</v>
      </c>
      <c r="AD20">
        <f t="shared" si="16"/>
        <v>126.38638452771161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0"/>
        <v>8.2275110552863059E-2</v>
      </c>
      <c r="O21">
        <f t="shared" si="1"/>
        <v>117.02111864854547</v>
      </c>
      <c r="P21">
        <f t="shared" si="2"/>
        <v>5.1201166857685089E-3</v>
      </c>
      <c r="Q21">
        <f t="shared" si="3"/>
        <v>78.49214971511563</v>
      </c>
      <c r="R21">
        <f t="shared" si="4"/>
        <v>1.7074273185787331E-3</v>
      </c>
      <c r="S21">
        <f t="shared" si="5"/>
        <v>18.163594891917455</v>
      </c>
      <c r="T21">
        <f t="shared" si="6"/>
        <v>5.335710041592395</v>
      </c>
      <c r="U21">
        <f t="shared" si="7"/>
        <v>124.8771061527094</v>
      </c>
      <c r="V21">
        <f t="shared" si="8"/>
        <v>5.335710041592395</v>
      </c>
      <c r="W21">
        <f t="shared" si="9"/>
        <v>91.008129080353442</v>
      </c>
      <c r="X21">
        <f t="shared" si="10"/>
        <v>2.3529411764705883</v>
      </c>
      <c r="Y21">
        <f t="shared" si="11"/>
        <v>127.89789105842472</v>
      </c>
      <c r="Z21">
        <f t="shared" si="12"/>
        <v>0.39215686274509803</v>
      </c>
      <c r="AA21">
        <f t="shared" si="13"/>
        <v>73.490541542765172</v>
      </c>
      <c r="AB21">
        <f t="shared" si="14"/>
        <v>129.88647632537092</v>
      </c>
      <c r="AC21">
        <f t="shared" si="15"/>
        <v>-2.1700037836745878</v>
      </c>
      <c r="AD21">
        <f t="shared" si="16"/>
        <v>127.71647254169633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0"/>
        <v>9.5987628978340248E-2</v>
      </c>
      <c r="O22">
        <f t="shared" si="1"/>
        <v>117.1840441688334</v>
      </c>
      <c r="P22">
        <f t="shared" si="2"/>
        <v>5.9734694667299268E-3</v>
      </c>
      <c r="Q22">
        <f t="shared" si="3"/>
        <v>81.067978247555573</v>
      </c>
      <c r="R22">
        <f t="shared" si="4"/>
        <v>1.9919985383418555E-3</v>
      </c>
      <c r="S22">
        <f t="shared" si="5"/>
        <v>20.821402496721831</v>
      </c>
      <c r="T22">
        <f t="shared" si="6"/>
        <v>6.2249950485244616</v>
      </c>
      <c r="U22">
        <f t="shared" si="7"/>
        <v>124.50889880974103</v>
      </c>
      <c r="V22">
        <f t="shared" si="8"/>
        <v>6.2249950485244616</v>
      </c>
      <c r="W22">
        <f t="shared" si="9"/>
        <v>90.159282272778341</v>
      </c>
      <c r="X22">
        <f t="shared" si="10"/>
        <v>2.7450980392156863</v>
      </c>
      <c r="Y22">
        <f t="shared" si="11"/>
        <v>128.20962690998965</v>
      </c>
      <c r="Z22">
        <f t="shared" si="12"/>
        <v>0.45751633986928103</v>
      </c>
      <c r="AA22">
        <f t="shared" si="13"/>
        <v>73.490344606637336</v>
      </c>
      <c r="AB22">
        <f t="shared" si="14"/>
        <v>129.9868777088769</v>
      </c>
      <c r="AC22">
        <f t="shared" si="15"/>
        <v>-1.3830326182040067</v>
      </c>
      <c r="AD22">
        <f t="shared" si="16"/>
        <v>128.60384509067291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0"/>
        <v>0.10970014740381742</v>
      </c>
      <c r="O23">
        <f t="shared" si="1"/>
        <v>117.15474543343529</v>
      </c>
      <c r="P23">
        <f t="shared" si="2"/>
        <v>6.8268222476913446E-3</v>
      </c>
      <c r="Q23">
        <f t="shared" si="3"/>
        <v>83.278701282880348</v>
      </c>
      <c r="R23">
        <f t="shared" si="4"/>
        <v>2.2765697581049772E-3</v>
      </c>
      <c r="S23">
        <f t="shared" si="5"/>
        <v>23.11955266474488</v>
      </c>
      <c r="T23">
        <f t="shared" si="6"/>
        <v>7.1142800554565273</v>
      </c>
      <c r="U23">
        <f t="shared" si="7"/>
        <v>124.18994310136375</v>
      </c>
      <c r="V23">
        <f t="shared" si="8"/>
        <v>7.1142800554565273</v>
      </c>
      <c r="W23">
        <f t="shared" si="9"/>
        <v>89.284670132672304</v>
      </c>
      <c r="X23">
        <f t="shared" si="10"/>
        <v>3.1372549019607843</v>
      </c>
      <c r="Y23">
        <f t="shared" si="11"/>
        <v>128.30459370076562</v>
      </c>
      <c r="Z23">
        <f t="shared" si="12"/>
        <v>0.52287581699346408</v>
      </c>
      <c r="AA23">
        <f t="shared" si="13"/>
        <v>73.489813771274811</v>
      </c>
      <c r="AB23">
        <f t="shared" si="14"/>
        <v>129.96188429121889</v>
      </c>
      <c r="AC23">
        <f t="shared" si="15"/>
        <v>-0.79460657411842606</v>
      </c>
      <c r="AD23">
        <f t="shared" si="16"/>
        <v>129.16727771710046</v>
      </c>
    </row>
    <row r="24" spans="1:30" x14ac:dyDescent="0.3">
      <c r="E24" t="s">
        <v>89</v>
      </c>
      <c r="F24">
        <f>(F27/B10^2)*SIN(F26)^2</f>
        <v>3.0029055401845015E-3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0"/>
        <v>0.1234126658292946</v>
      </c>
      <c r="O24">
        <f t="shared" si="1"/>
        <v>117.00640141840621</v>
      </c>
      <c r="P24">
        <f t="shared" si="2"/>
        <v>7.6801750286527625E-3</v>
      </c>
      <c r="Q24">
        <f t="shared" si="3"/>
        <v>85.209552277573664</v>
      </c>
      <c r="R24">
        <f t="shared" si="4"/>
        <v>2.5611409778680998E-3</v>
      </c>
      <c r="S24">
        <f t="shared" si="5"/>
        <v>25.142763904501081</v>
      </c>
      <c r="T24">
        <f t="shared" si="6"/>
        <v>8.0035650623885939</v>
      </c>
      <c r="U24">
        <f t="shared" si="7"/>
        <v>123.90860422790314</v>
      </c>
      <c r="V24">
        <f t="shared" si="8"/>
        <v>8.0035650623885939</v>
      </c>
      <c r="W24">
        <f t="shared" si="9"/>
        <v>88.42072388768284</v>
      </c>
      <c r="X24">
        <f t="shared" si="10"/>
        <v>3.5294117647058822</v>
      </c>
      <c r="Y24">
        <f t="shared" si="11"/>
        <v>128.24632168044391</v>
      </c>
      <c r="Z24">
        <f t="shared" si="12"/>
        <v>0.58823529411764708</v>
      </c>
      <c r="AA24">
        <f t="shared" si="13"/>
        <v>73.488547754900765</v>
      </c>
      <c r="AB24">
        <f t="shared" si="14"/>
        <v>129.84092070985378</v>
      </c>
      <c r="AC24">
        <f t="shared" si="15"/>
        <v>-0.34641558835306263</v>
      </c>
      <c r="AD24">
        <f t="shared" si="16"/>
        <v>129.49450512150071</v>
      </c>
    </row>
    <row r="25" spans="1:30" x14ac:dyDescent="0.3">
      <c r="E25" t="s">
        <v>83</v>
      </c>
      <c r="F25">
        <f>F27/F28</f>
        <v>1.3606060606060608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0"/>
        <v>0.13712518425477177</v>
      </c>
      <c r="O25">
        <f t="shared" si="1"/>
        <v>116.78350694048127</v>
      </c>
      <c r="P25">
        <f t="shared" si="2"/>
        <v>8.5335278096141803E-3</v>
      </c>
      <c r="Q25">
        <f t="shared" si="3"/>
        <v>86.918833341369464</v>
      </c>
      <c r="R25">
        <f t="shared" si="4"/>
        <v>2.8457121976312215E-3</v>
      </c>
      <c r="S25">
        <f t="shared" si="5"/>
        <v>26.948896905236911</v>
      </c>
      <c r="T25">
        <f t="shared" si="6"/>
        <v>8.8928500693206587</v>
      </c>
      <c r="U25">
        <f t="shared" si="7"/>
        <v>123.65693802981943</v>
      </c>
      <c r="V25">
        <f t="shared" si="8"/>
        <v>8.8928500693206587</v>
      </c>
      <c r="W25">
        <f t="shared" si="9"/>
        <v>87.584729697351676</v>
      </c>
      <c r="X25">
        <f t="shared" si="10"/>
        <v>3.9215686274509802</v>
      </c>
      <c r="Y25">
        <f t="shared" si="11"/>
        <v>128.07956927702526</v>
      </c>
      <c r="Z25">
        <f t="shared" si="12"/>
        <v>0.65359477124183007</v>
      </c>
      <c r="AA25">
        <f t="shared" si="13"/>
        <v>73.485804250352331</v>
      </c>
      <c r="AB25">
        <f t="shared" si="14"/>
        <v>129.64977816816412</v>
      </c>
      <c r="AC25">
        <f t="shared" si="15"/>
        <v>1.415276948792954E-4</v>
      </c>
      <c r="AD25">
        <f t="shared" si="16"/>
        <v>129.64991969585901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2.2129594841542265E-4</v>
      </c>
      <c r="I26" t="s">
        <v>89</v>
      </c>
      <c r="J26">
        <f>J25*(J24/B10)^2</f>
        <v>1.4631137085317199E-3</v>
      </c>
      <c r="M26">
        <v>2000</v>
      </c>
      <c r="N26">
        <f t="shared" si="0"/>
        <v>0.27425036850954354</v>
      </c>
      <c r="O26">
        <f t="shared" si="1"/>
        <v>113.65774928172884</v>
      </c>
      <c r="P26">
        <f t="shared" si="2"/>
        <v>1.7067055619228361E-2</v>
      </c>
      <c r="Q26">
        <f t="shared" si="3"/>
        <v>97.513566001474203</v>
      </c>
      <c r="R26">
        <f t="shared" si="4"/>
        <v>5.6914243952624431E-3</v>
      </c>
      <c r="S26">
        <f t="shared" si="5"/>
        <v>38.690635913253558</v>
      </c>
      <c r="T26">
        <f t="shared" si="6"/>
        <v>17.785700138641317</v>
      </c>
      <c r="U26">
        <f t="shared" si="7"/>
        <v>122.00127305366755</v>
      </c>
      <c r="V26">
        <f t="shared" si="8"/>
        <v>17.785700138641317</v>
      </c>
      <c r="W26">
        <f t="shared" si="9"/>
        <v>81.114250073681262</v>
      </c>
      <c r="X26">
        <f t="shared" si="10"/>
        <v>7.8431372549019605</v>
      </c>
      <c r="Y26">
        <f t="shared" si="11"/>
        <v>124.5591329439472</v>
      </c>
      <c r="Z26">
        <f t="shared" si="12"/>
        <v>1.3071895424836601</v>
      </c>
      <c r="AA26">
        <f t="shared" si="13"/>
        <v>72.404377318161991</v>
      </c>
      <c r="AB26">
        <f t="shared" si="14"/>
        <v>126.70275447831942</v>
      </c>
      <c r="AC26">
        <f t="shared" si="15"/>
        <v>1.201674176077685</v>
      </c>
      <c r="AD26">
        <f t="shared" si="16"/>
        <v>127.90442865439711</v>
      </c>
    </row>
    <row r="27" spans="1:30" x14ac:dyDescent="0.3">
      <c r="E27" t="s">
        <v>110</v>
      </c>
      <c r="F27">
        <v>8.98</v>
      </c>
      <c r="G27" t="s">
        <v>83</v>
      </c>
      <c r="H27">
        <f>H24</f>
        <v>0.33</v>
      </c>
      <c r="I27" t="s">
        <v>83</v>
      </c>
      <c r="J27">
        <f>J24</f>
        <v>0.6</v>
      </c>
      <c r="M27">
        <v>3000</v>
      </c>
      <c r="N27">
        <f t="shared" si="0"/>
        <v>0.41137555276431531</v>
      </c>
      <c r="O27">
        <f t="shared" si="1"/>
        <v>110.9392418580493</v>
      </c>
      <c r="P27">
        <f t="shared" si="2"/>
        <v>2.5600583428842544E-2</v>
      </c>
      <c r="Q27">
        <f t="shared" si="3"/>
        <v>102.84698979725741</v>
      </c>
      <c r="R27">
        <f t="shared" si="4"/>
        <v>8.5371365928936654E-3</v>
      </c>
      <c r="S27">
        <f t="shared" si="5"/>
        <v>45.354014826758082</v>
      </c>
      <c r="T27">
        <f t="shared" si="6"/>
        <v>26.678550207961976</v>
      </c>
      <c r="U27">
        <f t="shared" si="7"/>
        <v>121.0327711288613</v>
      </c>
      <c r="V27">
        <f t="shared" si="8"/>
        <v>26.678550207961976</v>
      </c>
      <c r="W27">
        <f t="shared" si="9"/>
        <v>76.920541615058454</v>
      </c>
      <c r="X27">
        <f t="shared" si="10"/>
        <v>11.764705882352942</v>
      </c>
      <c r="Y27">
        <f t="shared" si="11"/>
        <v>121.11958056947213</v>
      </c>
      <c r="Z27">
        <f t="shared" si="12"/>
        <v>1.9607843137254901</v>
      </c>
      <c r="AA27">
        <f t="shared" si="13"/>
        <v>64.308684119281793</v>
      </c>
      <c r="AB27">
        <f t="shared" si="14"/>
        <v>124.32326064032651</v>
      </c>
      <c r="AC27">
        <f t="shared" si="15"/>
        <v>1.2284560262974789</v>
      </c>
      <c r="AD27">
        <f t="shared" si="16"/>
        <v>125.55171666662399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1.7254901960784315</v>
      </c>
      <c r="I28" t="s">
        <v>81</v>
      </c>
      <c r="J28">
        <f>(B13*J27)*(1-B7*COS(B14))/(B7*B9)</f>
        <v>3.1372549019607843</v>
      </c>
      <c r="M28">
        <v>4000</v>
      </c>
      <c r="N28">
        <f t="shared" si="0"/>
        <v>0.54850073701908708</v>
      </c>
      <c r="O28">
        <f t="shared" si="1"/>
        <v>108.78815090172965</v>
      </c>
      <c r="P28">
        <f t="shared" si="2"/>
        <v>3.4134111238456721E-2</v>
      </c>
      <c r="Q28">
        <f t="shared" si="3"/>
        <v>106.01554927405388</v>
      </c>
      <c r="R28">
        <f t="shared" si="4"/>
        <v>1.1382848790524886E-2</v>
      </c>
      <c r="S28">
        <f t="shared" si="5"/>
        <v>49.911756530984874</v>
      </c>
      <c r="T28">
        <f t="shared" si="6"/>
        <v>35.571400277282635</v>
      </c>
      <c r="U28">
        <f t="shared" si="7"/>
        <v>120.34560807751564</v>
      </c>
      <c r="V28">
        <f t="shared" si="8"/>
        <v>35.571400277282635</v>
      </c>
      <c r="W28">
        <f t="shared" si="9"/>
        <v>73.871138403833655</v>
      </c>
      <c r="X28">
        <f t="shared" si="10"/>
        <v>15.686274509803921</v>
      </c>
      <c r="Y28">
        <f t="shared" si="11"/>
        <v>118.35680074706652</v>
      </c>
      <c r="Z28">
        <f t="shared" si="12"/>
        <v>2.6143790849673203</v>
      </c>
      <c r="AA28">
        <f t="shared" si="13"/>
        <v>54.813059169566415</v>
      </c>
      <c r="AB28">
        <f t="shared" si="14"/>
        <v>122.74952741482971</v>
      </c>
      <c r="AC28">
        <f t="shared" si="15"/>
        <v>0.96359790524507294</v>
      </c>
      <c r="AD28">
        <f t="shared" si="16"/>
        <v>123.71312532007478</v>
      </c>
    </row>
    <row r="29" spans="1:30" x14ac:dyDescent="0.3">
      <c r="E29" t="s">
        <v>113</v>
      </c>
      <c r="F29">
        <f>(B13*F25)*(1-B7*COS(B14))/(B7*B9)</f>
        <v>7.1142800554565273</v>
      </c>
      <c r="G29" t="s">
        <v>125</v>
      </c>
      <c r="H29">
        <f>13.59*H28^2*(H28^2+12.5)^-2.25</f>
        <v>8.5158736812418367E-2</v>
      </c>
      <c r="I29" t="s">
        <v>125</v>
      </c>
      <c r="J29">
        <f>13.59*J28^2*(J28^2+12.5)^-2.25</f>
        <v>0.12324756682294545</v>
      </c>
      <c r="M29">
        <v>5000</v>
      </c>
      <c r="N29">
        <f t="shared" si="0"/>
        <v>0.68562592127385891</v>
      </c>
      <c r="O29">
        <f t="shared" si="1"/>
        <v>107.03607715245428</v>
      </c>
      <c r="P29">
        <f t="shared" si="2"/>
        <v>4.2667639048070909E-2</v>
      </c>
      <c r="Q29">
        <f t="shared" si="3"/>
        <v>108.02666972353258</v>
      </c>
      <c r="R29">
        <f t="shared" si="4"/>
        <v>1.422856098815611E-2</v>
      </c>
      <c r="S29">
        <f t="shared" si="5"/>
        <v>53.302410148240291</v>
      </c>
      <c r="T29">
        <f t="shared" si="6"/>
        <v>44.464250346603293</v>
      </c>
      <c r="U29">
        <f t="shared" si="7"/>
        <v>119.81260300597131</v>
      </c>
      <c r="V29">
        <f t="shared" si="8"/>
        <v>44.464250346603293</v>
      </c>
      <c r="W29">
        <f t="shared" si="9"/>
        <v>71.482860672187513</v>
      </c>
      <c r="X29">
        <f t="shared" si="10"/>
        <v>19.607843137254903</v>
      </c>
      <c r="Y29">
        <f t="shared" si="11"/>
        <v>116.10561447221906</v>
      </c>
      <c r="Z29">
        <f t="shared" si="12"/>
        <v>3.2679738562091503</v>
      </c>
      <c r="AA29">
        <f t="shared" si="13"/>
        <v>47.109545111993036</v>
      </c>
      <c r="AB29">
        <f t="shared" si="14"/>
        <v>121.70176828373519</v>
      </c>
      <c r="AC29">
        <f t="shared" si="15"/>
        <v>0.55443415814925312</v>
      </c>
      <c r="AD29">
        <f t="shared" si="16"/>
        <v>122.25620244188444</v>
      </c>
    </row>
    <row r="30" spans="1:30" x14ac:dyDescent="0.3">
      <c r="E30" t="s">
        <v>114</v>
      </c>
      <c r="F30">
        <f>0.1406*F29^-0.55</f>
        <v>4.7787388110361984E-2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0"/>
        <v>0.82275110552863062</v>
      </c>
      <c r="O30">
        <f t="shared" si="1"/>
        <v>105.56544767802103</v>
      </c>
      <c r="P30">
        <f t="shared" si="2"/>
        <v>5.1201166857685089E-2</v>
      </c>
      <c r="Q30">
        <f t="shared" si="3"/>
        <v>109.34074907240158</v>
      </c>
      <c r="R30">
        <f t="shared" si="4"/>
        <v>1.7074273185787331E-2</v>
      </c>
      <c r="S30">
        <f t="shared" si="5"/>
        <v>55.947908859568699</v>
      </c>
      <c r="T30">
        <f t="shared" si="6"/>
        <v>53.357100415923952</v>
      </c>
      <c r="U30">
        <f t="shared" si="7"/>
        <v>119.37710615270939</v>
      </c>
      <c r="V30">
        <f t="shared" si="8"/>
        <v>53.357100415923952</v>
      </c>
      <c r="W30">
        <f t="shared" si="9"/>
        <v>69.522106473086154</v>
      </c>
      <c r="X30">
        <f t="shared" si="10"/>
        <v>23.529411764705884</v>
      </c>
      <c r="Y30">
        <f t="shared" si="11"/>
        <v>114.22055677193839</v>
      </c>
      <c r="Z30">
        <f t="shared" si="12"/>
        <v>3.9215686274509802</v>
      </c>
      <c r="AA30">
        <f t="shared" si="13"/>
        <v>40.782720813122999</v>
      </c>
      <c r="AB30">
        <f t="shared" si="14"/>
        <v>120.9781405695459</v>
      </c>
      <c r="AC30">
        <f t="shared" si="15"/>
        <v>5.0112726333026991E-2</v>
      </c>
      <c r="AD30">
        <f t="shared" si="16"/>
        <v>121.02825329587893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0.11138232740822522</v>
      </c>
      <c r="I31" t="s">
        <v>90</v>
      </c>
      <c r="J31">
        <f>J22*B7^J23*J26*(B12*B9^2*B10^2)</f>
        <v>0.73641208203785269</v>
      </c>
      <c r="M31">
        <v>7000</v>
      </c>
      <c r="N31">
        <f t="shared" si="0"/>
        <v>0.95987628978340234</v>
      </c>
      <c r="O31">
        <f t="shared" si="1"/>
        <v>104.30107632452659</v>
      </c>
      <c r="P31">
        <f t="shared" si="2"/>
        <v>5.9734694667299269E-2</v>
      </c>
      <c r="Q31">
        <f t="shared" si="3"/>
        <v>110.20555244955658</v>
      </c>
      <c r="R31">
        <f t="shared" si="4"/>
        <v>1.9919985383418552E-2</v>
      </c>
      <c r="S31">
        <f t="shared" si="5"/>
        <v>58.075755587077353</v>
      </c>
      <c r="T31">
        <f t="shared" si="6"/>
        <v>62.249950485244611</v>
      </c>
      <c r="U31">
        <f t="shared" si="7"/>
        <v>119.00889880974103</v>
      </c>
      <c r="V31">
        <f t="shared" si="8"/>
        <v>62.249950485244611</v>
      </c>
      <c r="W31">
        <f t="shared" si="9"/>
        <v>67.859776103929335</v>
      </c>
      <c r="X31">
        <f t="shared" si="10"/>
        <v>27.450980392156861</v>
      </c>
      <c r="Y31">
        <f t="shared" si="11"/>
        <v>112.60429611412546</v>
      </c>
      <c r="Z31">
        <f t="shared" si="12"/>
        <v>4.5751633986928102</v>
      </c>
      <c r="AA31">
        <f t="shared" si="13"/>
        <v>35.428627719065865</v>
      </c>
      <c r="AB31">
        <f t="shared" si="14"/>
        <v>120.45277307228518</v>
      </c>
      <c r="AC31">
        <f t="shared" si="15"/>
        <v>-0.5231027020581247</v>
      </c>
      <c r="AD31">
        <f t="shared" si="16"/>
        <v>119.92967037022706</v>
      </c>
    </row>
    <row r="32" spans="1:30" x14ac:dyDescent="0.3">
      <c r="E32" t="s">
        <v>90</v>
      </c>
      <c r="F32">
        <f>F22*B7^F23*F24*(B12*B9^3*B10^2)</f>
        <v>329.31459217834299</v>
      </c>
      <c r="G32" t="s">
        <v>91</v>
      </c>
      <c r="H32">
        <f>(B12*B9*H31*H30*H29)/(4*PI()*B15^2*(1-B7*COS(B14))^4)</f>
        <v>0.47156536506031227</v>
      </c>
      <c r="I32" t="s">
        <v>91</v>
      </c>
      <c r="J32">
        <f>(B12*B9*J31*J30*J29)/(4*PI()*B15^2*(1-B7*COS(B14))^4)</f>
        <v>4.5122760419186037</v>
      </c>
      <c r="M32">
        <v>8000</v>
      </c>
      <c r="N32">
        <f t="shared" si="0"/>
        <v>1.0970014740381742</v>
      </c>
      <c r="O32">
        <f t="shared" si="1"/>
        <v>103.19345406373432</v>
      </c>
      <c r="P32">
        <f t="shared" si="2"/>
        <v>6.8268222476913443E-2</v>
      </c>
      <c r="Q32">
        <f t="shared" si="3"/>
        <v>110.76773316785996</v>
      </c>
      <c r="R32">
        <f t="shared" si="4"/>
        <v>2.2765697581049772E-2</v>
      </c>
      <c r="S32">
        <f t="shared" si="5"/>
        <v>59.823355515639172</v>
      </c>
      <c r="T32">
        <f t="shared" si="6"/>
        <v>71.14280055456527</v>
      </c>
      <c r="U32">
        <f t="shared" si="7"/>
        <v>118.68994310136374</v>
      </c>
      <c r="V32">
        <f t="shared" si="8"/>
        <v>71.14280055456527</v>
      </c>
      <c r="W32">
        <f t="shared" si="9"/>
        <v>66.417344165834905</v>
      </c>
      <c r="X32">
        <f t="shared" si="10"/>
        <v>31.372549019607842</v>
      </c>
      <c r="Y32">
        <f t="shared" si="11"/>
        <v>111.19193945392695</v>
      </c>
      <c r="Z32">
        <f t="shared" si="12"/>
        <v>5.2287581699346406</v>
      </c>
      <c r="AA32">
        <f t="shared" si="13"/>
        <v>30.789717380914801</v>
      </c>
      <c r="AB32">
        <f t="shared" si="14"/>
        <v>120.04914429883573</v>
      </c>
      <c r="AC32">
        <f t="shared" si="15"/>
        <v>-1.1468793432843185</v>
      </c>
      <c r="AD32">
        <f t="shared" si="16"/>
        <v>118.9022649555514</v>
      </c>
    </row>
    <row r="33" spans="5:30" x14ac:dyDescent="0.3">
      <c r="E33" t="s">
        <v>91</v>
      </c>
      <c r="F33">
        <f>(B12*B9*F32*F31*F30)/(4*PI()*B15^2*(1-B7*COS(B14))^2)</f>
        <v>1049.6736650742082</v>
      </c>
      <c r="G33" t="s">
        <v>85</v>
      </c>
      <c r="H33">
        <f>10*LOG10(H32/B17^2)</f>
        <v>90.714819087516659</v>
      </c>
      <c r="I33" t="s">
        <v>85</v>
      </c>
      <c r="J33">
        <f>10*LOG10(J32/B17^2)</f>
        <v>100.52335668755249</v>
      </c>
      <c r="M33">
        <v>9000</v>
      </c>
      <c r="N33">
        <f t="shared" si="0"/>
        <v>1.2341266582929458</v>
      </c>
      <c r="O33">
        <f t="shared" si="1"/>
        <v>102.20863498719538</v>
      </c>
      <c r="P33">
        <f t="shared" si="2"/>
        <v>7.6801750286527637E-2</v>
      </c>
      <c r="Q33">
        <f t="shared" si="3"/>
        <v>111.11965818848799</v>
      </c>
      <c r="R33">
        <f t="shared" si="4"/>
        <v>2.5611409778680996E-2</v>
      </c>
      <c r="S33">
        <f t="shared" si="5"/>
        <v>61.280427165667447</v>
      </c>
      <c r="T33">
        <f t="shared" si="6"/>
        <v>80.035650623885928</v>
      </c>
      <c r="U33">
        <f t="shared" si="7"/>
        <v>118.40860422790314</v>
      </c>
      <c r="V33">
        <f t="shared" si="8"/>
        <v>80.035650623885928</v>
      </c>
      <c r="W33">
        <f t="shared" si="9"/>
        <v>65.14358492579629</v>
      </c>
      <c r="X33">
        <f t="shared" si="10"/>
        <v>35.294117647058826</v>
      </c>
      <c r="Y33">
        <f t="shared" si="11"/>
        <v>109.93887966429836</v>
      </c>
      <c r="Z33">
        <f t="shared" si="12"/>
        <v>5.882352941176471</v>
      </c>
      <c r="AA33">
        <f t="shared" si="13"/>
        <v>26.697657887688816</v>
      </c>
      <c r="AB33">
        <f t="shared" si="14"/>
        <v>119.72132642549448</v>
      </c>
      <c r="AC33">
        <f t="shared" si="15"/>
        <v>-1.8068953612431837</v>
      </c>
      <c r="AD33">
        <f t="shared" si="16"/>
        <v>117.9144310642513</v>
      </c>
    </row>
    <row r="34" spans="5:30" x14ac:dyDescent="0.3">
      <c r="E34" t="s">
        <v>85</v>
      </c>
      <c r="F34">
        <f>10*LOG10(F33/B17^2)</f>
        <v>124.18994310136375</v>
      </c>
      <c r="M34">
        <v>10000</v>
      </c>
      <c r="N34">
        <f t="shared" si="0"/>
        <v>1.3712518425477178</v>
      </c>
      <c r="O34">
        <f t="shared" si="1"/>
        <v>101.32246260564992</v>
      </c>
      <c r="P34">
        <f t="shared" si="2"/>
        <v>8.5335278096141817E-2</v>
      </c>
      <c r="Q34">
        <f>10*LOG10((($B$12*$B$9*$H$16*$H$15*(0.613*(10*P34)^4*((10*P34)^1.5+0.5)^-4))/(4*PI()*$B$15^2*(1-$B$7*COS($B$14))^4))/$B$17^2)</f>
        <v>111.32211911502516</v>
      </c>
      <c r="R34">
        <f t="shared" si="4"/>
        <v>2.845712197631222E-2</v>
      </c>
      <c r="S34">
        <f t="shared" si="5"/>
        <v>62.508976847534647</v>
      </c>
      <c r="T34">
        <f t="shared" si="6"/>
        <v>88.928500693206587</v>
      </c>
      <c r="U34">
        <f t="shared" si="7"/>
        <v>118.15693802981943</v>
      </c>
      <c r="V34">
        <f t="shared" si="8"/>
        <v>88.928500693206587</v>
      </c>
      <c r="W34">
        <f t="shared" si="9"/>
        <v>64.003264234478593</v>
      </c>
      <c r="X34">
        <f t="shared" si="10"/>
        <v>39.215686274509807</v>
      </c>
      <c r="Y34">
        <f t="shared" si="11"/>
        <v>108.81340529117922</v>
      </c>
      <c r="Z34">
        <f t="shared" si="12"/>
        <v>6.5359477124183005</v>
      </c>
      <c r="AA34">
        <f t="shared" si="13"/>
        <v>23.037110404610882</v>
      </c>
      <c r="AB34">
        <f t="shared" si="14"/>
        <v>119.44194371127141</v>
      </c>
      <c r="AC34">
        <f t="shared" si="15"/>
        <v>-2.4915694246069107</v>
      </c>
      <c r="AD34">
        <f t="shared" si="16"/>
        <v>116.9503742866645</v>
      </c>
    </row>
    <row r="35" spans="5:30" x14ac:dyDescent="0.3">
      <c r="M35">
        <v>20000</v>
      </c>
      <c r="N35">
        <f t="shared" si="0"/>
        <v>2.7425036850954356</v>
      </c>
      <c r="O35">
        <f t="shared" si="1"/>
        <v>95.411709644604983</v>
      </c>
      <c r="P35">
        <f t="shared" si="2"/>
        <v>0.17067055619228363</v>
      </c>
      <c r="Q35">
        <f>10*LOG10((($B$12*$B$9*$H$16*$H$15*(0.613*(10*P35)^4*((10*P35)^1.5+0.5)^-4))/(4*PI()*$B$15^2*(1-$B$7*COS($B$14))^4))/$B$17^2)</f>
        <v>110.31971497920266</v>
      </c>
      <c r="R35">
        <f t="shared" si="4"/>
        <v>5.6914243952624441E-2</v>
      </c>
      <c r="S35">
        <f t="shared" si="5"/>
        <v>68.387346252950294</v>
      </c>
      <c r="T35">
        <f t="shared" si="6"/>
        <v>177.85700138641317</v>
      </c>
      <c r="U35">
        <f t="shared" si="7"/>
        <v>116.50127305366753</v>
      </c>
      <c r="V35">
        <f t="shared" si="8"/>
        <v>177.85700138641317</v>
      </c>
      <c r="W35">
        <f t="shared" si="9"/>
        <v>56.489086848304282</v>
      </c>
      <c r="X35">
        <f t="shared" si="10"/>
        <v>78.431372549019613</v>
      </c>
      <c r="Y35">
        <f t="shared" si="11"/>
        <v>101.34692324414395</v>
      </c>
      <c r="Z35">
        <f t="shared" si="12"/>
        <v>13.071895424836601</v>
      </c>
      <c r="AA35">
        <f t="shared" si="13"/>
        <v>-1.0452502780716861</v>
      </c>
      <c r="AB35">
        <f t="shared" si="14"/>
        <v>117.57072652431162</v>
      </c>
      <c r="AC35">
        <f t="shared" si="15"/>
        <v>-9.3467937594815851</v>
      </c>
      <c r="AD35">
        <f t="shared" si="16"/>
        <v>108.22393276483004</v>
      </c>
    </row>
    <row r="36" spans="5:30" x14ac:dyDescent="0.3">
      <c r="E36" t="s">
        <v>116</v>
      </c>
      <c r="M36">
        <v>30000</v>
      </c>
      <c r="N36">
        <f t="shared" si="0"/>
        <v>4.1137555276431534</v>
      </c>
      <c r="O36">
        <f t="shared" si="1"/>
        <v>91.917368283865557</v>
      </c>
      <c r="P36">
        <f t="shared" si="2"/>
        <v>0.25600583428842544</v>
      </c>
      <c r="Q36">
        <f>10*LOG10((($B$12*$B$9*$H$16*$H$15*(0.613*(10*P36)^4*((10*P36)^1.5+0.5)^-4))/(4*PI()*$B$15^2*(1-$B$7*COS($B$14))^4))/$B$17^2)</f>
        <v>108.31195344117397</v>
      </c>
      <c r="R36">
        <f t="shared" si="4"/>
        <v>8.5371365928936654E-2</v>
      </c>
      <c r="S36">
        <f t="shared" si="5"/>
        <v>69.751081716190726</v>
      </c>
      <c r="T36">
        <f t="shared" si="6"/>
        <v>266.78550207961979</v>
      </c>
      <c r="U36">
        <f t="shared" si="7"/>
        <v>115.53277112886128</v>
      </c>
      <c r="V36">
        <f t="shared" si="8"/>
        <v>266.78550207961979</v>
      </c>
      <c r="W36">
        <f t="shared" si="9"/>
        <v>52.088949933295453</v>
      </c>
      <c r="X36">
        <f t="shared" si="10"/>
        <v>117.64705882352941</v>
      </c>
      <c r="Y36">
        <f t="shared" si="11"/>
        <v>96.955656852908618</v>
      </c>
      <c r="Z36">
        <f t="shared" si="12"/>
        <v>19.607843137254903</v>
      </c>
      <c r="AA36">
        <f t="shared" si="13"/>
        <v>-15.13255085566329</v>
      </c>
      <c r="AB36">
        <f t="shared" si="14"/>
        <v>116.35303862516645</v>
      </c>
      <c r="AC36">
        <f t="shared" si="15"/>
        <v>-14.969811759715991</v>
      </c>
      <c r="AD36">
        <f t="shared" si="16"/>
        <v>101.38322686545045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0"/>
        <v>5.4850073701908713</v>
      </c>
      <c r="O37">
        <f t="shared" si="1"/>
        <v>89.430113294327796</v>
      </c>
      <c r="P37">
        <f t="shared" si="2"/>
        <v>0.34134111238456727</v>
      </c>
      <c r="Q37">
        <f>10*LOG10((($B$12*$B$9*$H$16*$H$15*(0.613*(10*P37)^4*((10*P37)^1.5+0.5)^-4))/(4*PI()*$B$15^2*(1-$B$7*COS($B$14))^4))/$B$17^2)</f>
        <v>106.48848287142511</v>
      </c>
      <c r="R37">
        <f t="shared" si="4"/>
        <v>0.11382848790524888</v>
      </c>
      <c r="S37">
        <f t="shared" si="5"/>
        <v>69.791185014932751</v>
      </c>
      <c r="T37">
        <f t="shared" si="6"/>
        <v>355.71400277282635</v>
      </c>
      <c r="U37">
        <f t="shared" si="7"/>
        <v>114.84560807751564</v>
      </c>
      <c r="V37">
        <f t="shared" si="8"/>
        <v>355.71400277282635</v>
      </c>
      <c r="W37">
        <f t="shared" si="9"/>
        <v>48.966232225780061</v>
      </c>
      <c r="X37">
        <f t="shared" si="10"/>
        <v>156.86274509803923</v>
      </c>
      <c r="Y37">
        <f t="shared" si="11"/>
        <v>93.83604665284463</v>
      </c>
      <c r="Z37">
        <f t="shared" si="12"/>
        <v>26.143790849673202</v>
      </c>
      <c r="AA37">
        <f t="shared" si="13"/>
        <v>-25.127649778961235</v>
      </c>
      <c r="AB37">
        <f t="shared" si="14"/>
        <v>115.47822498316988</v>
      </c>
      <c r="AC37">
        <f t="shared" si="15"/>
        <v>-19.409938448212671</v>
      </c>
      <c r="AD37">
        <f t="shared" si="16"/>
        <v>96.06828653495721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+10^(O235/10))</f>
        <v>126.30013696825333</v>
      </c>
      <c r="Q38">
        <f t="shared" ref="Q38:AD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+10^(Q235/10))</f>
        <v>118.48019672876197</v>
      </c>
      <c r="S38">
        <f t="shared" si="17"/>
        <v>67.384073034013213</v>
      </c>
      <c r="U38">
        <f t="shared" si="17"/>
        <v>142.48835910401107</v>
      </c>
      <c r="W38">
        <f t="shared" si="17"/>
        <v>100.96545113290981</v>
      </c>
      <c r="Y38">
        <f t="shared" si="17"/>
        <v>137.30957211072516</v>
      </c>
      <c r="AA38">
        <f t="shared" si="17"/>
        <v>86.482253977039193</v>
      </c>
      <c r="AB38">
        <f t="shared" si="17"/>
        <v>143.73201184080352</v>
      </c>
      <c r="AD38">
        <f t="shared" si="17"/>
        <v>138.26065669098674</v>
      </c>
    </row>
    <row r="39" spans="5:30" x14ac:dyDescent="0.3">
      <c r="E39" t="s">
        <v>117</v>
      </c>
      <c r="F39">
        <v>0.1</v>
      </c>
      <c r="M39" t="s">
        <v>157</v>
      </c>
      <c r="N39">
        <f>B18</f>
        <v>1022</v>
      </c>
      <c r="O39">
        <f>O38-20*LOG10($B$18-1)</f>
        <v>66.119622126515111</v>
      </c>
      <c r="Q39">
        <f t="shared" ref="Q39:AD39" si="18">Q38-20*LOG10($B$18-1)</f>
        <v>58.299681887023759</v>
      </c>
      <c r="S39">
        <f t="shared" si="18"/>
        <v>7.203558192275004</v>
      </c>
      <c r="U39">
        <f t="shared" si="18"/>
        <v>82.307844262272852</v>
      </c>
      <c r="W39">
        <f t="shared" si="18"/>
        <v>40.784936291171597</v>
      </c>
      <c r="Y39">
        <f t="shared" si="18"/>
        <v>77.129057268986941</v>
      </c>
      <c r="AA39">
        <f t="shared" si="18"/>
        <v>26.301739135300984</v>
      </c>
      <c r="AB39">
        <f t="shared" si="18"/>
        <v>83.551496999065307</v>
      </c>
      <c r="AD39">
        <f t="shared" si="18"/>
        <v>78.08014184924852</v>
      </c>
    </row>
    <row r="40" spans="5:30" x14ac:dyDescent="0.3">
      <c r="E40" t="s">
        <v>118</v>
      </c>
      <c r="F40">
        <v>0.46</v>
      </c>
      <c r="AA40" t="s">
        <v>155</v>
      </c>
      <c r="AB40">
        <f>'6 bladed propeller'!F76+20*LOG10(450/B18)</f>
        <v>66.330764327302489</v>
      </c>
      <c r="AD40">
        <f>AB40</f>
        <v>66.330764327302489</v>
      </c>
    </row>
    <row r="41" spans="5:30" x14ac:dyDescent="0.3">
      <c r="E41" t="s">
        <v>89</v>
      </c>
      <c r="F41">
        <f>(F39/B10)^2*(F40/F39)</f>
        <v>4.6738354578096612E-5</v>
      </c>
      <c r="AA41" t="s">
        <v>156</v>
      </c>
    </row>
    <row r="42" spans="5:30" x14ac:dyDescent="0.3">
      <c r="E42" t="s">
        <v>83</v>
      </c>
      <c r="F42">
        <f>F39</f>
        <v>0.1</v>
      </c>
      <c r="AA42" t="s">
        <v>148</v>
      </c>
      <c r="AB42">
        <f>10*LOG(10^(AB39/10)+10^(AB40/10))</f>
        <v>83.6330848074671</v>
      </c>
      <c r="AD42">
        <f t="shared" ref="AD42" si="19">10*LOG(10^(AD39/10)+10^(AD40/10))</f>
        <v>78.361150925323471</v>
      </c>
    </row>
    <row r="43" spans="5:30" x14ac:dyDescent="0.3">
      <c r="E43" t="s">
        <v>81</v>
      </c>
      <c r="F43">
        <f>(B13*F42)*(1-B7*COS(B14))/(B7*B9)</f>
        <v>0.52287581699346408</v>
      </c>
    </row>
    <row r="44" spans="5:30" x14ac:dyDescent="0.3">
      <c r="E44" t="s">
        <v>125</v>
      </c>
      <c r="F44">
        <f>5.325*(30+F43^8)^-1</f>
        <v>0.17746694899440529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5.0630470771277656</v>
      </c>
    </row>
    <row r="47" spans="5:30" x14ac:dyDescent="0.3">
      <c r="E47" t="s">
        <v>91</v>
      </c>
      <c r="F47">
        <f>(B12*B9*F46*F45*F44)/(4*PI()*B15^2*(1-B7*COS(B14))^2)</f>
        <v>8.9339057905396986E-3</v>
      </c>
    </row>
    <row r="48" spans="5:30" x14ac:dyDescent="0.3">
      <c r="E48" t="s">
        <v>85</v>
      </c>
      <c r="F48">
        <f>10*LOG10(F47/B17^2)</f>
        <v>73.489813771274811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8"/>
  <sheetViews>
    <sheetView zoomScale="55" zoomScaleNormal="55" workbookViewId="0">
      <selection activeCell="J36" sqref="J36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N5" t="s">
        <v>129</v>
      </c>
      <c r="P5" t="s">
        <v>132</v>
      </c>
      <c r="R5" t="s">
        <v>133</v>
      </c>
      <c r="T5" t="s">
        <v>109</v>
      </c>
      <c r="V5" t="s">
        <v>140</v>
      </c>
      <c r="X5" t="s">
        <v>120</v>
      </c>
      <c r="Z5" t="s">
        <v>147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M6" t="s">
        <v>128</v>
      </c>
      <c r="N6" t="s">
        <v>130</v>
      </c>
      <c r="O6" t="s">
        <v>131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t="s">
        <v>149</v>
      </c>
      <c r="AC6" t="s">
        <v>150</v>
      </c>
      <c r="AD6" t="s">
        <v>151</v>
      </c>
    </row>
    <row r="7" spans="1:30" x14ac:dyDescent="0.3">
      <c r="A7" t="s">
        <v>72</v>
      </c>
      <c r="B7">
        <v>0.26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3.5363967771598935E-3</v>
      </c>
      <c r="O7">
        <f>10*LOG10((($B$12*$B$9*$F$11*$F$14*(0.613*(10*N7)^4*((10*N7)^1.5+0.5)^-4))/(4*PI()*$B$15^2*(1-$B$7*COS($B$14))))/$B$17^2)</f>
        <v>67.165471917355418</v>
      </c>
      <c r="P7">
        <f>(M7*$H$10)*(1-$B$7*COS($B$14))/($B$7*$B$9)</f>
        <v>1.9800657486062482E-4</v>
      </c>
      <c r="Q7">
        <f>10*LOG10((($B$12*$B$9*$H$16*$H$15*(0.613*(10*P7)^4*((10*P7)^1.5+0.5)^-4))/(4*PI()*$B$15^2*(1-$B$7*COS($B$14))^4))/$B$17^2)</f>
        <v>10.456673658553729</v>
      </c>
      <c r="R7">
        <f>(M7*$J$10)*(1-$B$7*COS($B$14))/($B$7*$B$9)</f>
        <v>8.6004120542710916E-5</v>
      </c>
      <c r="S7">
        <f>10*LOG10((($B$12*$B$9*$J$16*$J$15*(0.613*(10*R7)^4*((10*R7)^1.5+0.5)^-4))/(4*PI()*$B$15^2*(1-$B$7*COS($B$14))^4))/$B$17^2)</f>
        <v>-44.451422990275816</v>
      </c>
      <c r="T7">
        <f>(M7*$F$25)*(1-$B$7*COS($B$14))/($B$7*$B$9)</f>
        <v>0.17139723022075962</v>
      </c>
      <c r="U7">
        <f>10*LOG10((($B$12*$B$9*$F$32*$F$31*(0.1406*T7^-0.55))/(4*PI()*$B$15^2*(1-$B$7*COS($B$14))^2))/$B$17^2)</f>
        <v>119.26252915462014</v>
      </c>
      <c r="V7">
        <f>(M7*$F$25)*(1-$B$7*COS($B$14))/($B$7*$B$9)</f>
        <v>0.17139723022075962</v>
      </c>
      <c r="W7">
        <f>10*LOG10((($B$12*$B$9*$H$31*$H$30*(13.59*V7^2*(V7^2+12.5)^-2.25))/(4*PI()*$B$15^2*(1-$B$7*COS($B$14))^4))/$B$17^2)</f>
        <v>58.427034345948947</v>
      </c>
      <c r="X7">
        <f>(M7*$J$27)*(1-$B$7*COS($B$14))/($B$7*$B$9)</f>
        <v>7.9185520361990946E-2</v>
      </c>
      <c r="Y7">
        <f>10*LOG10((($B$12*$B$9*$F$32*$F$31*(13.59*X7^2*(X7^2+12.5)^-2.25))/(4*PI()*$B$15^2*(1-$B$7*COS($B$14))^2))/$B$17^2)</f>
        <v>88.189431129907462</v>
      </c>
      <c r="Z7">
        <f>(M7*$F$42)*(1-$B$7*COS($B$14))/($B$7*$B$9)</f>
        <v>1.1312217194570135E-2</v>
      </c>
      <c r="AA7">
        <f>10*LOG10((($B$12*$B$9*$F$46*$F$45*(5.325*(30+Z7^8)^-1))/(4*PI()*$B$15^2*(1-$B$7*COS($B$14))^2))/$B$17^2)</f>
        <v>61.019674650323495</v>
      </c>
      <c r="AB7">
        <f>10*LOG10(10^(O7/10)+10^(Q7/10)+10^(S7/10)+10^(U7/10)+10^(W7/10)+10^(Y7/10)+10^(AA7/10))</f>
        <v>119.26595683565564</v>
      </c>
      <c r="AC7">
        <f>20*LOG((12194^2*M7^4)/((M7^2+20.6^2)*SQRT((M7^2+107.7^2)*(M7^2+737.9^2))*(M7^2+12194^2)))+2</f>
        <v>-70.434939741819917</v>
      </c>
      <c r="AD7">
        <f t="shared" ref="AD7:AD37" si="0">AB7+AC7</f>
        <v>48.831017093835726</v>
      </c>
    </row>
    <row r="8" spans="1:30" x14ac:dyDescent="0.3">
      <c r="A8" t="s">
        <v>73</v>
      </c>
      <c r="B8">
        <v>61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1">(M8*$F$10*(1-$B$7*COS($B$14)))/($B$7*$B$9)</f>
        <v>7.0727935543197871E-3</v>
      </c>
      <c r="O8">
        <f t="shared" ref="O8:O37" si="2">10*LOG10((($B$12*$B$9*$F$11*$F$14*(0.613*(10*N8)^4*((10*N8)^1.5+0.5)^-4))/(4*PI()*$B$15^2*(1-$B$7*COS($B$14))))/$B$17^2)</f>
        <v>78.794673866856499</v>
      </c>
      <c r="P8">
        <f t="shared" ref="P8:P37" si="3">(M8*$H$10)*(1-$B$7*COS($B$14))/($B$7*$B$9)</f>
        <v>3.9601314972124963E-4</v>
      </c>
      <c r="Q8">
        <f t="shared" ref="Q8:Q33" si="4">10*LOG10((($B$12*$B$9*$H$16*$H$15*(0.613*(10*P8)^4*((10*P8)^1.5+0.5)^-4))/(4*PI()*$B$15^2*(1-$B$7*COS($B$14))^4))/$B$17^2)</f>
        <v>22.49227816543991</v>
      </c>
      <c r="R8">
        <f t="shared" ref="R8:R37" si="5">(M8*$J$10)*(1-$B$7*COS($B$14))/($B$7*$B$9)</f>
        <v>1.7200824108542183E-4</v>
      </c>
      <c r="S8">
        <f t="shared" ref="S8:S37" si="6">10*LOG10((($B$12*$B$9*$J$16*$J$15*(0.613*(10*R8)^4*((10*R8)^1.5+0.5)^-4))/(4*PI()*$B$15^2*(1-$B$7*COS($B$14))^4))/$B$17^2)</f>
        <v>-32.411825261092972</v>
      </c>
      <c r="T8">
        <f t="shared" ref="T8:T37" si="7">(M8*$F$25)*(1-$B$7*COS($B$14))/($B$7*$B$9)</f>
        <v>0.34279446044151923</v>
      </c>
      <c r="U8">
        <f t="shared" ref="U8:U37" si="8">10*LOG10((($B$12*$B$9*$F$32*$F$31*(0.1406*T8^-0.55))/(4*PI()*$B$15^2*(1-$B$7*COS($B$14))^2))/$B$17^2)</f>
        <v>117.60686417846824</v>
      </c>
      <c r="V8">
        <f t="shared" ref="V8:V37" si="9">(M8*$F$25)*(1-$B$7*COS($B$14))/($B$7*$B$9)</f>
        <v>0.34279446044151923</v>
      </c>
      <c r="W8">
        <f t="shared" ref="W8:W37" si="10">10*LOG10((($B$12*$B$9*$H$31*$H$30*(13.59*V8^2*(V8^2+12.5)^-2.25))/(4*PI()*$B$15^2*(1-$B$7*COS($B$14))^4))/$B$17^2)</f>
        <v>64.379141721100325</v>
      </c>
      <c r="X8">
        <f t="shared" ref="X8:X37" si="11">(M8*$J$27)*(1-$B$7*COS($B$14))/($B$7*$B$9)</f>
        <v>0.15837104072398189</v>
      </c>
      <c r="Y8">
        <f t="shared" ref="Y8:Y37" si="12">10*LOG10((($B$12*$B$9*$F$32*$F$31*(13.59*X8^2*(X8^2+12.5)^-2.25))/(4*PI()*$B$15^2*(1-$B$7*COS($B$14))^2))/$B$17^2)</f>
        <v>94.195344303115789</v>
      </c>
      <c r="Z8">
        <f t="shared" ref="Z8:Z37" si="13">(M8*$F$42)*(1-$B$7*COS($B$14))/($B$7*$B$9)</f>
        <v>2.2624434389140271E-2</v>
      </c>
      <c r="AA8">
        <f t="shared" ref="AA8:AA37" si="14">10*LOG10((($B$12*$B$9*$F$46*$F$45*(5.325*(30+Z8^8)^-1))/(4*PI()*$B$15^2*(1-$B$7*COS($B$14))^2))/$B$17^2)</f>
        <v>61.019674650323481</v>
      </c>
      <c r="AB8">
        <f t="shared" ref="AB8:AB37" si="15">10*LOG10(10^(O8/10)+10^(Q8/10)+10^(S8/10)+10^(U8/10)+10^(W8/10)+10^(Y8/10)+10^(AA8/10))</f>
        <v>117.62721601131602</v>
      </c>
      <c r="AC8">
        <f t="shared" ref="AC8:AC37" si="16">20*LOG((12194^2*M8^4)/((M8^2+20.6^2)*SQRT((M8^2+107.7^2)*(M8^2+737.9^2))*(M8^2+12194^2)))+2</f>
        <v>-50.394656885439417</v>
      </c>
      <c r="AD8">
        <f t="shared" si="0"/>
        <v>67.232559125876605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1.1557023109091851E-3</v>
      </c>
      <c r="G9" t="s">
        <v>89</v>
      </c>
      <c r="H9">
        <f>0.37*(H12/H11^2)*((B12*B7*B9*H12)/(B11*H11))^-0.2*(H11/B10)^2</f>
        <v>2.381466832337311E-4</v>
      </c>
      <c r="I9" t="s">
        <v>89</v>
      </c>
      <c r="J9">
        <f>0.37*(J12/J11^2)*((B12*B7*B9*J12)/(B11*J11))^-0.2*(J11/B10)^2</f>
        <v>2.15987620908399E-4</v>
      </c>
      <c r="M9">
        <v>30</v>
      </c>
      <c r="N9">
        <f t="shared" si="1"/>
        <v>1.060919033147968E-2</v>
      </c>
      <c r="O9">
        <f t="shared" si="2"/>
        <v>85.318926326235172</v>
      </c>
      <c r="P9">
        <f t="shared" si="3"/>
        <v>5.9401972458187453E-4</v>
      </c>
      <c r="Q9">
        <f t="shared" si="4"/>
        <v>29.528685534382141</v>
      </c>
      <c r="R9">
        <f t="shared" si="5"/>
        <v>2.5801236162813272E-4</v>
      </c>
      <c r="S9">
        <f t="shared" si="6"/>
        <v>-25.370249318486898</v>
      </c>
      <c r="T9">
        <f t="shared" si="7"/>
        <v>0.51419169066227888</v>
      </c>
      <c r="U9">
        <f t="shared" si="8"/>
        <v>116.63836225366198</v>
      </c>
      <c r="V9">
        <f t="shared" si="9"/>
        <v>0.51419169066227888</v>
      </c>
      <c r="W9">
        <f t="shared" si="10"/>
        <v>67.787868849286767</v>
      </c>
      <c r="X9">
        <f t="shared" si="11"/>
        <v>0.23755656108597284</v>
      </c>
      <c r="Y9">
        <f t="shared" si="12"/>
        <v>97.692740531536515</v>
      </c>
      <c r="Z9">
        <f t="shared" si="13"/>
        <v>3.3936651583710405E-2</v>
      </c>
      <c r="AA9">
        <f t="shared" si="14"/>
        <v>61.019674650323239</v>
      </c>
      <c r="AB9">
        <f t="shared" si="15"/>
        <v>116.69660685665337</v>
      </c>
      <c r="AC9">
        <f t="shared" si="16"/>
        <v>-40.606449491877584</v>
      </c>
      <c r="AD9">
        <f t="shared" si="0"/>
        <v>76.090157364775791</v>
      </c>
    </row>
    <row r="10" spans="1:30" x14ac:dyDescent="0.3">
      <c r="A10" t="s">
        <v>74</v>
      </c>
      <c r="B10">
        <v>27.05</v>
      </c>
      <c r="C10" t="s">
        <v>7</v>
      </c>
      <c r="E10" t="s">
        <v>83</v>
      </c>
      <c r="F10">
        <f>F9*B10</f>
        <v>3.126174751009346E-2</v>
      </c>
      <c r="G10" t="s">
        <v>83</v>
      </c>
      <c r="H10">
        <f>H9*H11</f>
        <v>1.7503781217679236E-3</v>
      </c>
      <c r="I10" t="s">
        <v>83</v>
      </c>
      <c r="J10">
        <f>J9*J11</f>
        <v>7.6027642559756451E-4</v>
      </c>
      <c r="M10">
        <v>40</v>
      </c>
      <c r="N10">
        <f t="shared" si="1"/>
        <v>1.4145587108639574E-2</v>
      </c>
      <c r="O10">
        <f t="shared" si="2"/>
        <v>89.720840709143786</v>
      </c>
      <c r="P10">
        <f t="shared" si="3"/>
        <v>7.9202629944249926E-4</v>
      </c>
      <c r="Q10">
        <f t="shared" si="4"/>
        <v>34.517661788648269</v>
      </c>
      <c r="R10">
        <f t="shared" si="5"/>
        <v>3.4401648217084366E-4</v>
      </c>
      <c r="S10">
        <f t="shared" si="6"/>
        <v>-20.375156050412116</v>
      </c>
      <c r="T10">
        <f t="shared" si="7"/>
        <v>0.68558892088303847</v>
      </c>
      <c r="U10">
        <f t="shared" si="8"/>
        <v>115.95119920231633</v>
      </c>
      <c r="V10">
        <f t="shared" si="9"/>
        <v>0.68558892088303847</v>
      </c>
      <c r="W10">
        <f t="shared" si="10"/>
        <v>70.130473716588597</v>
      </c>
      <c r="X10">
        <f t="shared" si="11"/>
        <v>0.31674208144796379</v>
      </c>
      <c r="Y10">
        <f t="shared" si="12"/>
        <v>100.15741700728819</v>
      </c>
      <c r="Z10">
        <f t="shared" si="13"/>
        <v>4.5248868778280542E-2</v>
      </c>
      <c r="AA10">
        <f t="shared" si="14"/>
        <v>61.019674650320951</v>
      </c>
      <c r="AB10">
        <f t="shared" si="15"/>
        <v>116.07430564009536</v>
      </c>
      <c r="AC10">
        <f t="shared" si="16"/>
        <v>-34.539248027007993</v>
      </c>
      <c r="AD10">
        <f t="shared" si="0"/>
        <v>81.535057613087361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2.159455635385044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1"/>
        <v>1.7681983885799467E-2</v>
      </c>
      <c r="O11">
        <f t="shared" si="2"/>
        <v>92.945459040503721</v>
      </c>
      <c r="P11">
        <f t="shared" si="3"/>
        <v>9.900328743031241E-4</v>
      </c>
      <c r="Q11">
        <f t="shared" si="4"/>
        <v>38.384343032340958</v>
      </c>
      <c r="R11">
        <f t="shared" si="5"/>
        <v>4.3002060271355461E-4</v>
      </c>
      <c r="S11">
        <f t="shared" si="6"/>
        <v>-16.501541116776796</v>
      </c>
      <c r="T11">
        <f t="shared" si="7"/>
        <v>0.85698615110379806</v>
      </c>
      <c r="U11">
        <f t="shared" si="8"/>
        <v>115.41819413077204</v>
      </c>
      <c r="V11">
        <f t="shared" si="9"/>
        <v>0.85698615110379806</v>
      </c>
      <c r="W11">
        <f t="shared" si="10"/>
        <v>71.87148324473155</v>
      </c>
      <c r="X11">
        <f t="shared" si="11"/>
        <v>0.39592760180995473</v>
      </c>
      <c r="Y11">
        <f t="shared" si="12"/>
        <v>102.05195076627837</v>
      </c>
      <c r="Z11">
        <f t="shared" si="13"/>
        <v>5.6561085972850672E-2</v>
      </c>
      <c r="AA11">
        <f t="shared" si="14"/>
        <v>61.019674650308325</v>
      </c>
      <c r="AB11">
        <f t="shared" si="15"/>
        <v>115.63741082833212</v>
      </c>
      <c r="AC11">
        <f t="shared" si="16"/>
        <v>-30.274979580572094</v>
      </c>
      <c r="AD11">
        <f t="shared" si="0"/>
        <v>85.362431247760028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0.28291174217279147</v>
      </c>
      <c r="G12" t="s">
        <v>98</v>
      </c>
      <c r="H12">
        <v>11.73</v>
      </c>
      <c r="I12" t="s">
        <v>101</v>
      </c>
      <c r="J12">
        <v>12.48</v>
      </c>
      <c r="M12">
        <v>60</v>
      </c>
      <c r="N12">
        <f t="shared" si="1"/>
        <v>2.121838066295936E-2</v>
      </c>
      <c r="O12">
        <f t="shared" si="2"/>
        <v>95.419387487264814</v>
      </c>
      <c r="P12">
        <f t="shared" si="3"/>
        <v>1.1880394491637491E-3</v>
      </c>
      <c r="Q12">
        <f t="shared" si="4"/>
        <v>41.540852301208531</v>
      </c>
      <c r="R12">
        <f t="shared" si="5"/>
        <v>5.1602472325626544E-4</v>
      </c>
      <c r="S12">
        <f t="shared" si="6"/>
        <v>-13.337370862897519</v>
      </c>
      <c r="T12">
        <f t="shared" si="7"/>
        <v>1.0283833813245578</v>
      </c>
      <c r="U12">
        <f t="shared" si="8"/>
        <v>114.98269727751008</v>
      </c>
      <c r="V12">
        <f t="shared" si="9"/>
        <v>1.0283833813245578</v>
      </c>
      <c r="W12">
        <f t="shared" si="10"/>
        <v>73.219379133093312</v>
      </c>
      <c r="X12">
        <f t="shared" si="11"/>
        <v>0.47511312217194568</v>
      </c>
      <c r="Y12">
        <f t="shared" si="12"/>
        <v>103.58246916206413</v>
      </c>
      <c r="Z12">
        <f t="shared" si="13"/>
        <v>6.7873303167420809E-2</v>
      </c>
      <c r="AA12">
        <f t="shared" si="14"/>
        <v>61.019674650258295</v>
      </c>
      <c r="AB12">
        <f t="shared" si="15"/>
        <v>115.33126014317614</v>
      </c>
      <c r="AC12">
        <f t="shared" si="16"/>
        <v>-27.048849321682884</v>
      </c>
      <c r="AD12">
        <f t="shared" si="0"/>
        <v>88.282410821493258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5.1356301366546481E-2</v>
      </c>
      <c r="G13" t="s">
        <v>102</v>
      </c>
      <c r="H13">
        <f>(B13*H10)*(1-B7*COS(B14))/(B7*B9)</f>
        <v>1.5840525988849986E-2</v>
      </c>
      <c r="I13" t="s">
        <v>105</v>
      </c>
      <c r="J13">
        <f>(B13*J10)*(1-B7*COS(B14))/(B7*B9)</f>
        <v>6.8803296434168737E-3</v>
      </c>
      <c r="M13">
        <v>70</v>
      </c>
      <c r="N13">
        <f t="shared" si="1"/>
        <v>2.4754777440119252E-2</v>
      </c>
      <c r="O13">
        <f t="shared" si="2"/>
        <v>97.373593972739712</v>
      </c>
      <c r="P13">
        <f t="shared" si="3"/>
        <v>1.3860460240243738E-3</v>
      </c>
      <c r="Q13">
        <f t="shared" si="4"/>
        <v>44.207054036894831</v>
      </c>
      <c r="R13">
        <f t="shared" si="5"/>
        <v>6.0202884379897644E-4</v>
      </c>
      <c r="S13">
        <f t="shared" si="6"/>
        <v>-10.662846851919689</v>
      </c>
      <c r="T13">
        <f t="shared" si="7"/>
        <v>1.1997806115453173</v>
      </c>
      <c r="U13">
        <f t="shared" si="8"/>
        <v>114.61448993454171</v>
      </c>
      <c r="V13">
        <f t="shared" si="9"/>
        <v>1.1997806115453173</v>
      </c>
      <c r="W13">
        <f t="shared" si="10"/>
        <v>74.286865038801793</v>
      </c>
      <c r="X13">
        <f t="shared" si="11"/>
        <v>0.55429864253393657</v>
      </c>
      <c r="Y13">
        <f t="shared" si="12"/>
        <v>104.85901255247765</v>
      </c>
      <c r="Z13">
        <f t="shared" si="13"/>
        <v>7.9185520361990946E-2</v>
      </c>
      <c r="AA13">
        <f t="shared" si="14"/>
        <v>61.019674650099709</v>
      </c>
      <c r="AB13">
        <f t="shared" si="15"/>
        <v>115.12510816554878</v>
      </c>
      <c r="AC13">
        <f t="shared" si="16"/>
        <v>-24.49130199968733</v>
      </c>
      <c r="AD13">
        <f t="shared" si="0"/>
        <v>90.633806165861444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3.8402965697774453E-3</v>
      </c>
      <c r="I14" t="s">
        <v>106</v>
      </c>
      <c r="J14">
        <f>0.613*(10*J13)^4*((10*J13)^1.5+0.5)^-4</f>
        <v>1.9073024813604604E-4</v>
      </c>
      <c r="M14">
        <v>80</v>
      </c>
      <c r="N14">
        <f t="shared" si="1"/>
        <v>2.8291174217279148E-2</v>
      </c>
      <c r="O14">
        <f t="shared" si="2"/>
        <v>98.948067262377833</v>
      </c>
      <c r="P14">
        <f t="shared" si="3"/>
        <v>1.5840525988849985E-3</v>
      </c>
      <c r="Q14">
        <f t="shared" si="4"/>
        <v>46.514204443746088</v>
      </c>
      <c r="R14">
        <f t="shared" si="5"/>
        <v>6.8803296434168733E-4</v>
      </c>
      <c r="S14">
        <f t="shared" si="6"/>
        <v>-8.3467643469646617</v>
      </c>
      <c r="T14">
        <f t="shared" si="7"/>
        <v>1.3711778417660769</v>
      </c>
      <c r="U14">
        <f t="shared" si="8"/>
        <v>114.29553422616443</v>
      </c>
      <c r="V14">
        <f t="shared" si="9"/>
        <v>1.3711778417660769</v>
      </c>
      <c r="W14">
        <f t="shared" si="10"/>
        <v>75.142584954302322</v>
      </c>
      <c r="X14">
        <f t="shared" si="11"/>
        <v>0.63348416289592757</v>
      </c>
      <c r="Y14">
        <f t="shared" si="12"/>
        <v>105.94735182763461</v>
      </c>
      <c r="Z14">
        <f t="shared" si="13"/>
        <v>9.0497737556561084E-2</v>
      </c>
      <c r="AA14">
        <f t="shared" si="14"/>
        <v>61.019674649672226</v>
      </c>
      <c r="AB14">
        <f t="shared" si="15"/>
        <v>114.99811752195301</v>
      </c>
      <c r="AC14">
        <f t="shared" si="16"/>
        <v>-22.397666626519193</v>
      </c>
      <c r="AD14">
        <f t="shared" si="0"/>
        <v>92.600450895433809</v>
      </c>
    </row>
    <row r="15" spans="1:30" x14ac:dyDescent="0.3">
      <c r="A15" t="s">
        <v>12</v>
      </c>
      <c r="B15">
        <v>1</v>
      </c>
      <c r="C15" t="s">
        <v>7</v>
      </c>
      <c r="E15" t="s">
        <v>91</v>
      </c>
      <c r="F15">
        <f>(B12*B9*F11*F14*F13)/(4*PI()*B15^2*(1-B7*COS(B14)))</f>
        <v>7.3507174942413052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1"/>
        <v>3.1827570994439044E-2</v>
      </c>
      <c r="O15">
        <f t="shared" si="2"/>
        <v>100.23443829262089</v>
      </c>
      <c r="P15">
        <f t="shared" si="3"/>
        <v>1.7820591737456233E-3</v>
      </c>
      <c r="Q15">
        <f t="shared" si="4"/>
        <v>48.546978202356669</v>
      </c>
      <c r="R15">
        <f t="shared" si="5"/>
        <v>7.7403708488439811E-4</v>
      </c>
      <c r="S15">
        <f t="shared" si="6"/>
        <v>-6.3044903567382189</v>
      </c>
      <c r="T15">
        <f t="shared" si="7"/>
        <v>1.5425750719868367</v>
      </c>
      <c r="U15">
        <f t="shared" si="8"/>
        <v>114.01419535270384</v>
      </c>
      <c r="V15">
        <f t="shared" si="9"/>
        <v>1.5425750719868367</v>
      </c>
      <c r="W15">
        <f t="shared" si="10"/>
        <v>75.83203531888168</v>
      </c>
      <c r="X15">
        <f t="shared" si="11"/>
        <v>0.71266968325791846</v>
      </c>
      <c r="Y15">
        <f t="shared" si="12"/>
        <v>106.88999677989827</v>
      </c>
      <c r="Z15">
        <f t="shared" si="13"/>
        <v>0.10180995475113122</v>
      </c>
      <c r="AA15">
        <f t="shared" si="14"/>
        <v>61.019674648652462</v>
      </c>
      <c r="AB15">
        <f t="shared" si="15"/>
        <v>114.93416931158278</v>
      </c>
      <c r="AC15">
        <f t="shared" si="16"/>
        <v>-20.642894369008943</v>
      </c>
      <c r="AD15">
        <f t="shared" si="0"/>
        <v>94.291274942573835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102.64269740760541</v>
      </c>
      <c r="G16" t="s">
        <v>90</v>
      </c>
      <c r="H16">
        <f>H7*B7^H8*H9*(B12*B9^3*B10^2)</f>
        <v>0.44498240792887767</v>
      </c>
      <c r="I16" t="s">
        <v>90</v>
      </c>
      <c r="J16">
        <f>J7*B7^J8*J9*(B12*B9^3*B10^2)</f>
        <v>0.40357770399985093</v>
      </c>
      <c r="M16">
        <v>100</v>
      </c>
      <c r="N16">
        <f t="shared" si="1"/>
        <v>3.5363967771598934E-2</v>
      </c>
      <c r="O16">
        <f t="shared" si="2"/>
        <v>101.29610549220571</v>
      </c>
      <c r="P16">
        <f t="shared" si="3"/>
        <v>1.9800657486062482E-3</v>
      </c>
      <c r="Q16">
        <f t="shared" si="4"/>
        <v>50.363199233275331</v>
      </c>
      <c r="R16">
        <f t="shared" si="5"/>
        <v>8.6004120542710922E-4</v>
      </c>
      <c r="S16">
        <f t="shared" si="6"/>
        <v>-4.4782356961616179</v>
      </c>
      <c r="T16">
        <f t="shared" si="7"/>
        <v>1.7139723022075961</v>
      </c>
      <c r="U16">
        <f t="shared" si="8"/>
        <v>113.76252915462013</v>
      </c>
      <c r="V16">
        <f t="shared" si="9"/>
        <v>1.7139723022075961</v>
      </c>
      <c r="W16">
        <f t="shared" si="10"/>
        <v>76.387338487583335</v>
      </c>
      <c r="X16">
        <f t="shared" si="11"/>
        <v>0.79185520361990946</v>
      </c>
      <c r="Y16">
        <f t="shared" si="12"/>
        <v>107.71605769093122</v>
      </c>
      <c r="Z16">
        <f t="shared" si="13"/>
        <v>0.11312217194570134</v>
      </c>
      <c r="AA16">
        <f t="shared" si="14"/>
        <v>61.019674646441587</v>
      </c>
      <c r="AB16">
        <f t="shared" si="15"/>
        <v>114.91988041861838</v>
      </c>
      <c r="AC16">
        <f t="shared" si="16"/>
        <v>-19.144954291317543</v>
      </c>
      <c r="AD16">
        <f t="shared" si="0"/>
        <v>95.77492612730083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0.11326593473416646</v>
      </c>
      <c r="I17" t="s">
        <v>91</v>
      </c>
      <c r="J17">
        <f>(B12*B9*J16*J15*J14)/(4*PI()*B15^2*(1-B7*COS(B14))^4)</f>
        <v>5.1023165612464085E-7</v>
      </c>
      <c r="M17">
        <v>200</v>
      </c>
      <c r="N17">
        <f t="shared" si="1"/>
        <v>7.0727935543197867E-2</v>
      </c>
      <c r="O17">
        <f t="shared" si="2"/>
        <v>105.82127536282024</v>
      </c>
      <c r="P17">
        <f t="shared" si="3"/>
        <v>3.9601314972124964E-3</v>
      </c>
      <c r="Q17">
        <f t="shared" si="4"/>
        <v>62.229266461977261</v>
      </c>
      <c r="R17">
        <f t="shared" si="5"/>
        <v>1.7200824108542184E-3</v>
      </c>
      <c r="S17">
        <f t="shared" si="6"/>
        <v>7.5124506785897571</v>
      </c>
      <c r="T17">
        <f t="shared" si="7"/>
        <v>3.4279446044151922</v>
      </c>
      <c r="U17">
        <f t="shared" si="8"/>
        <v>112.10686417846823</v>
      </c>
      <c r="V17">
        <f t="shared" si="9"/>
        <v>3.4279446044151922</v>
      </c>
      <c r="W17">
        <f t="shared" si="10"/>
        <v>77.994709230474911</v>
      </c>
      <c r="X17">
        <f t="shared" si="11"/>
        <v>1.5837104072398189</v>
      </c>
      <c r="Y17">
        <f t="shared" si="12"/>
        <v>112.42805307563509</v>
      </c>
      <c r="Z17">
        <f t="shared" si="13"/>
        <v>0.22624434389140269</v>
      </c>
      <c r="AA17">
        <f t="shared" si="14"/>
        <v>61.019673656555852</v>
      </c>
      <c r="AB17">
        <f t="shared" si="15"/>
        <v>115.74743373795626</v>
      </c>
      <c r="AC17">
        <f t="shared" si="16"/>
        <v>-10.847055415577483</v>
      </c>
      <c r="AD17">
        <f t="shared" si="0"/>
        <v>104.90037832237877</v>
      </c>
    </row>
    <row r="18" spans="1:30" x14ac:dyDescent="0.3">
      <c r="A18" t="s">
        <v>154</v>
      </c>
      <c r="B18">
        <v>120.5</v>
      </c>
      <c r="G18" t="s">
        <v>85</v>
      </c>
      <c r="H18">
        <f>10*LOG10(H17/B17^2)</f>
        <v>84.520393220527396</v>
      </c>
      <c r="I18" t="s">
        <v>85</v>
      </c>
      <c r="J18">
        <f>10*LOG10(J17/B17^2)</f>
        <v>31.057074085627384</v>
      </c>
      <c r="M18">
        <v>300</v>
      </c>
      <c r="N18">
        <f t="shared" si="1"/>
        <v>0.1060919033147968</v>
      </c>
      <c r="O18">
        <f t="shared" si="2"/>
        <v>106.35267997634905</v>
      </c>
      <c r="P18">
        <f t="shared" si="3"/>
        <v>5.9401972458187451E-3</v>
      </c>
      <c r="Q18">
        <f t="shared" si="4"/>
        <v>69.048720820758945</v>
      </c>
      <c r="R18">
        <f t="shared" si="5"/>
        <v>2.5801236162813273E-3</v>
      </c>
      <c r="S18">
        <f t="shared" si="6"/>
        <v>14.490906047023266</v>
      </c>
      <c r="T18">
        <f t="shared" si="7"/>
        <v>5.1419169066227886</v>
      </c>
      <c r="U18">
        <f t="shared" si="8"/>
        <v>111.13836225366198</v>
      </c>
      <c r="V18">
        <f t="shared" si="9"/>
        <v>5.1419169066227886</v>
      </c>
      <c r="W18">
        <f t="shared" si="10"/>
        <v>76.889137152785366</v>
      </c>
      <c r="X18">
        <f t="shared" si="11"/>
        <v>2.3755656108597285</v>
      </c>
      <c r="Y18">
        <f t="shared" si="12"/>
        <v>114.09610922058081</v>
      </c>
      <c r="Z18">
        <f t="shared" si="13"/>
        <v>0.33936651583710403</v>
      </c>
      <c r="AA18">
        <f t="shared" si="14"/>
        <v>61.019649181217503</v>
      </c>
      <c r="AB18">
        <f t="shared" si="15"/>
        <v>116.33482633505591</v>
      </c>
      <c r="AC18">
        <f t="shared" si="16"/>
        <v>-7.0544626466411682</v>
      </c>
      <c r="AD18">
        <f t="shared" si="0"/>
        <v>109.28036368841474</v>
      </c>
    </row>
    <row r="19" spans="1:30" x14ac:dyDescent="0.3">
      <c r="M19">
        <v>400</v>
      </c>
      <c r="N19">
        <f t="shared" si="1"/>
        <v>0.14145587108639573</v>
      </c>
      <c r="O19">
        <f t="shared" si="2"/>
        <v>105.87876170573657</v>
      </c>
      <c r="P19">
        <f t="shared" si="3"/>
        <v>7.9202629944249928E-3</v>
      </c>
      <c r="Q19">
        <f t="shared" si="4"/>
        <v>73.784467135124871</v>
      </c>
      <c r="R19">
        <f t="shared" si="5"/>
        <v>3.4401648217084369E-3</v>
      </c>
      <c r="S19">
        <f t="shared" si="6"/>
        <v>19.411567046151834</v>
      </c>
      <c r="T19">
        <f t="shared" si="7"/>
        <v>6.8558892088303844</v>
      </c>
      <c r="U19">
        <f t="shared" si="8"/>
        <v>110.45119920231633</v>
      </c>
      <c r="V19">
        <f t="shared" si="9"/>
        <v>6.8558892088303844</v>
      </c>
      <c r="W19">
        <f t="shared" si="10"/>
        <v>75.244487400556622</v>
      </c>
      <c r="X19">
        <f t="shared" si="11"/>
        <v>3.1674208144796379</v>
      </c>
      <c r="Y19">
        <f t="shared" si="12"/>
        <v>114.4777720093349</v>
      </c>
      <c r="Z19">
        <f t="shared" si="13"/>
        <v>0.45248868778280538</v>
      </c>
      <c r="AA19">
        <f t="shared" si="14"/>
        <v>61.019420253228809</v>
      </c>
      <c r="AB19">
        <f t="shared" si="15"/>
        <v>116.33590582992314</v>
      </c>
      <c r="AC19">
        <f t="shared" si="16"/>
        <v>-4.7738910332852953</v>
      </c>
      <c r="AD19">
        <f t="shared" si="0"/>
        <v>111.56201479663784</v>
      </c>
    </row>
    <row r="20" spans="1:30" x14ac:dyDescent="0.3">
      <c r="M20">
        <v>500</v>
      </c>
      <c r="N20">
        <f t="shared" si="1"/>
        <v>0.17681983885799468</v>
      </c>
      <c r="O20">
        <f t="shared" si="2"/>
        <v>105.11126907395814</v>
      </c>
      <c r="P20">
        <f t="shared" si="3"/>
        <v>9.9003287430312406E-3</v>
      </c>
      <c r="Q20">
        <f t="shared" si="4"/>
        <v>77.368609109074129</v>
      </c>
      <c r="R20">
        <f t="shared" si="5"/>
        <v>4.3002060271355455E-3</v>
      </c>
      <c r="S20">
        <f t="shared" si="6"/>
        <v>23.201164695771475</v>
      </c>
      <c r="T20">
        <f t="shared" si="7"/>
        <v>8.5698615110379812</v>
      </c>
      <c r="U20">
        <f t="shared" si="8"/>
        <v>109.91819413077202</v>
      </c>
      <c r="V20">
        <f t="shared" si="9"/>
        <v>8.5698615110379812</v>
      </c>
      <c r="W20">
        <f t="shared" si="10"/>
        <v>73.590165068591602</v>
      </c>
      <c r="X20">
        <f t="shared" si="11"/>
        <v>3.9592760180995472</v>
      </c>
      <c r="Y20">
        <f t="shared" si="12"/>
        <v>114.23196814823713</v>
      </c>
      <c r="Z20">
        <f t="shared" si="13"/>
        <v>0.56561085972850678</v>
      </c>
      <c r="AA20">
        <f t="shared" si="14"/>
        <v>61.018158545729449</v>
      </c>
      <c r="AB20">
        <f t="shared" si="15"/>
        <v>115.97285008431605</v>
      </c>
      <c r="AC20">
        <f t="shared" si="16"/>
        <v>-3.2478075093781307</v>
      </c>
      <c r="AD20">
        <f t="shared" si="0"/>
        <v>112.72504257493792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1"/>
        <v>0.2121838066295936</v>
      </c>
      <c r="O21">
        <f t="shared" si="2"/>
        <v>104.27229332189071</v>
      </c>
      <c r="P21">
        <f t="shared" si="3"/>
        <v>1.188039449163749E-2</v>
      </c>
      <c r="Q21">
        <f t="shared" si="4"/>
        <v>80.218322840109209</v>
      </c>
      <c r="R21">
        <f t="shared" si="5"/>
        <v>5.1602472325626546E-3</v>
      </c>
      <c r="S21">
        <f t="shared" si="6"/>
        <v>26.272936224542281</v>
      </c>
      <c r="T21">
        <f t="shared" si="7"/>
        <v>10.283833813245577</v>
      </c>
      <c r="U21">
        <f t="shared" si="8"/>
        <v>109.4826972775101</v>
      </c>
      <c r="V21">
        <f t="shared" si="9"/>
        <v>10.283833813245577</v>
      </c>
      <c r="W21">
        <f t="shared" si="10"/>
        <v>72.054848645907029</v>
      </c>
      <c r="X21">
        <f t="shared" si="11"/>
        <v>4.751131221719457</v>
      </c>
      <c r="Y21">
        <f t="shared" si="12"/>
        <v>113.67587226420042</v>
      </c>
      <c r="Z21">
        <f t="shared" si="13"/>
        <v>0.67873303167420806</v>
      </c>
      <c r="AA21">
        <f t="shared" si="14"/>
        <v>61.013159429534021</v>
      </c>
      <c r="AB21">
        <f t="shared" si="15"/>
        <v>115.42528534202117</v>
      </c>
      <c r="AC21">
        <f t="shared" si="16"/>
        <v>-2.1700037836745878</v>
      </c>
      <c r="AD21">
        <f t="shared" si="0"/>
        <v>113.25528155834658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1"/>
        <v>0.24754777440119252</v>
      </c>
      <c r="O22">
        <f t="shared" si="2"/>
        <v>103.44004143491908</v>
      </c>
      <c r="P22">
        <f t="shared" si="3"/>
        <v>1.3860460240243736E-2</v>
      </c>
      <c r="Q22">
        <f t="shared" si="4"/>
        <v>82.557423304752746</v>
      </c>
      <c r="R22">
        <f t="shared" si="5"/>
        <v>6.0202884379897638E-3</v>
      </c>
      <c r="S22">
        <f t="shared" si="6"/>
        <v>28.847593734499171</v>
      </c>
      <c r="T22">
        <f t="shared" si="7"/>
        <v>11.997806115453173</v>
      </c>
      <c r="U22">
        <f t="shared" si="8"/>
        <v>109.11448993454172</v>
      </c>
      <c r="V22">
        <f t="shared" si="9"/>
        <v>11.997806115453173</v>
      </c>
      <c r="W22">
        <f t="shared" si="10"/>
        <v>70.659123536977134</v>
      </c>
      <c r="X22">
        <f t="shared" si="11"/>
        <v>5.5429864253393655</v>
      </c>
      <c r="Y22">
        <f t="shared" si="12"/>
        <v>112.97279832458015</v>
      </c>
      <c r="Z22">
        <f t="shared" si="13"/>
        <v>0.79185520361990946</v>
      </c>
      <c r="AA22">
        <f t="shared" si="14"/>
        <v>60.997353697429126</v>
      </c>
      <c r="AB22">
        <f t="shared" si="15"/>
        <v>114.80162903621161</v>
      </c>
      <c r="AC22">
        <f t="shared" si="16"/>
        <v>-1.3830326182040067</v>
      </c>
      <c r="AD22">
        <f t="shared" si="0"/>
        <v>113.4185964180076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1"/>
        <v>0.28291174217279147</v>
      </c>
      <c r="O23">
        <f t="shared" si="2"/>
        <v>102.64269740760541</v>
      </c>
      <c r="P23">
        <f t="shared" si="3"/>
        <v>1.5840525988849986E-2</v>
      </c>
      <c r="Q23">
        <f t="shared" si="4"/>
        <v>84.520393220527396</v>
      </c>
      <c r="R23">
        <f t="shared" si="5"/>
        <v>6.8803296434168737E-3</v>
      </c>
      <c r="S23">
        <f t="shared" si="6"/>
        <v>31.057074085627384</v>
      </c>
      <c r="T23">
        <f t="shared" si="7"/>
        <v>13.711778417660769</v>
      </c>
      <c r="U23">
        <f t="shared" si="8"/>
        <v>108.79553422616445</v>
      </c>
      <c r="V23">
        <f t="shared" si="9"/>
        <v>13.711778417660769</v>
      </c>
      <c r="W23">
        <f t="shared" si="10"/>
        <v>69.394046758005786</v>
      </c>
      <c r="X23">
        <f t="shared" si="11"/>
        <v>6.3348416289592757</v>
      </c>
      <c r="Y23">
        <f t="shared" si="12"/>
        <v>112.20881526517594</v>
      </c>
      <c r="Z23">
        <f t="shared" si="13"/>
        <v>0.90497737556561075</v>
      </c>
      <c r="AA23">
        <f t="shared" si="14"/>
        <v>60.955030590989203</v>
      </c>
      <c r="AB23">
        <f t="shared" si="15"/>
        <v>114.1621697528572</v>
      </c>
      <c r="AC23">
        <f t="shared" si="16"/>
        <v>-0.79460657411842606</v>
      </c>
      <c r="AD23">
        <f t="shared" si="0"/>
        <v>113.36756317873876</v>
      </c>
    </row>
    <row r="24" spans="1:30" x14ac:dyDescent="0.3">
      <c r="E24" t="s">
        <v>89</v>
      </c>
      <c r="F24">
        <f>(F27/B10^2)*SIN(F26)^2</f>
        <v>4.4979560575214815E-3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1"/>
        <v>0.31827570994439042</v>
      </c>
      <c r="O24">
        <f t="shared" si="2"/>
        <v>101.88922612741587</v>
      </c>
      <c r="P24">
        <f t="shared" si="3"/>
        <v>1.7820591737456235E-2</v>
      </c>
      <c r="Q24">
        <f t="shared" si="4"/>
        <v>86.194615269650711</v>
      </c>
      <c r="R24">
        <f t="shared" si="5"/>
        <v>7.7403708488439811E-3</v>
      </c>
      <c r="S24">
        <f t="shared" si="6"/>
        <v>32.986619148602934</v>
      </c>
      <c r="T24">
        <f t="shared" si="7"/>
        <v>15.425750719868365</v>
      </c>
      <c r="U24">
        <f t="shared" si="8"/>
        <v>108.51419535270384</v>
      </c>
      <c r="V24">
        <f t="shared" si="9"/>
        <v>15.425750719868365</v>
      </c>
      <c r="W24">
        <f t="shared" si="10"/>
        <v>68.243926779798002</v>
      </c>
      <c r="X24">
        <f t="shared" si="11"/>
        <v>7.1266968325791851</v>
      </c>
      <c r="Y24">
        <f t="shared" si="12"/>
        <v>111.42964713157362</v>
      </c>
      <c r="Z24">
        <f t="shared" si="13"/>
        <v>1.0180995475113122</v>
      </c>
      <c r="AA24">
        <f t="shared" si="14"/>
        <v>60.855706013534522</v>
      </c>
      <c r="AB24">
        <f t="shared" si="15"/>
        <v>113.53886169877785</v>
      </c>
      <c r="AC24">
        <f t="shared" si="16"/>
        <v>-0.34641558835306263</v>
      </c>
      <c r="AD24">
        <f t="shared" si="0"/>
        <v>113.19244611042478</v>
      </c>
    </row>
    <row r="25" spans="1:30" x14ac:dyDescent="0.3">
      <c r="E25" t="s">
        <v>83</v>
      </c>
      <c r="F25">
        <f>F27/F28</f>
        <v>1.5151515151515151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1"/>
        <v>0.35363967771598936</v>
      </c>
      <c r="O25">
        <f t="shared" si="2"/>
        <v>101.18082466183242</v>
      </c>
      <c r="P25">
        <f t="shared" si="3"/>
        <v>1.9800657486062481E-2</v>
      </c>
      <c r="Q25">
        <f t="shared" si="4"/>
        <v>87.640226877806541</v>
      </c>
      <c r="R25">
        <f t="shared" si="5"/>
        <v>8.6004120542710911E-3</v>
      </c>
      <c r="S25">
        <f t="shared" si="6"/>
        <v>34.694538312289552</v>
      </c>
      <c r="T25">
        <f t="shared" si="7"/>
        <v>17.139723022075962</v>
      </c>
      <c r="U25">
        <f t="shared" si="8"/>
        <v>108.26252915462013</v>
      </c>
      <c r="V25">
        <f t="shared" si="9"/>
        <v>17.139723022075962</v>
      </c>
      <c r="W25">
        <f t="shared" si="10"/>
        <v>67.193093911842652</v>
      </c>
      <c r="X25">
        <f t="shared" si="11"/>
        <v>7.9185520361990944</v>
      </c>
      <c r="Y25">
        <f t="shared" si="12"/>
        <v>110.65945508527547</v>
      </c>
      <c r="Z25">
        <f t="shared" si="13"/>
        <v>1.1312217194570136</v>
      </c>
      <c r="AA25">
        <f t="shared" si="14"/>
        <v>60.647864037437131</v>
      </c>
      <c r="AB25">
        <f t="shared" si="15"/>
        <v>112.94768518426552</v>
      </c>
      <c r="AC25">
        <f t="shared" si="16"/>
        <v>1.415276948792954E-4</v>
      </c>
      <c r="AD25">
        <f t="shared" si="0"/>
        <v>112.9478267119604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2.976619596079008E-4</v>
      </c>
      <c r="I26" t="s">
        <v>89</v>
      </c>
      <c r="J26">
        <f>J25*(J24/B10)^2</f>
        <v>1.9680129560852942E-3</v>
      </c>
      <c r="M26">
        <v>2000</v>
      </c>
      <c r="N26">
        <f t="shared" si="1"/>
        <v>0.70727935543197873</v>
      </c>
      <c r="O26">
        <f t="shared" si="2"/>
        <v>95.963803595255911</v>
      </c>
      <c r="P26">
        <f t="shared" si="3"/>
        <v>3.9601314972124962E-2</v>
      </c>
      <c r="Q26">
        <f t="shared" si="4"/>
        <v>95.475606017644907</v>
      </c>
      <c r="R26">
        <f t="shared" si="5"/>
        <v>1.7200824108542182E-2</v>
      </c>
      <c r="S26">
        <f t="shared" si="6"/>
        <v>45.273714133222725</v>
      </c>
      <c r="T26">
        <f t="shared" si="7"/>
        <v>34.279446044151925</v>
      </c>
      <c r="U26">
        <f t="shared" si="8"/>
        <v>106.60686417846821</v>
      </c>
      <c r="V26">
        <f t="shared" si="9"/>
        <v>34.279446044151925</v>
      </c>
      <c r="W26">
        <f t="shared" si="10"/>
        <v>59.97112934759209</v>
      </c>
      <c r="X26">
        <f t="shared" si="11"/>
        <v>15.837104072398189</v>
      </c>
      <c r="Y26">
        <f t="shared" si="12"/>
        <v>104.43474793438762</v>
      </c>
      <c r="Z26">
        <f t="shared" si="13"/>
        <v>2.2624434389140271</v>
      </c>
      <c r="AA26">
        <f t="shared" si="14"/>
        <v>47.238904385474058</v>
      </c>
      <c r="AB26">
        <f t="shared" si="15"/>
        <v>109.0860310364782</v>
      </c>
      <c r="AC26">
        <f t="shared" si="16"/>
        <v>1.201674176077685</v>
      </c>
      <c r="AD26">
        <f t="shared" si="0"/>
        <v>110.28770521255589</v>
      </c>
    </row>
    <row r="27" spans="1:30" x14ac:dyDescent="0.3">
      <c r="E27" t="s">
        <v>110</v>
      </c>
      <c r="F27">
        <v>10</v>
      </c>
      <c r="G27" t="s">
        <v>83</v>
      </c>
      <c r="H27">
        <v>0.35</v>
      </c>
      <c r="I27" t="s">
        <v>83</v>
      </c>
      <c r="J27">
        <v>0.7</v>
      </c>
      <c r="M27">
        <v>3000</v>
      </c>
      <c r="N27">
        <f t="shared" si="1"/>
        <v>1.0609190331479681</v>
      </c>
      <c r="O27">
        <f t="shared" si="2"/>
        <v>92.648164094460924</v>
      </c>
      <c r="P27">
        <f t="shared" si="3"/>
        <v>5.9401972458187451E-2</v>
      </c>
      <c r="Q27">
        <f t="shared" si="4"/>
        <v>98.251903913535159</v>
      </c>
      <c r="R27">
        <f t="shared" si="5"/>
        <v>2.5801236162813272E-2</v>
      </c>
      <c r="S27">
        <f t="shared" si="6"/>
        <v>50.59035555346842</v>
      </c>
      <c r="T27">
        <f t="shared" si="7"/>
        <v>51.41916906622788</v>
      </c>
      <c r="U27">
        <f t="shared" si="8"/>
        <v>105.638362253662</v>
      </c>
      <c r="V27">
        <f t="shared" si="9"/>
        <v>51.41916906622788</v>
      </c>
      <c r="W27">
        <f t="shared" si="10"/>
        <v>55.626155731546888</v>
      </c>
      <c r="X27">
        <f t="shared" si="11"/>
        <v>23.755656108597282</v>
      </c>
      <c r="Y27">
        <f t="shared" si="12"/>
        <v>100.29363534325581</v>
      </c>
      <c r="Z27">
        <f t="shared" si="13"/>
        <v>3.3936651583710407</v>
      </c>
      <c r="AA27">
        <f t="shared" si="14"/>
        <v>33.329968840238848</v>
      </c>
      <c r="AB27">
        <f t="shared" si="15"/>
        <v>107.47072075164064</v>
      </c>
      <c r="AC27">
        <f t="shared" si="16"/>
        <v>1.2284560262974789</v>
      </c>
      <c r="AD27">
        <f t="shared" si="0"/>
        <v>108.69917677793812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3.1674208144796379</v>
      </c>
      <c r="I28" t="s">
        <v>81</v>
      </c>
      <c r="J28">
        <f>(B13*J27)*(1-B7*COS(B14))/(B7*B9)</f>
        <v>6.3348416289592757</v>
      </c>
      <c r="M28">
        <v>4000</v>
      </c>
      <c r="N28">
        <f t="shared" si="1"/>
        <v>1.4145587108639575</v>
      </c>
      <c r="O28">
        <f t="shared" si="2"/>
        <v>90.236446467601468</v>
      </c>
      <c r="P28">
        <f t="shared" si="3"/>
        <v>7.9202629944249925E-2</v>
      </c>
      <c r="Q28">
        <f t="shared" si="4"/>
        <v>99.263317963691279</v>
      </c>
      <c r="R28">
        <f t="shared" si="5"/>
        <v>3.4401648217084364E-2</v>
      </c>
      <c r="S28">
        <f t="shared" si="6"/>
        <v>53.742719920710506</v>
      </c>
      <c r="T28">
        <f t="shared" si="7"/>
        <v>68.55889208830385</v>
      </c>
      <c r="U28">
        <f t="shared" si="8"/>
        <v>104.95119920231633</v>
      </c>
      <c r="V28">
        <f t="shared" si="9"/>
        <v>68.55889208830385</v>
      </c>
      <c r="W28">
        <f t="shared" si="10"/>
        <v>52.522824734571351</v>
      </c>
      <c r="X28">
        <f t="shared" si="11"/>
        <v>31.674208144796378</v>
      </c>
      <c r="Y28">
        <f t="shared" si="12"/>
        <v>97.263250500127029</v>
      </c>
      <c r="Z28">
        <f t="shared" si="13"/>
        <v>4.5248868778280542</v>
      </c>
      <c r="AA28">
        <f t="shared" si="14"/>
        <v>23.341527770670115</v>
      </c>
      <c r="AB28">
        <f t="shared" si="15"/>
        <v>106.6361288341258</v>
      </c>
      <c r="AC28">
        <f t="shared" si="16"/>
        <v>0.96359790524507294</v>
      </c>
      <c r="AD28">
        <f t="shared" si="0"/>
        <v>107.59972673937087</v>
      </c>
    </row>
    <row r="29" spans="1:30" x14ac:dyDescent="0.3">
      <c r="E29" t="s">
        <v>113</v>
      </c>
      <c r="F29">
        <f>(B13*F25)*(1-B7*COS(B14))/(B7*B9)</f>
        <v>13.711778417660769</v>
      </c>
      <c r="G29" t="s">
        <v>125</v>
      </c>
      <c r="H29">
        <f>13.59*H28^2*(H28^2+12.5)^-2.25</f>
        <v>0.12325584302648188</v>
      </c>
      <c r="I29" t="s">
        <v>125</v>
      </c>
      <c r="J29">
        <f>13.59*J28^2*(J28^2+12.5)^-2.25</f>
        <v>7.3099068375036616E-2</v>
      </c>
      <c r="M29">
        <v>5000</v>
      </c>
      <c r="N29">
        <f t="shared" si="1"/>
        <v>1.7681983885799466</v>
      </c>
      <c r="O29">
        <f t="shared" si="2"/>
        <v>88.344315828996741</v>
      </c>
      <c r="P29">
        <f t="shared" si="3"/>
        <v>9.900328743031242E-2</v>
      </c>
      <c r="Q29">
        <f t="shared" si="4"/>
        <v>99.507263451237193</v>
      </c>
      <c r="R29">
        <f t="shared" si="5"/>
        <v>4.3002060271355454E-2</v>
      </c>
      <c r="S29">
        <f t="shared" si="6"/>
        <v>55.739002950885236</v>
      </c>
      <c r="T29">
        <f t="shared" si="7"/>
        <v>85.698615110379819</v>
      </c>
      <c r="U29">
        <f t="shared" si="8"/>
        <v>104.41819413077204</v>
      </c>
      <c r="V29">
        <f t="shared" si="9"/>
        <v>85.698615110379819</v>
      </c>
      <c r="W29">
        <f t="shared" si="10"/>
        <v>50.109409225308028</v>
      </c>
      <c r="X29">
        <f t="shared" si="11"/>
        <v>39.592760180995469</v>
      </c>
      <c r="Y29">
        <f t="shared" si="12"/>
        <v>94.883886609629542</v>
      </c>
      <c r="Z29">
        <f t="shared" si="13"/>
        <v>5.6561085972850673</v>
      </c>
      <c r="AA29">
        <f t="shared" si="14"/>
        <v>15.58934366971409</v>
      </c>
      <c r="AB29">
        <f t="shared" si="15"/>
        <v>106.05818640044455</v>
      </c>
      <c r="AC29">
        <f t="shared" si="16"/>
        <v>0.55443415814925312</v>
      </c>
      <c r="AD29">
        <f t="shared" si="0"/>
        <v>106.6126205585938</v>
      </c>
    </row>
    <row r="30" spans="1:30" x14ac:dyDescent="0.3">
      <c r="E30" t="s">
        <v>114</v>
      </c>
      <c r="F30">
        <f>0.1406*F29^-0.55</f>
        <v>3.3310698387401992E-2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1"/>
        <v>2.1218380662959362</v>
      </c>
      <c r="O30">
        <f t="shared" si="2"/>
        <v>86.788478461469964</v>
      </c>
      <c r="P30">
        <f t="shared" si="3"/>
        <v>0.1188039449163749</v>
      </c>
      <c r="Q30">
        <f t="shared" si="4"/>
        <v>99.382684133229247</v>
      </c>
      <c r="R30">
        <f t="shared" si="5"/>
        <v>5.1602472325626543E-2</v>
      </c>
      <c r="S30">
        <f t="shared" si="6"/>
        <v>57.039848167417979</v>
      </c>
      <c r="T30">
        <f t="shared" si="7"/>
        <v>102.83833813245576</v>
      </c>
      <c r="U30">
        <f t="shared" si="8"/>
        <v>103.98269727751008</v>
      </c>
      <c r="V30">
        <f t="shared" si="9"/>
        <v>102.83833813245576</v>
      </c>
      <c r="W30">
        <f t="shared" si="10"/>
        <v>48.134952578540677</v>
      </c>
      <c r="X30">
        <f t="shared" si="11"/>
        <v>47.511312217194565</v>
      </c>
      <c r="Y30">
        <f t="shared" si="12"/>
        <v>92.928004391199025</v>
      </c>
      <c r="Z30">
        <f t="shared" si="13"/>
        <v>6.7873303167420813</v>
      </c>
      <c r="AA30">
        <f t="shared" si="14"/>
        <v>9.2549394402855931</v>
      </c>
      <c r="AB30">
        <f t="shared" si="15"/>
        <v>105.57920333382495</v>
      </c>
      <c r="AC30">
        <f t="shared" si="16"/>
        <v>5.0112726333026991E-2</v>
      </c>
      <c r="AD30">
        <f t="shared" si="0"/>
        <v>105.62931606015798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4.1436331006750888E-3</v>
      </c>
      <c r="I31" t="s">
        <v>90</v>
      </c>
      <c r="J31">
        <f>J22*B7^J23*J26*(B12*B9^2*B10^2)</f>
        <v>2.7395921326777442E-2</v>
      </c>
      <c r="M31">
        <v>7000</v>
      </c>
      <c r="N31">
        <f t="shared" si="1"/>
        <v>2.4754777440119251</v>
      </c>
      <c r="O31">
        <f t="shared" si="2"/>
        <v>85.467804816106167</v>
      </c>
      <c r="P31">
        <f t="shared" si="3"/>
        <v>0.13860460240243738</v>
      </c>
      <c r="Q31">
        <f t="shared" si="4"/>
        <v>99.072611893194363</v>
      </c>
      <c r="R31">
        <f t="shared" si="5"/>
        <v>6.0202884379897632E-2</v>
      </c>
      <c r="S31">
        <f t="shared" si="6"/>
        <v>57.893009038170945</v>
      </c>
      <c r="T31">
        <f t="shared" si="7"/>
        <v>119.97806115453173</v>
      </c>
      <c r="U31">
        <f t="shared" si="8"/>
        <v>103.61448993454172</v>
      </c>
      <c r="V31">
        <f t="shared" si="9"/>
        <v>119.97806115453173</v>
      </c>
      <c r="W31">
        <f t="shared" si="10"/>
        <v>46.464343877912214</v>
      </c>
      <c r="X31">
        <f t="shared" si="11"/>
        <v>55.42986425339366</v>
      </c>
      <c r="Y31">
        <f t="shared" si="12"/>
        <v>91.26862191991421</v>
      </c>
      <c r="Z31">
        <f t="shared" si="13"/>
        <v>7.9185520361990944</v>
      </c>
      <c r="AA31">
        <f t="shared" si="14"/>
        <v>3.8992167691456254</v>
      </c>
      <c r="AB31">
        <f t="shared" si="15"/>
        <v>105.15271614961406</v>
      </c>
      <c r="AC31">
        <f t="shared" si="16"/>
        <v>-0.5231027020581247</v>
      </c>
      <c r="AD31">
        <f t="shared" si="0"/>
        <v>104.62961344755594</v>
      </c>
    </row>
    <row r="32" spans="1:30" x14ac:dyDescent="0.3">
      <c r="E32" t="s">
        <v>90</v>
      </c>
      <c r="F32">
        <f>F22*B7^F23*F24*(B12*B9^3*B10^2)</f>
        <v>13.642678461821985</v>
      </c>
      <c r="G32" t="s">
        <v>91</v>
      </c>
      <c r="H32">
        <f>(B12*B9*H31*H30*H29)/(4*PI()*B15^2*(1-B7*COS(B14))^4)</f>
        <v>2.5391316031435299E-2</v>
      </c>
      <c r="I32" t="s">
        <v>91</v>
      </c>
      <c r="J32">
        <f>(B12*B9*J31*J30*J29)/(4*PI()*B15^2*(1-B7*COS(B14))^4)</f>
        <v>9.9562124039483765E-2</v>
      </c>
      <c r="M32">
        <v>8000</v>
      </c>
      <c r="N32">
        <f t="shared" si="1"/>
        <v>2.8291174217279149</v>
      </c>
      <c r="O32">
        <f t="shared" si="2"/>
        <v>84.320719456321228</v>
      </c>
      <c r="P32">
        <f t="shared" si="3"/>
        <v>0.15840525988849985</v>
      </c>
      <c r="Q32">
        <f t="shared" si="4"/>
        <v>98.668539097843976</v>
      </c>
      <c r="R32">
        <f t="shared" si="5"/>
        <v>6.8803296434168729E-2</v>
      </c>
      <c r="S32">
        <f t="shared" si="6"/>
        <v>58.445012979129281</v>
      </c>
      <c r="T32">
        <f t="shared" si="7"/>
        <v>137.1177841766077</v>
      </c>
      <c r="U32">
        <f t="shared" si="8"/>
        <v>103.29553422616443</v>
      </c>
      <c r="V32">
        <f t="shared" si="9"/>
        <v>137.1177841766077</v>
      </c>
      <c r="W32">
        <f t="shared" si="10"/>
        <v>45.016532449522145</v>
      </c>
      <c r="X32">
        <f t="shared" si="11"/>
        <v>63.348416289592755</v>
      </c>
      <c r="Y32">
        <f t="shared" si="12"/>
        <v>89.828107424408444</v>
      </c>
      <c r="Z32">
        <f t="shared" si="13"/>
        <v>9.0497737556561084</v>
      </c>
      <c r="AA32">
        <f t="shared" si="14"/>
        <v>-0.74013345682344833</v>
      </c>
      <c r="AB32">
        <f t="shared" si="15"/>
        <v>104.76391135758455</v>
      </c>
      <c r="AC32">
        <f t="shared" si="16"/>
        <v>-1.1468793432843185</v>
      </c>
      <c r="AD32">
        <f t="shared" si="0"/>
        <v>103.61703201430024</v>
      </c>
    </row>
    <row r="33" spans="5:30" x14ac:dyDescent="0.3">
      <c r="E33" t="s">
        <v>91</v>
      </c>
      <c r="F33">
        <f>(B12*B9*F32*F31*F30)/(4*PI()*B15^2*(1-B7*COS(B14))^2)</f>
        <v>30.311917757960142</v>
      </c>
      <c r="G33" t="s">
        <v>85</v>
      </c>
      <c r="H33">
        <f>10*LOG10(H32/B17^2)</f>
        <v>78.02625219603992</v>
      </c>
      <c r="I33" t="s">
        <v>85</v>
      </c>
      <c r="J33">
        <f>10*LOG10(J32/B17^2)</f>
        <v>83.96034161863588</v>
      </c>
      <c r="M33">
        <v>9000</v>
      </c>
      <c r="N33">
        <f t="shared" si="1"/>
        <v>3.1827570994439038</v>
      </c>
      <c r="O33">
        <f t="shared" si="2"/>
        <v>83.306988408100139</v>
      </c>
      <c r="P33">
        <f t="shared" si="3"/>
        <v>0.17820591737456234</v>
      </c>
      <c r="Q33">
        <f t="shared" si="4"/>
        <v>98.218940763997296</v>
      </c>
      <c r="R33">
        <f t="shared" si="5"/>
        <v>7.7403708488439818E-2</v>
      </c>
      <c r="S33">
        <f t="shared" si="6"/>
        <v>58.788060780546886</v>
      </c>
      <c r="T33">
        <f t="shared" si="7"/>
        <v>154.25750719868367</v>
      </c>
      <c r="U33">
        <f t="shared" si="8"/>
        <v>103.01419535270384</v>
      </c>
      <c r="V33">
        <f t="shared" si="9"/>
        <v>154.25750719868367</v>
      </c>
      <c r="W33">
        <f t="shared" si="10"/>
        <v>43.739082071248646</v>
      </c>
      <c r="X33">
        <f t="shared" si="11"/>
        <v>71.266968325791851</v>
      </c>
      <c r="Y33">
        <f t="shared" si="12"/>
        <v>88.555664666544075</v>
      </c>
      <c r="Z33">
        <f t="shared" si="13"/>
        <v>10.180995475113122</v>
      </c>
      <c r="AA33">
        <f t="shared" si="14"/>
        <v>-4.8323334852930904</v>
      </c>
      <c r="AB33">
        <f t="shared" si="15"/>
        <v>104.40684919303884</v>
      </c>
      <c r="AC33">
        <f t="shared" si="16"/>
        <v>-1.8068953612431837</v>
      </c>
      <c r="AD33">
        <f t="shared" si="0"/>
        <v>102.59995383179566</v>
      </c>
    </row>
    <row r="34" spans="5:30" x14ac:dyDescent="0.3">
      <c r="E34" t="s">
        <v>85</v>
      </c>
      <c r="F34">
        <f>10*LOG10(F33/B17^2)</f>
        <v>108.79553422616445</v>
      </c>
      <c r="M34">
        <v>10000</v>
      </c>
      <c r="N34">
        <f t="shared" si="1"/>
        <v>3.5363967771598932</v>
      </c>
      <c r="O34">
        <f t="shared" si="2"/>
        <v>82.398891898770117</v>
      </c>
      <c r="P34">
        <f t="shared" si="3"/>
        <v>0.19800657486062484</v>
      </c>
      <c r="Q34">
        <f>10*LOG10((($B$12*$B$9*$H$16*$H$15*(0.613*(10*P34)^4*((10*P34)^1.5+0.5)^-4))/(4*PI()*$B$15^2*(1-$B$7*COS($B$14))^4))/$B$17^2)</f>
        <v>97.75053334582131</v>
      </c>
      <c r="R34">
        <f t="shared" si="5"/>
        <v>8.6004120542710907E-2</v>
      </c>
      <c r="S34">
        <f t="shared" si="6"/>
        <v>58.982773814136678</v>
      </c>
      <c r="T34">
        <f t="shared" si="7"/>
        <v>171.39723022075964</v>
      </c>
      <c r="U34">
        <f t="shared" si="8"/>
        <v>102.76252915462013</v>
      </c>
      <c r="V34">
        <f t="shared" si="9"/>
        <v>171.39723022075964</v>
      </c>
      <c r="W34">
        <f t="shared" si="10"/>
        <v>42.596119642893299</v>
      </c>
      <c r="X34">
        <f t="shared" si="11"/>
        <v>79.185520361990939</v>
      </c>
      <c r="Y34">
        <f t="shared" si="12"/>
        <v>87.416286592056565</v>
      </c>
      <c r="Z34">
        <f t="shared" si="13"/>
        <v>11.312217194570135</v>
      </c>
      <c r="AA34">
        <f t="shared" si="14"/>
        <v>-8.4929320873080343</v>
      </c>
      <c r="AB34">
        <f t="shared" si="15"/>
        <v>104.07805713170734</v>
      </c>
      <c r="AC34">
        <f t="shared" si="16"/>
        <v>-2.4915694246069107</v>
      </c>
      <c r="AD34">
        <f t="shared" si="0"/>
        <v>101.58648770710043</v>
      </c>
    </row>
    <row r="35" spans="5:30" x14ac:dyDescent="0.3">
      <c r="M35">
        <v>20000</v>
      </c>
      <c r="N35">
        <f t="shared" si="1"/>
        <v>7.0727935543197864</v>
      </c>
      <c r="O35">
        <f t="shared" si="2"/>
        <v>76.404948743408653</v>
      </c>
      <c r="P35">
        <f t="shared" si="3"/>
        <v>0.39601314972124968</v>
      </c>
      <c r="Q35">
        <f>10*LOG10((($B$12*$B$9*$H$16*$H$15*(0.613*(10*P35)^4*((10*P35)^1.5+0.5)^-4))/(4*PI()*$B$15^2*(1-$B$7*COS($B$14))^4))/$B$17^2)</f>
        <v>93.52853728483359</v>
      </c>
      <c r="R35">
        <f t="shared" si="5"/>
        <v>0.17200824108542181</v>
      </c>
      <c r="S35">
        <f t="shared" si="6"/>
        <v>57.938782877696781</v>
      </c>
      <c r="T35">
        <f t="shared" si="7"/>
        <v>342.79446044151928</v>
      </c>
      <c r="U35">
        <f t="shared" si="8"/>
        <v>101.10686417846823</v>
      </c>
      <c r="V35">
        <f t="shared" si="9"/>
        <v>342.79446044151928</v>
      </c>
      <c r="W35">
        <f t="shared" si="10"/>
        <v>35.073487312797141</v>
      </c>
      <c r="X35">
        <f t="shared" si="11"/>
        <v>158.37104072398188</v>
      </c>
      <c r="Y35">
        <f t="shared" si="12"/>
        <v>79.905128399604749</v>
      </c>
      <c r="Z35">
        <f t="shared" si="13"/>
        <v>22.624434389140269</v>
      </c>
      <c r="AA35">
        <f t="shared" si="14"/>
        <v>-32.575331256450475</v>
      </c>
      <c r="AB35">
        <f t="shared" si="15"/>
        <v>101.84649385853029</v>
      </c>
      <c r="AC35">
        <f t="shared" si="16"/>
        <v>-9.3467937594815851</v>
      </c>
      <c r="AD35">
        <f t="shared" si="0"/>
        <v>92.499700099048709</v>
      </c>
    </row>
    <row r="36" spans="5:30" x14ac:dyDescent="0.3">
      <c r="E36" t="s">
        <v>116</v>
      </c>
      <c r="M36">
        <v>30000</v>
      </c>
      <c r="N36">
        <f t="shared" si="1"/>
        <v>10.609190331479681</v>
      </c>
      <c r="O36">
        <f t="shared" si="2"/>
        <v>72.889773161571469</v>
      </c>
      <c r="P36">
        <f t="shared" si="3"/>
        <v>0.59401972458187446</v>
      </c>
      <c r="Q36">
        <f>10*LOG10((($B$12*$B$9*$H$16*$H$15*(0.613*(10*P36)^4*((10*P36)^1.5+0.5)^-4))/(4*PI()*$B$15^2*(1-$B$7*COS($B$14))^4))/$B$17^2)</f>
        <v>90.48551313004738</v>
      </c>
      <c r="R36">
        <f t="shared" si="5"/>
        <v>0.25801236162813274</v>
      </c>
      <c r="S36">
        <f t="shared" si="6"/>
        <v>55.915950909555633</v>
      </c>
      <c r="T36">
        <f t="shared" si="7"/>
        <v>514.19169066227892</v>
      </c>
      <c r="U36">
        <f t="shared" si="8"/>
        <v>100.13836225366198</v>
      </c>
      <c r="V36">
        <f t="shared" si="9"/>
        <v>514.19169066227892</v>
      </c>
      <c r="W36">
        <f t="shared" si="10"/>
        <v>30.671783271775844</v>
      </c>
      <c r="X36">
        <f t="shared" si="11"/>
        <v>237.55656108597285</v>
      </c>
      <c r="Y36">
        <f t="shared" si="12"/>
        <v>75.50555148250659</v>
      </c>
      <c r="Z36">
        <f t="shared" si="13"/>
        <v>33.936651583710407</v>
      </c>
      <c r="AA36">
        <f t="shared" si="14"/>
        <v>-46.662631979081084</v>
      </c>
      <c r="AB36">
        <f t="shared" si="15"/>
        <v>100.60598624563424</v>
      </c>
      <c r="AC36">
        <f t="shared" si="16"/>
        <v>-14.969811759715991</v>
      </c>
      <c r="AD36">
        <f t="shared" si="0"/>
        <v>85.636174485918247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1"/>
        <v>14.145587108639573</v>
      </c>
      <c r="O37">
        <f t="shared" si="2"/>
        <v>70.393783213303905</v>
      </c>
      <c r="P37">
        <f t="shared" si="3"/>
        <v>0.79202629944249936</v>
      </c>
      <c r="Q37">
        <f>10*LOG10((($B$12*$B$9*$H$16*$H$15*(0.613*(10*P37)^4*((10*P37)^1.5+0.5)^-4))/(4*PI()*$B$15^2*(1-$B$7*COS($B$14))^4))/$B$17^2)</f>
        <v>88.191187416976234</v>
      </c>
      <c r="R37">
        <f t="shared" si="5"/>
        <v>0.34401648217084363</v>
      </c>
      <c r="S37">
        <f t="shared" si="6"/>
        <v>54.085327802052959</v>
      </c>
      <c r="T37">
        <f t="shared" si="7"/>
        <v>685.58892088303855</v>
      </c>
      <c r="U37">
        <f t="shared" si="8"/>
        <v>99.451199202316332</v>
      </c>
      <c r="V37">
        <f t="shared" si="9"/>
        <v>685.58892088303855</v>
      </c>
      <c r="W37">
        <f t="shared" si="10"/>
        <v>27.548516967009803</v>
      </c>
      <c r="X37">
        <f t="shared" si="11"/>
        <v>316.74208144796376</v>
      </c>
      <c r="Y37">
        <f t="shared" si="12"/>
        <v>72.38302983992682</v>
      </c>
      <c r="Z37">
        <f t="shared" si="13"/>
        <v>45.248868778280539</v>
      </c>
      <c r="AA37">
        <f t="shared" si="14"/>
        <v>-56.657730907678435</v>
      </c>
      <c r="AB37">
        <f t="shared" si="15"/>
        <v>99.77759814651057</v>
      </c>
      <c r="AC37">
        <f t="shared" si="16"/>
        <v>-19.409938448212671</v>
      </c>
      <c r="AD37">
        <f t="shared" si="0"/>
        <v>80.367659698297899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)</f>
        <v>114.79270268901851</v>
      </c>
      <c r="Q38">
        <f t="shared" ref="Q38:AB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)</f>
        <v>108.19154869865298</v>
      </c>
      <c r="S38">
        <f t="shared" si="17"/>
        <v>66.165521428270935</v>
      </c>
      <c r="U38">
        <f t="shared" si="17"/>
        <v>127.09395022881175</v>
      </c>
      <c r="W38">
        <f t="shared" si="17"/>
        <v>86.188536453026146</v>
      </c>
      <c r="Y38">
        <f t="shared" si="17"/>
        <v>123.26103866071777</v>
      </c>
      <c r="AA38">
        <f t="shared" si="17"/>
        <v>73.784951635302733</v>
      </c>
      <c r="AB38">
        <f t="shared" si="17"/>
        <v>128.81282793778325</v>
      </c>
      <c r="AD38">
        <f>10*LOG10(10^(AD7/10)+10^(AD8/10)+10^(AD9/10)+10^(AD10/10)+10^(AD11/10)+10^(AD12/10)+10^(AD13/10)+10^(AD14/10)+10^(AD15/10)+10^(AD16/10)+10^(AD17/10)+10^(AD18/10)+10^(AD19/10)+10^(AD20/10)+10^(AD21/10)+10^(AD22/10)+10^(AD23/10)+10^(AD24/10)+10^(AD25/10)+10^(AD26/10)+10^(AD27/10)+10^(AD28/10)+10^(AD29/10)+10^(AD30/10)+10^(AD31/10)+10^(AD32/10)+10^(AD33/10)+10^(AD34/10))</f>
        <v>122.82526709634533</v>
      </c>
    </row>
    <row r="39" spans="5:30" x14ac:dyDescent="0.3">
      <c r="E39" t="s">
        <v>117</v>
      </c>
      <c r="F39">
        <v>0.1</v>
      </c>
      <c r="M39" t="s">
        <v>153</v>
      </c>
      <c r="O39">
        <f>O38-20*LOG10($B$18-1)</f>
        <v>73.245344583335395</v>
      </c>
      <c r="Q39">
        <f t="shared" ref="Q39:AA39" si="18">Q38-20*LOG10($B$18-1)</f>
        <v>66.644190592969863</v>
      </c>
      <c r="S39">
        <f t="shared" si="18"/>
        <v>24.618163322587812</v>
      </c>
      <c r="U39">
        <f t="shared" si="18"/>
        <v>85.546592123128619</v>
      </c>
      <c r="W39">
        <f t="shared" si="18"/>
        <v>44.641178347343022</v>
      </c>
      <c r="Y39">
        <f t="shared" si="18"/>
        <v>81.713680555034642</v>
      </c>
      <c r="AA39">
        <f t="shared" si="18"/>
        <v>32.237593529619609</v>
      </c>
      <c r="AB39">
        <f>AB38-20*LOG10($B$18-1)</f>
        <v>87.265469832100138</v>
      </c>
      <c r="AD39">
        <f>AD38-20*LOG10($B$18-1)</f>
        <v>81.277908990662212</v>
      </c>
    </row>
    <row r="40" spans="5:30" x14ac:dyDescent="0.3">
      <c r="E40" t="s">
        <v>118</v>
      </c>
      <c r="F40">
        <v>0.7</v>
      </c>
    </row>
    <row r="41" spans="5:30" x14ac:dyDescent="0.3">
      <c r="E41" t="s">
        <v>89</v>
      </c>
      <c r="F41">
        <f>(F39/B10)^2*(F40/F39)</f>
        <v>9.5667296476368443E-5</v>
      </c>
    </row>
    <row r="42" spans="5:30" x14ac:dyDescent="0.3">
      <c r="E42" t="s">
        <v>83</v>
      </c>
      <c r="F42">
        <f>F39</f>
        <v>0.1</v>
      </c>
    </row>
    <row r="43" spans="5:30" x14ac:dyDescent="0.3">
      <c r="E43" t="s">
        <v>81</v>
      </c>
      <c r="F43">
        <f>(B13*F42)*(1-B7*COS(B14))/(B7*B9)</f>
        <v>0.90497737556561075</v>
      </c>
    </row>
    <row r="44" spans="5:30" x14ac:dyDescent="0.3">
      <c r="E44" t="s">
        <v>125</v>
      </c>
      <c r="F44">
        <f>5.325*(30+F43^8)^-1</f>
        <v>0.17487750618523792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0.28662705341271227</v>
      </c>
    </row>
    <row r="47" spans="5:30" x14ac:dyDescent="0.3">
      <c r="E47" t="s">
        <v>91</v>
      </c>
      <c r="F47">
        <f>(B12*B9*F46*F45*F44)/(4*PI()*B15^2*(1-B7*COS(B14))^2)</f>
        <v>4.9838280542246864E-4</v>
      </c>
    </row>
    <row r="48" spans="5:30" x14ac:dyDescent="0.3">
      <c r="E48" t="s">
        <v>85</v>
      </c>
      <c r="F48">
        <f>10*LOG10(F47/B17^2)</f>
        <v>60.955030590989203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8"/>
  <sheetViews>
    <sheetView workbookViewId="0">
      <selection activeCell="B8" sqref="B8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7" max="27" width="12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N5" t="s">
        <v>129</v>
      </c>
      <c r="P5" t="s">
        <v>132</v>
      </c>
      <c r="R5" t="s">
        <v>133</v>
      </c>
      <c r="T5" t="s">
        <v>109</v>
      </c>
      <c r="V5" t="s">
        <v>140</v>
      </c>
      <c r="X5" t="s">
        <v>120</v>
      </c>
      <c r="Z5" t="s">
        <v>147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M6" t="s">
        <v>128</v>
      </c>
      <c r="N6" t="s">
        <v>130</v>
      </c>
      <c r="O6" t="s">
        <v>131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t="s">
        <v>149</v>
      </c>
      <c r="AC6" t="s">
        <v>150</v>
      </c>
      <c r="AD6" t="s">
        <v>151</v>
      </c>
    </row>
    <row r="7" spans="1:30" x14ac:dyDescent="0.3">
      <c r="A7" t="s">
        <v>72</v>
      </c>
      <c r="B7">
        <v>0.45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1.8309394707488218E-3</v>
      </c>
      <c r="O7">
        <f>10*LOG10((($B$12*$B$9*$F$11*$F$14*(0.613*(10*N7)^4*((10*N7)^1.5+0.5)^-4))/(4*PI()*$B$15^2*(1-$B$7*COS($B$14))))/$B$17^2)</f>
        <v>67.309139953821557</v>
      </c>
      <c r="P7">
        <f>(M7*$H$10)*(1-$B$7*COS($B$14))/($B$7*$B$9)</f>
        <v>1.0251622660714461E-4</v>
      </c>
      <c r="Q7">
        <f>10*LOG10((($B$12*$B$9*$H$16*$H$15*(0.613*(10*P7)^4*((10*P7)^1.5+0.5)^-4))/(4*PI()*$B$15^2*(1-$B$7*COS($B$14))^4))/$B$17^2)</f>
        <v>10.458594224692249</v>
      </c>
      <c r="R7">
        <f>(M7*$J$10)*(1-$B$7*COS($B$14))/($B$7*$B$9)</f>
        <v>4.4527904777459106E-5</v>
      </c>
      <c r="S7">
        <f>10*LOG10((($B$12*$B$9*$J$16*$J$15*(0.613*(10*R7)^4*((10*R7)^1.5+0.5)^-4))/(4*PI()*$B$15^2*(1-$B$7*COS($B$14))^4))/$B$17^2)</f>
        <v>-44.450873163074142</v>
      </c>
      <c r="T7">
        <f>(M7*$F$25)*(1-$B$7*COS($B$14))/($B$7*$B$9)</f>
        <v>9.902951079421668E-2</v>
      </c>
      <c r="U7">
        <f>10*LOG10((($B$12*$B$9*$F$32*$F$31*(0.1406*T7^-0.55))/(4*PI()*$B$15^2*(1-$B$7*COS($B$14))^2))/$B$17^2)</f>
        <v>134.86719451481656</v>
      </c>
      <c r="V7">
        <f>(M7*$F$25)*(1-$B$7*COS($B$14))/($B$7*$B$9)</f>
        <v>9.902951079421668E-2</v>
      </c>
      <c r="W7">
        <f>10*LOG10((($B$12*$B$9*$H$31*$H$30*(13.59*V7^2*(V7^2+12.5)^-2.25))/(4*PI()*$B$15^2*(1-$B$7*COS($B$14))^4))/$B$17^2)</f>
        <v>67.971875628051293</v>
      </c>
      <c r="X7">
        <f>(M7*$J$27)*(1-$B$7*COS($B$14))/($B$7*$B$9)</f>
        <v>4.5751633986928102E-2</v>
      </c>
      <c r="Y7">
        <f>10*LOG10((($B$12*$B$9*$F$32*$F$31*(13.59*X7^2*(X7^2+12.5)^-2.25))/(4*PI()*$B$15^2*(1-$B$7*COS($B$14))^2))/$B$17^2)</f>
        <v>97.722262061802482</v>
      </c>
      <c r="Z7">
        <f>(M7*$F$42)*(1-$B$7*COS($B$14))/($B$7*$B$9)</f>
        <v>6.5359477124183009E-3</v>
      </c>
      <c r="AA7">
        <f>10*LOG10((($B$12*$B$9*$F$46*$F$45*(5.325*(30+Z7^8)^-1))/(4*PI()*$B$15^2*(1-$B$7*COS($B$14))^2))/$B$17^2)</f>
        <v>75.31402459859504</v>
      </c>
      <c r="AB7">
        <f>10*LOG10(10^(O7/10)+10^(Q7/10)+10^(S7/10)+10^(U7/10)+10^(W7/10)+10^(Y7/10)+10^(AA7/10))</f>
        <v>134.86803898678031</v>
      </c>
      <c r="AC7">
        <f>20*LOG((12194^2*M7^4)/((M7^2+20.6^2)*SQRT((M7^2+107.7^2)*(M7^2+737.9^2))*(M7^2+12194^2)))+2</f>
        <v>-70.434939741819917</v>
      </c>
      <c r="AD7">
        <f>AB7+AC7</f>
        <v>64.433099244960388</v>
      </c>
    </row>
    <row r="8" spans="1:30" x14ac:dyDescent="0.3">
      <c r="A8" t="s">
        <v>73</v>
      </c>
      <c r="B8">
        <v>61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0">(M8*$F$10*(1-$B$7*COS($B$14)))/($B$7*$B$9)</f>
        <v>3.6618789414976437E-3</v>
      </c>
      <c r="O8">
        <f t="shared" ref="O8:O37" si="1">10*LOG10((($B$12*$B$9*$F$11*$F$14*(0.613*(10*N8)^4*((10*N8)^1.5+0.5)^-4))/(4*PI()*$B$15^2*(1-$B$7*COS($B$14))))/$B$17^2)</f>
        <v>79.194432629379321</v>
      </c>
      <c r="P8">
        <f t="shared" ref="P8:P37" si="2">(M8*$H$10)*(1-$B$7*COS($B$14))/($B$7*$B$9)</f>
        <v>2.0503245321428922E-4</v>
      </c>
      <c r="Q8">
        <f t="shared" ref="Q8:Q33" si="3">10*LOG10((($B$12*$B$9*$H$16*$H$15*(0.613*(10*P8)^4*((10*P8)^1.5+0.5)^-4))/(4*PI()*$B$15^2*(1-$B$7*COS($B$14))^4))/$B$17^2)</f>
        <v>22.497709146105432</v>
      </c>
      <c r="R8">
        <f t="shared" ref="R8:R37" si="4">(M8*$J$10)*(1-$B$7*COS($B$14))/($B$7*$B$9)</f>
        <v>8.9055809554918213E-5</v>
      </c>
      <c r="S8">
        <f t="shared" ref="S8:S37" si="5">10*LOG10((($B$12*$B$9*$J$16*$J$15*(0.613*(10*R8)^4*((10*R8)^1.5+0.5)^-4))/(4*PI()*$B$15^2*(1-$B$7*COS($B$14))^4))/$B$17^2)</f>
        <v>-32.410270213346791</v>
      </c>
      <c r="T8">
        <f t="shared" ref="T8:T37" si="6">(M8*$F$25)*(1-$B$7*COS($B$14))/($B$7*$B$9)</f>
        <v>0.19805902158843336</v>
      </c>
      <c r="U8">
        <f t="shared" ref="U8:U37" si="7">10*LOG10((($B$12*$B$9*$F$32*$F$31*(0.1406*T8^-0.55))/(4*PI()*$B$15^2*(1-$B$7*COS($B$14))^2))/$B$17^2)</f>
        <v>133.21152953866465</v>
      </c>
      <c r="V8">
        <f t="shared" ref="V8:V37" si="8">(M8*$F$25)*(1-$B$7*COS($B$14))/($B$7*$B$9)</f>
        <v>0.19805902158843336</v>
      </c>
      <c r="W8">
        <f t="shared" ref="W8:W37" si="9">10*LOG10((($B$12*$B$9*$H$31*$H$30*(13.59*V8^2*(V8^2+12.5)^-2.25))/(4*PI()*$B$15^2*(1-$B$7*COS($B$14))^4))/$B$17^2)</f>
        <v>73.969521637343306</v>
      </c>
      <c r="X8">
        <f t="shared" ref="X8:X37" si="10">(M8*$J$27)*(1-$B$7*COS($B$14))/($B$7*$B$9)</f>
        <v>9.1503267973856203E-2</v>
      </c>
      <c r="Y8">
        <f t="shared" ref="Y8:Y37" si="11">10*LOG10((($B$12*$B$9*$F$32*$F$31*(13.59*X8^2*(X8^2+12.5)^-2.25))/(4*PI()*$B$15^2*(1-$B$7*COS($B$14))^2))/$B$17^2)</f>
        <v>103.73795504892337</v>
      </c>
      <c r="Z8">
        <f t="shared" ref="Z8:Z37" si="12">(M8*$F$42)*(1-$B$7*COS($B$14))/($B$7*$B$9)</f>
        <v>1.3071895424836602E-2</v>
      </c>
      <c r="AA8">
        <f t="shared" ref="AA8:AA37" si="13">10*LOG10((($B$12*$B$9*$F$46*$F$45*(5.325*(30+Z8^8)^-1))/(4*PI()*$B$15^2*(1-$B$7*COS($B$14))^2))/$B$17^2)</f>
        <v>75.31402459859504</v>
      </c>
      <c r="AB8">
        <f t="shared" ref="AB8:AB37" si="14">10*LOG10(10^(O8/10)+10^(Q8/10)+10^(S8/10)+10^(U8/10)+10^(W8/10)+10^(Y8/10)+10^(AA8/10))</f>
        <v>133.21645878505595</v>
      </c>
      <c r="AC8">
        <f t="shared" ref="AC8:AC37" si="15">20*LOG((12194^2*M8^4)/((M8^2+20.6^2)*SQRT((M8^2+107.7^2)*(M8^2+737.9^2))*(M8^2+12194^2)))+2</f>
        <v>-50.394656885439417</v>
      </c>
      <c r="AD8">
        <f t="shared" ref="AD8:AD37" si="16">AB8+AC8</f>
        <v>82.821801899616531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1.0356145620131969E-3</v>
      </c>
      <c r="G9" t="s">
        <v>89</v>
      </c>
      <c r="H9">
        <f>0.37*(H12/H11^2)*((B12*B7*B9*H12)/(B11*H11))^-0.2*(H11/B10)^2</f>
        <v>2.1340112477405613E-4</v>
      </c>
      <c r="I9" t="s">
        <v>89</v>
      </c>
      <c r="J9">
        <f>0.37*(J12/J11^2)*((B12*B7*B9*J12)/(B11*J11))^-0.2*(J11/B10)^2</f>
        <v>1.9354458610656939E-4</v>
      </c>
      <c r="M9">
        <v>30</v>
      </c>
      <c r="N9">
        <f t="shared" si="0"/>
        <v>5.4928184122464661E-3</v>
      </c>
      <c r="O9">
        <f t="shared" si="1"/>
        <v>86.038247796872312</v>
      </c>
      <c r="P9">
        <f t="shared" si="2"/>
        <v>3.0754867982143378E-4</v>
      </c>
      <c r="Q9">
        <f t="shared" si="3"/>
        <v>29.538660028077501</v>
      </c>
      <c r="R9">
        <f t="shared" si="4"/>
        <v>1.3358371433237732E-4</v>
      </c>
      <c r="S9">
        <f t="shared" si="5"/>
        <v>-25.367392747473595</v>
      </c>
      <c r="T9">
        <f t="shared" si="6"/>
        <v>0.29708853238265004</v>
      </c>
      <c r="U9">
        <f t="shared" si="7"/>
        <v>132.2430276138584</v>
      </c>
      <c r="V9">
        <f t="shared" si="8"/>
        <v>0.29708853238265004</v>
      </c>
      <c r="W9">
        <f t="shared" si="9"/>
        <v>77.453209728000814</v>
      </c>
      <c r="X9">
        <f t="shared" si="10"/>
        <v>0.13725490196078433</v>
      </c>
      <c r="Y9">
        <f t="shared" si="11"/>
        <v>107.25160749150454</v>
      </c>
      <c r="Z9">
        <f t="shared" si="12"/>
        <v>1.9607843137254902E-2</v>
      </c>
      <c r="AA9">
        <f t="shared" si="13"/>
        <v>75.31402459859504</v>
      </c>
      <c r="AB9">
        <f t="shared" si="14"/>
        <v>132.25689349972484</v>
      </c>
      <c r="AC9">
        <f t="shared" si="15"/>
        <v>-40.606449491877584</v>
      </c>
      <c r="AD9">
        <f t="shared" si="16"/>
        <v>91.650444007847256</v>
      </c>
    </row>
    <row r="10" spans="1:30" x14ac:dyDescent="0.3">
      <c r="A10" t="s">
        <v>74</v>
      </c>
      <c r="B10">
        <v>27.05</v>
      </c>
      <c r="C10" t="s">
        <v>7</v>
      </c>
      <c r="E10" t="s">
        <v>83</v>
      </c>
      <c r="F10">
        <f>F9*B10</f>
        <v>2.8013373902456975E-2</v>
      </c>
      <c r="G10" t="s">
        <v>83</v>
      </c>
      <c r="H10">
        <f>H9*H11</f>
        <v>1.5684982670893125E-3</v>
      </c>
      <c r="I10" t="s">
        <v>83</v>
      </c>
      <c r="J10">
        <f>J9*J11</f>
        <v>6.8127694309512432E-4</v>
      </c>
      <c r="M10">
        <v>40</v>
      </c>
      <c r="N10">
        <f t="shared" si="0"/>
        <v>7.3237578829952873E-3</v>
      </c>
      <c r="O10">
        <f t="shared" si="1"/>
        <v>90.802088558244122</v>
      </c>
      <c r="P10">
        <f t="shared" si="2"/>
        <v>4.1006490642857843E-4</v>
      </c>
      <c r="Q10">
        <f t="shared" si="3"/>
        <v>34.533013324800443</v>
      </c>
      <c r="R10">
        <f t="shared" si="4"/>
        <v>1.7811161910983643E-4</v>
      </c>
      <c r="S10">
        <f t="shared" si="5"/>
        <v>-20.370758498382319</v>
      </c>
      <c r="T10">
        <f t="shared" si="6"/>
        <v>0.39611804317686672</v>
      </c>
      <c r="U10">
        <f t="shared" si="7"/>
        <v>131.55586456251277</v>
      </c>
      <c r="V10">
        <f t="shared" si="8"/>
        <v>0.39611804317686672</v>
      </c>
      <c r="W10">
        <f t="shared" si="9"/>
        <v>79.89884136019387</v>
      </c>
      <c r="X10">
        <f t="shared" si="10"/>
        <v>0.18300653594771241</v>
      </c>
      <c r="Y10">
        <f t="shared" si="11"/>
        <v>109.73895186116302</v>
      </c>
      <c r="Z10">
        <f t="shared" si="12"/>
        <v>2.6143790849673203E-2</v>
      </c>
      <c r="AA10">
        <f t="shared" si="13"/>
        <v>75.314024598595012</v>
      </c>
      <c r="AB10">
        <f t="shared" si="14"/>
        <v>131.58475534989685</v>
      </c>
      <c r="AC10">
        <f t="shared" si="15"/>
        <v>-34.539248027007993</v>
      </c>
      <c r="AD10">
        <f t="shared" si="16"/>
        <v>97.045507322888852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30.053307986647269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0"/>
        <v>9.1546973537441085E-3</v>
      </c>
      <c r="O11">
        <f t="shared" si="1"/>
        <v>94.41714955355971</v>
      </c>
      <c r="P11">
        <f t="shared" si="2"/>
        <v>5.1258113303572297E-4</v>
      </c>
      <c r="Q11">
        <f t="shared" si="3"/>
        <v>38.405789217288863</v>
      </c>
      <c r="R11">
        <f t="shared" si="4"/>
        <v>2.2263952388729553E-4</v>
      </c>
      <c r="S11">
        <f t="shared" si="5"/>
        <v>-16.495396027319959</v>
      </c>
      <c r="T11">
        <f t="shared" si="6"/>
        <v>0.49514755397108334</v>
      </c>
      <c r="U11">
        <f t="shared" si="7"/>
        <v>131.02285949096847</v>
      </c>
      <c r="V11">
        <f t="shared" si="8"/>
        <v>0.49514755397108334</v>
      </c>
      <c r="W11">
        <f t="shared" si="9"/>
        <v>81.769136728836912</v>
      </c>
      <c r="X11">
        <f t="shared" si="10"/>
        <v>0.22875816993464052</v>
      </c>
      <c r="Y11">
        <f t="shared" si="11"/>
        <v>111.66247556033896</v>
      </c>
      <c r="Z11">
        <f t="shared" si="12"/>
        <v>3.2679738562091505E-2</v>
      </c>
      <c r="AA11">
        <f t="shared" si="13"/>
        <v>75.314024598594841</v>
      </c>
      <c r="AB11">
        <f t="shared" si="14"/>
        <v>131.0738912256289</v>
      </c>
      <c r="AC11">
        <f t="shared" si="15"/>
        <v>-30.274979580572094</v>
      </c>
      <c r="AD11">
        <f t="shared" si="16"/>
        <v>100.7989116450568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0.14647515765990574</v>
      </c>
      <c r="G12" t="s">
        <v>98</v>
      </c>
      <c r="H12">
        <v>11.73</v>
      </c>
      <c r="I12" t="s">
        <v>101</v>
      </c>
      <c r="J12">
        <v>12.48</v>
      </c>
      <c r="M12">
        <v>60</v>
      </c>
      <c r="N12">
        <f t="shared" si="0"/>
        <v>1.0985636824492932E-2</v>
      </c>
      <c r="O12">
        <f t="shared" si="1"/>
        <v>97.29993296382716</v>
      </c>
      <c r="P12">
        <f t="shared" si="2"/>
        <v>6.1509735964286757E-4</v>
      </c>
      <c r="Q12">
        <f t="shared" si="3"/>
        <v>41.569032078178942</v>
      </c>
      <c r="R12">
        <f t="shared" si="4"/>
        <v>2.6716742866475464E-4</v>
      </c>
      <c r="S12">
        <f t="shared" si="5"/>
        <v>-13.329293915854146</v>
      </c>
      <c r="T12">
        <f t="shared" si="6"/>
        <v>0.59417706476530008</v>
      </c>
      <c r="U12">
        <f t="shared" si="7"/>
        <v>130.58736263770652</v>
      </c>
      <c r="V12">
        <f t="shared" si="8"/>
        <v>0.59417706476530008</v>
      </c>
      <c r="W12">
        <f t="shared" si="9"/>
        <v>83.270402543760042</v>
      </c>
      <c r="X12">
        <f t="shared" si="10"/>
        <v>0.27450980392156865</v>
      </c>
      <c r="Y12">
        <f t="shared" si="11"/>
        <v>113.22819234648533</v>
      </c>
      <c r="Z12">
        <f t="shared" si="12"/>
        <v>3.9215686274509803E-2</v>
      </c>
      <c r="AA12">
        <f t="shared" si="13"/>
        <v>75.31402459859423</v>
      </c>
      <c r="AB12">
        <f t="shared" si="14"/>
        <v>130.66850563980958</v>
      </c>
      <c r="AC12">
        <f t="shared" si="15"/>
        <v>-27.048849321682884</v>
      </c>
      <c r="AD12">
        <f t="shared" si="16"/>
        <v>103.6196563181267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0.10575830648128198</v>
      </c>
      <c r="G13" t="s">
        <v>102</v>
      </c>
      <c r="H13">
        <f>(B13*H10)*(1-B7*COS(B14))/(B7*B9)</f>
        <v>8.2012981285715676E-3</v>
      </c>
      <c r="I13" t="s">
        <v>105</v>
      </c>
      <c r="J13">
        <f>(B13*J10)*(1-B7*COS(B14))/(B7*B9)</f>
        <v>3.5622323821967285E-3</v>
      </c>
      <c r="M13">
        <v>70</v>
      </c>
      <c r="N13">
        <f t="shared" si="0"/>
        <v>1.2816576295241754E-2</v>
      </c>
      <c r="O13">
        <f t="shared" si="1"/>
        <v>99.673722063369382</v>
      </c>
      <c r="P13">
        <f t="shared" si="2"/>
        <v>7.1761358625001227E-4</v>
      </c>
      <c r="Q13">
        <f t="shared" si="3"/>
        <v>44.242548236896198</v>
      </c>
      <c r="R13">
        <f t="shared" si="4"/>
        <v>3.1169533344221374E-4</v>
      </c>
      <c r="S13">
        <f t="shared" si="5"/>
        <v>-10.652670081529397</v>
      </c>
      <c r="T13">
        <f t="shared" si="6"/>
        <v>0.6932065755595167</v>
      </c>
      <c r="U13">
        <f t="shared" si="7"/>
        <v>130.21915529473813</v>
      </c>
      <c r="V13">
        <f t="shared" si="8"/>
        <v>0.6932065755595167</v>
      </c>
      <c r="W13">
        <f t="shared" si="9"/>
        <v>84.512891420068797</v>
      </c>
      <c r="X13">
        <f t="shared" si="10"/>
        <v>0.3202614379084967</v>
      </c>
      <c r="Y13">
        <f t="shared" si="11"/>
        <v>114.54600620596175</v>
      </c>
      <c r="Z13">
        <f t="shared" si="12"/>
        <v>4.5751633986928102E-2</v>
      </c>
      <c r="AA13">
        <f t="shared" si="13"/>
        <v>75.314024598592255</v>
      </c>
      <c r="AB13">
        <f t="shared" si="14"/>
        <v>130.33906260886565</v>
      </c>
      <c r="AC13">
        <f t="shared" si="15"/>
        <v>-24.49130199968733</v>
      </c>
      <c r="AD13">
        <f t="shared" si="16"/>
        <v>105.84776060917832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3.6929031878981647E-4</v>
      </c>
      <c r="I14" t="s">
        <v>106</v>
      </c>
      <c r="J14">
        <f>0.613*(10*J13)^4*((10*J13)^1.5+0.5)^-4</f>
        <v>1.4971520847121471E-5</v>
      </c>
      <c r="M14">
        <v>80</v>
      </c>
      <c r="N14">
        <f t="shared" si="0"/>
        <v>1.4647515765990575E-2</v>
      </c>
      <c r="O14">
        <f t="shared" si="1"/>
        <v>101.67256623689741</v>
      </c>
      <c r="P14">
        <f t="shared" si="2"/>
        <v>8.2012981285715686E-4</v>
      </c>
      <c r="Q14">
        <f t="shared" si="3"/>
        <v>46.557548566006204</v>
      </c>
      <c r="R14">
        <f t="shared" si="4"/>
        <v>3.5622323821967285E-4</v>
      </c>
      <c r="S14">
        <f t="shared" si="5"/>
        <v>-8.3343324844743467</v>
      </c>
      <c r="T14">
        <f t="shared" si="6"/>
        <v>0.79223608635373344</v>
      </c>
      <c r="U14">
        <f t="shared" si="7"/>
        <v>129.90019958636088</v>
      </c>
      <c r="V14">
        <f t="shared" si="8"/>
        <v>0.79223608635373344</v>
      </c>
      <c r="W14">
        <f t="shared" si="9"/>
        <v>85.562615619243758</v>
      </c>
      <c r="X14">
        <f t="shared" si="10"/>
        <v>0.36601307189542481</v>
      </c>
      <c r="Y14">
        <f t="shared" si="11"/>
        <v>115.68153028199927</v>
      </c>
      <c r="Z14">
        <f t="shared" si="12"/>
        <v>5.2287581699346407E-2</v>
      </c>
      <c r="AA14">
        <f t="shared" si="13"/>
        <v>75.314024598586954</v>
      </c>
      <c r="AB14">
        <f t="shared" si="14"/>
        <v>130.06802726958637</v>
      </c>
      <c r="AC14">
        <f t="shared" si="15"/>
        <v>-22.397666626519193</v>
      </c>
      <c r="AD14">
        <f t="shared" si="16"/>
        <v>107.67036064306717</v>
      </c>
    </row>
    <row r="15" spans="1:30" x14ac:dyDescent="0.3">
      <c r="A15" t="s">
        <v>12</v>
      </c>
      <c r="B15">
        <v>1</v>
      </c>
      <c r="C15" t="s">
        <v>7</v>
      </c>
      <c r="E15" t="s">
        <v>91</v>
      </c>
      <c r="F15">
        <f>(B12*B9*F11*F14*F13)/(4*PI()*B15^2*(1-B7*COS(B14)))</f>
        <v>210.66795381671895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0"/>
        <v>1.6478455236739395E-2</v>
      </c>
      <c r="O15">
        <f t="shared" si="1"/>
        <v>103.38348879656502</v>
      </c>
      <c r="P15">
        <f t="shared" si="2"/>
        <v>9.2264603946430135E-4</v>
      </c>
      <c r="Q15">
        <f t="shared" si="3"/>
        <v>48.59867101092955</v>
      </c>
      <c r="R15">
        <f t="shared" si="4"/>
        <v>4.0075114299713196E-4</v>
      </c>
      <c r="S15">
        <f t="shared" si="5"/>
        <v>-6.2896583707568556</v>
      </c>
      <c r="T15">
        <f t="shared" si="6"/>
        <v>0.89126559714795017</v>
      </c>
      <c r="U15">
        <f t="shared" si="7"/>
        <v>129.61886071290027</v>
      </c>
      <c r="V15">
        <f t="shared" si="8"/>
        <v>0.89126559714795017</v>
      </c>
      <c r="W15">
        <f t="shared" si="9"/>
        <v>86.462351264934156</v>
      </c>
      <c r="X15">
        <f t="shared" si="10"/>
        <v>0.41176470588235292</v>
      </c>
      <c r="Y15">
        <f t="shared" si="11"/>
        <v>116.67709682942879</v>
      </c>
      <c r="Z15">
        <f t="shared" si="12"/>
        <v>5.8823529411764705E-2</v>
      </c>
      <c r="AA15">
        <f t="shared" si="13"/>
        <v>75.314024598574292</v>
      </c>
      <c r="AB15">
        <f t="shared" si="14"/>
        <v>129.84407951297757</v>
      </c>
      <c r="AC15">
        <f t="shared" si="15"/>
        <v>-20.642894369008943</v>
      </c>
      <c r="AD15">
        <f t="shared" si="16"/>
        <v>109.20118514396863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117.21538485717943</v>
      </c>
      <c r="G16" t="s">
        <v>90</v>
      </c>
      <c r="H16">
        <f>H7*B7^H8*H9*(B12*B9^3*B10^2)</f>
        <v>6.1928539466113897</v>
      </c>
      <c r="I16" t="s">
        <v>90</v>
      </c>
      <c r="J16">
        <f>J7*B7^J8*J9*(B12*B9^3*B10^2)</f>
        <v>5.6166215392930914</v>
      </c>
      <c r="M16">
        <v>100</v>
      </c>
      <c r="N16">
        <f t="shared" si="0"/>
        <v>1.8309394707488217E-2</v>
      </c>
      <c r="O16">
        <f t="shared" si="1"/>
        <v>104.86632644629624</v>
      </c>
      <c r="P16">
        <f t="shared" si="2"/>
        <v>1.0251622660714459E-3</v>
      </c>
      <c r="Q16">
        <f t="shared" si="3"/>
        <v>50.423708870748534</v>
      </c>
      <c r="R16">
        <f t="shared" si="4"/>
        <v>4.4527904777459106E-4</v>
      </c>
      <c r="S16">
        <f t="shared" si="5"/>
        <v>-4.460867043847264</v>
      </c>
      <c r="T16">
        <f t="shared" si="6"/>
        <v>0.99029510794216669</v>
      </c>
      <c r="U16">
        <f t="shared" si="7"/>
        <v>129.36719451481656</v>
      </c>
      <c r="V16">
        <f t="shared" si="8"/>
        <v>0.99029510794216669</v>
      </c>
      <c r="W16">
        <f t="shared" si="9"/>
        <v>87.241495537129595</v>
      </c>
      <c r="X16">
        <f t="shared" si="10"/>
        <v>0.45751633986928103</v>
      </c>
      <c r="Y16">
        <f t="shared" si="11"/>
        <v>117.56162054070954</v>
      </c>
      <c r="Z16">
        <f t="shared" si="12"/>
        <v>6.535947712418301E-2</v>
      </c>
      <c r="AA16">
        <f t="shared" si="13"/>
        <v>75.314024598546823</v>
      </c>
      <c r="AB16">
        <f t="shared" si="14"/>
        <v>129.65939736457483</v>
      </c>
      <c r="AC16">
        <f t="shared" si="15"/>
        <v>-19.144954291317543</v>
      </c>
      <c r="AD16">
        <f t="shared" si="16"/>
        <v>110.51444307325728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0.15158298929375424</v>
      </c>
      <c r="I17" t="s">
        <v>91</v>
      </c>
      <c r="J17">
        <f>(B12*B9*J16*J15*J14)/(4*PI()*B15^2*(1-B7*COS(B14))^4)</f>
        <v>5.5739329648447043E-7</v>
      </c>
      <c r="M17">
        <v>200</v>
      </c>
      <c r="N17">
        <f t="shared" si="0"/>
        <v>3.6618789414976434E-2</v>
      </c>
      <c r="O17">
        <f t="shared" si="1"/>
        <v>113.06331234714602</v>
      </c>
      <c r="P17">
        <f t="shared" si="2"/>
        <v>2.0503245321428919E-3</v>
      </c>
      <c r="Q17">
        <f t="shared" si="3"/>
        <v>62.399230836778877</v>
      </c>
      <c r="R17">
        <f t="shared" si="4"/>
        <v>8.9055809554918213E-4</v>
      </c>
      <c r="S17">
        <f t="shared" si="5"/>
        <v>7.5614786466102268</v>
      </c>
      <c r="T17">
        <f t="shared" si="6"/>
        <v>1.9805902158843334</v>
      </c>
      <c r="U17">
        <f t="shared" si="7"/>
        <v>127.71152953866468</v>
      </c>
      <c r="V17">
        <f t="shared" si="8"/>
        <v>1.9805902158843334</v>
      </c>
      <c r="W17">
        <f t="shared" si="9"/>
        <v>91.333089169612833</v>
      </c>
      <c r="X17">
        <f t="shared" si="10"/>
        <v>0.91503267973856206</v>
      </c>
      <c r="Y17">
        <f t="shared" si="11"/>
        <v>123.11095639019456</v>
      </c>
      <c r="Z17">
        <f t="shared" si="12"/>
        <v>0.13071895424836602</v>
      </c>
      <c r="AA17">
        <f t="shared" si="13"/>
        <v>75.314024586253424</v>
      </c>
      <c r="AB17">
        <f t="shared" si="14"/>
        <v>129.11415254055657</v>
      </c>
      <c r="AC17">
        <f t="shared" si="15"/>
        <v>-10.847055415577483</v>
      </c>
      <c r="AD17">
        <f t="shared" si="16"/>
        <v>118.26709712497909</v>
      </c>
    </row>
    <row r="18" spans="1:30" x14ac:dyDescent="0.3">
      <c r="A18" t="s">
        <v>154</v>
      </c>
      <c r="B18">
        <f>122+6000*B19/100</f>
        <v>1022</v>
      </c>
      <c r="G18" t="s">
        <v>85</v>
      </c>
      <c r="H18">
        <f>10*LOG10(H17/B17^2)</f>
        <v>85.785904759947002</v>
      </c>
      <c r="I18" t="s">
        <v>85</v>
      </c>
      <c r="J18">
        <f>10*LOG10(J17/B17^2)</f>
        <v>31.441017500186263</v>
      </c>
      <c r="M18">
        <v>300</v>
      </c>
      <c r="N18">
        <f t="shared" si="0"/>
        <v>5.4928184122464654E-2</v>
      </c>
      <c r="O18">
        <f t="shared" si="1"/>
        <v>116.13259563511605</v>
      </c>
      <c r="P18">
        <f t="shared" si="2"/>
        <v>3.0754867982143385E-3</v>
      </c>
      <c r="Q18">
        <f t="shared" si="3"/>
        <v>69.358198833334541</v>
      </c>
      <c r="R18">
        <f t="shared" si="4"/>
        <v>1.3358371433237731E-3</v>
      </c>
      <c r="S18">
        <f t="shared" si="5"/>
        <v>14.580744175297124</v>
      </c>
      <c r="T18">
        <f t="shared" si="6"/>
        <v>2.9708853238265003</v>
      </c>
      <c r="U18">
        <f t="shared" si="7"/>
        <v>126.74302761385843</v>
      </c>
      <c r="V18">
        <f t="shared" si="8"/>
        <v>2.9708853238265003</v>
      </c>
      <c r="W18">
        <f t="shared" si="9"/>
        <v>92.301904572435674</v>
      </c>
      <c r="X18">
        <f t="shared" si="10"/>
        <v>1.3725490196078431</v>
      </c>
      <c r="Y18">
        <f t="shared" si="11"/>
        <v>125.89458014147436</v>
      </c>
      <c r="Z18">
        <f t="shared" si="12"/>
        <v>0.19607843137254902</v>
      </c>
      <c r="AA18">
        <f t="shared" si="13"/>
        <v>75.314024282293261</v>
      </c>
      <c r="AB18">
        <f t="shared" si="14"/>
        <v>129.55288994582077</v>
      </c>
      <c r="AC18">
        <f t="shared" si="15"/>
        <v>-7.0544626466411682</v>
      </c>
      <c r="AD18">
        <f t="shared" si="16"/>
        <v>122.4984272991796</v>
      </c>
    </row>
    <row r="19" spans="1:30" x14ac:dyDescent="0.3">
      <c r="A19" t="s">
        <v>158</v>
      </c>
      <c r="B19">
        <v>15</v>
      </c>
      <c r="M19">
        <v>400</v>
      </c>
      <c r="N19">
        <f t="shared" si="0"/>
        <v>7.3237578829952868E-2</v>
      </c>
      <c r="O19">
        <f t="shared" si="1"/>
        <v>117.36295378620451</v>
      </c>
      <c r="P19">
        <f t="shared" si="2"/>
        <v>4.1006490642857838E-3</v>
      </c>
      <c r="Q19">
        <f t="shared" si="3"/>
        <v>74.255998848982301</v>
      </c>
      <c r="R19">
        <f t="shared" si="4"/>
        <v>1.7811161910983643E-3</v>
      </c>
      <c r="S19">
        <f t="shared" si="5"/>
        <v>19.549461448071007</v>
      </c>
      <c r="T19">
        <f t="shared" si="6"/>
        <v>3.9611804317686667</v>
      </c>
      <c r="U19">
        <f t="shared" si="7"/>
        <v>126.05586456251277</v>
      </c>
      <c r="V19">
        <f t="shared" si="8"/>
        <v>3.9611804317686667</v>
      </c>
      <c r="W19">
        <f t="shared" si="9"/>
        <v>92.073745398923279</v>
      </c>
      <c r="X19">
        <f t="shared" si="10"/>
        <v>1.8300653594771241</v>
      </c>
      <c r="Y19">
        <f t="shared" si="11"/>
        <v>127.44544556414181</v>
      </c>
      <c r="Z19">
        <f t="shared" si="12"/>
        <v>0.26143790849673204</v>
      </c>
      <c r="AA19">
        <f t="shared" si="13"/>
        <v>75.31402143914579</v>
      </c>
      <c r="AB19">
        <f t="shared" si="14"/>
        <v>130.05711204506395</v>
      </c>
      <c r="AC19">
        <f t="shared" si="15"/>
        <v>-4.7738910332852953</v>
      </c>
      <c r="AD19">
        <f t="shared" si="16"/>
        <v>125.28322101177865</v>
      </c>
    </row>
    <row r="20" spans="1:30" x14ac:dyDescent="0.3">
      <c r="M20">
        <v>500</v>
      </c>
      <c r="N20">
        <f t="shared" si="0"/>
        <v>9.1546973537441095E-2</v>
      </c>
      <c r="O20">
        <f t="shared" si="1"/>
        <v>117.76883771560361</v>
      </c>
      <c r="P20">
        <f t="shared" si="2"/>
        <v>5.1258113303572304E-3</v>
      </c>
      <c r="Q20">
        <f t="shared" si="3"/>
        <v>78.019944846235688</v>
      </c>
      <c r="R20">
        <f t="shared" si="4"/>
        <v>2.2263952388729552E-3</v>
      </c>
      <c r="S20">
        <f t="shared" si="5"/>
        <v>23.393216094388713</v>
      </c>
      <c r="T20">
        <f t="shared" si="6"/>
        <v>4.9514755397108345</v>
      </c>
      <c r="U20">
        <f t="shared" si="7"/>
        <v>125.52285949096844</v>
      </c>
      <c r="V20">
        <f t="shared" si="8"/>
        <v>4.9514755397108345</v>
      </c>
      <c r="W20">
        <f t="shared" si="9"/>
        <v>91.35035783745316</v>
      </c>
      <c r="X20">
        <f t="shared" si="10"/>
        <v>2.2875816993464051</v>
      </c>
      <c r="Y20">
        <f t="shared" si="11"/>
        <v>128.28615726601083</v>
      </c>
      <c r="Z20">
        <f t="shared" si="12"/>
        <v>0.32679738562091504</v>
      </c>
      <c r="AA20">
        <f t="shared" si="13"/>
        <v>75.314005766844033</v>
      </c>
      <c r="AB20">
        <f t="shared" si="14"/>
        <v>130.3766099926151</v>
      </c>
      <c r="AC20">
        <f t="shared" si="15"/>
        <v>-3.2478075093781307</v>
      </c>
      <c r="AD20">
        <f t="shared" si="16"/>
        <v>127.12880248323697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0"/>
        <v>0.10985636824492931</v>
      </c>
      <c r="O21">
        <f t="shared" si="1"/>
        <v>117.76543863130181</v>
      </c>
      <c r="P21">
        <f t="shared" si="2"/>
        <v>6.150973596428677E-3</v>
      </c>
      <c r="Q21">
        <f t="shared" si="3"/>
        <v>81.06369195607877</v>
      </c>
      <c r="R21">
        <f t="shared" si="4"/>
        <v>2.6716742866475462E-3</v>
      </c>
      <c r="S21">
        <f t="shared" si="5"/>
        <v>26.524439679235524</v>
      </c>
      <c r="T21">
        <f t="shared" si="6"/>
        <v>5.9417706476530006</v>
      </c>
      <c r="U21">
        <f t="shared" si="7"/>
        <v>125.08736263770652</v>
      </c>
      <c r="V21">
        <f t="shared" si="8"/>
        <v>5.9417706476530006</v>
      </c>
      <c r="W21">
        <f t="shared" si="9"/>
        <v>90.434963378078308</v>
      </c>
      <c r="X21">
        <f t="shared" si="10"/>
        <v>2.7450980392156863</v>
      </c>
      <c r="Y21">
        <f t="shared" si="11"/>
        <v>128.67686354331659</v>
      </c>
      <c r="Z21">
        <f t="shared" si="12"/>
        <v>0.39215686274509803</v>
      </c>
      <c r="AA21">
        <f t="shared" si="13"/>
        <v>75.313943626091998</v>
      </c>
      <c r="AB21">
        <f t="shared" si="14"/>
        <v>130.49190868668506</v>
      </c>
      <c r="AC21">
        <f t="shared" si="15"/>
        <v>-2.1700037836745878</v>
      </c>
      <c r="AD21">
        <f t="shared" si="16"/>
        <v>128.32190490301048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0"/>
        <v>0.12816576295241752</v>
      </c>
      <c r="O22">
        <f t="shared" si="1"/>
        <v>117.5477138314689</v>
      </c>
      <c r="P22">
        <f t="shared" si="2"/>
        <v>7.1761358625001218E-3</v>
      </c>
      <c r="Q22">
        <f t="shared" si="3"/>
        <v>83.608277554788032</v>
      </c>
      <c r="R22">
        <f t="shared" si="4"/>
        <v>3.1169533344221375E-3</v>
      </c>
      <c r="S22">
        <f t="shared" si="5"/>
        <v>29.163227337959803</v>
      </c>
      <c r="T22">
        <f t="shared" si="6"/>
        <v>6.9320657555951666</v>
      </c>
      <c r="U22">
        <f t="shared" si="7"/>
        <v>124.71915529473816</v>
      </c>
      <c r="V22">
        <f t="shared" si="8"/>
        <v>6.9320657555951666</v>
      </c>
      <c r="W22">
        <f t="shared" si="9"/>
        <v>89.463836133036878</v>
      </c>
      <c r="X22">
        <f t="shared" si="10"/>
        <v>3.202614379084967</v>
      </c>
      <c r="Y22">
        <f t="shared" si="11"/>
        <v>128.77135876159994</v>
      </c>
      <c r="Z22">
        <f t="shared" si="12"/>
        <v>0.45751633986928103</v>
      </c>
      <c r="AA22">
        <f t="shared" si="13"/>
        <v>75.313746689964177</v>
      </c>
      <c r="AB22">
        <f t="shared" si="14"/>
        <v>130.44142470654347</v>
      </c>
      <c r="AC22">
        <f t="shared" si="15"/>
        <v>-1.3830326182040067</v>
      </c>
      <c r="AD22">
        <f t="shared" si="16"/>
        <v>129.05839208833947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0"/>
        <v>0.14647515765990574</v>
      </c>
      <c r="O23">
        <f t="shared" si="1"/>
        <v>117.21538485717943</v>
      </c>
      <c r="P23">
        <f t="shared" si="2"/>
        <v>8.2012981285715676E-3</v>
      </c>
      <c r="Q23">
        <f t="shared" si="3"/>
        <v>85.785904759947002</v>
      </c>
      <c r="R23">
        <f t="shared" si="4"/>
        <v>3.5622323821967285E-3</v>
      </c>
      <c r="S23">
        <f t="shared" si="5"/>
        <v>31.441017500186263</v>
      </c>
      <c r="T23">
        <f t="shared" si="6"/>
        <v>7.9223608635373335</v>
      </c>
      <c r="U23">
        <f t="shared" si="7"/>
        <v>124.40019958636087</v>
      </c>
      <c r="V23">
        <f t="shared" si="8"/>
        <v>7.9223608635373335</v>
      </c>
      <c r="W23">
        <f t="shared" si="9"/>
        <v>88.498625557696954</v>
      </c>
      <c r="X23">
        <f t="shared" si="10"/>
        <v>3.6601307189542482</v>
      </c>
      <c r="Y23">
        <f t="shared" si="11"/>
        <v>128.66822770881714</v>
      </c>
      <c r="Z23">
        <f t="shared" si="12"/>
        <v>0.52287581699346408</v>
      </c>
      <c r="AA23">
        <f t="shared" si="13"/>
        <v>75.313215854601637</v>
      </c>
      <c r="AB23">
        <f t="shared" si="14"/>
        <v>130.26991139194516</v>
      </c>
      <c r="AC23">
        <f t="shared" si="15"/>
        <v>-0.79460657411842606</v>
      </c>
      <c r="AD23">
        <f t="shared" si="16"/>
        <v>129.47530481782672</v>
      </c>
    </row>
    <row r="24" spans="1:30" x14ac:dyDescent="0.3">
      <c r="E24" t="s">
        <v>89</v>
      </c>
      <c r="F24">
        <f>(F27/B10^2)*SIN(F26)^2</f>
        <v>4.4979560575214815E-3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0"/>
        <v>0.16478455236739398</v>
      </c>
      <c r="O24">
        <f t="shared" si="1"/>
        <v>116.82255424131708</v>
      </c>
      <c r="P24">
        <f t="shared" si="2"/>
        <v>9.226460394643015E-3</v>
      </c>
      <c r="Q24">
        <f t="shared" si="3"/>
        <v>87.682040753046294</v>
      </c>
      <c r="R24">
        <f t="shared" si="4"/>
        <v>4.007511429971319E-3</v>
      </c>
      <c r="S24">
        <f t="shared" si="5"/>
        <v>33.442634411542038</v>
      </c>
      <c r="T24">
        <f t="shared" si="6"/>
        <v>8.9126559714795004</v>
      </c>
      <c r="U24">
        <f t="shared" si="7"/>
        <v>124.11886071290027</v>
      </c>
      <c r="V24">
        <f t="shared" si="8"/>
        <v>8.9126559714795004</v>
      </c>
      <c r="W24">
        <f t="shared" si="9"/>
        <v>87.56649820828747</v>
      </c>
      <c r="X24">
        <f t="shared" si="10"/>
        <v>4.117647058823529</v>
      </c>
      <c r="Y24">
        <f t="shared" si="11"/>
        <v>128.43313988434943</v>
      </c>
      <c r="Z24">
        <f t="shared" si="12"/>
        <v>0.58823529411764708</v>
      </c>
      <c r="AA24">
        <f t="shared" si="13"/>
        <v>75.311949838227591</v>
      </c>
      <c r="AB24">
        <f t="shared" si="14"/>
        <v>130.01526031636143</v>
      </c>
      <c r="AC24">
        <f t="shared" si="15"/>
        <v>-0.34641558835306263</v>
      </c>
      <c r="AD24">
        <f t="shared" si="16"/>
        <v>129.66884472800837</v>
      </c>
    </row>
    <row r="25" spans="1:30" x14ac:dyDescent="0.3">
      <c r="E25" t="s">
        <v>83</v>
      </c>
      <c r="F25">
        <f>F27/F28</f>
        <v>1.5151515151515151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0"/>
        <v>0.18309394707488219</v>
      </c>
      <c r="O25">
        <f t="shared" si="1"/>
        <v>116.39982268350454</v>
      </c>
      <c r="P25">
        <f t="shared" si="2"/>
        <v>1.0251622660714461E-2</v>
      </c>
      <c r="Q25">
        <f t="shared" si="3"/>
        <v>89.355190005740809</v>
      </c>
      <c r="R25">
        <f t="shared" si="4"/>
        <v>4.4527904777459104E-3</v>
      </c>
      <c r="S25">
        <f t="shared" si="5"/>
        <v>35.226028275834402</v>
      </c>
      <c r="T25">
        <f t="shared" si="6"/>
        <v>9.9029510794216691</v>
      </c>
      <c r="U25">
        <f t="shared" si="7"/>
        <v>123.86719451481656</v>
      </c>
      <c r="V25">
        <f t="shared" si="8"/>
        <v>9.9029510794216691</v>
      </c>
      <c r="W25">
        <f t="shared" si="9"/>
        <v>86.678312612815802</v>
      </c>
      <c r="X25">
        <f t="shared" si="10"/>
        <v>4.5751633986928102</v>
      </c>
      <c r="Y25">
        <f t="shared" si="11"/>
        <v>128.11068537577944</v>
      </c>
      <c r="Z25">
        <f t="shared" si="12"/>
        <v>0.65359477124183007</v>
      </c>
      <c r="AA25">
        <f t="shared" si="13"/>
        <v>75.309206333679157</v>
      </c>
      <c r="AB25">
        <f t="shared" si="14"/>
        <v>129.70651029198433</v>
      </c>
      <c r="AC25">
        <f t="shared" si="15"/>
        <v>1.415276948792954E-4</v>
      </c>
      <c r="AD25">
        <f t="shared" si="16"/>
        <v>129.70665181967922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2.976619596079008E-4</v>
      </c>
      <c r="I26" t="s">
        <v>89</v>
      </c>
      <c r="J26">
        <f>J25*(J24/B10)^2</f>
        <v>1.9680129560852942E-3</v>
      </c>
      <c r="M26">
        <v>2000</v>
      </c>
      <c r="N26">
        <f t="shared" si="0"/>
        <v>0.36618789414976438</v>
      </c>
      <c r="O26">
        <f t="shared" si="1"/>
        <v>112.37545669029674</v>
      </c>
      <c r="P26">
        <f t="shared" si="2"/>
        <v>2.0503245321428921E-2</v>
      </c>
      <c r="Q26">
        <f t="shared" si="3"/>
        <v>99.542242299129597</v>
      </c>
      <c r="R26">
        <f t="shared" si="4"/>
        <v>8.9055809554918208E-3</v>
      </c>
      <c r="S26">
        <f t="shared" si="5"/>
        <v>46.691003232877563</v>
      </c>
      <c r="T26">
        <f t="shared" si="6"/>
        <v>19.805902158843338</v>
      </c>
      <c r="U26">
        <f t="shared" si="7"/>
        <v>122.21152953866466</v>
      </c>
      <c r="V26">
        <f t="shared" si="8"/>
        <v>19.805902158843338</v>
      </c>
      <c r="W26">
        <f t="shared" si="9"/>
        <v>80.01833622721955</v>
      </c>
      <c r="X26">
        <f t="shared" si="10"/>
        <v>9.1503267973856204</v>
      </c>
      <c r="Y26">
        <f t="shared" si="11"/>
        <v>123.80064182534183</v>
      </c>
      <c r="Z26">
        <f t="shared" si="12"/>
        <v>1.3071895424836601</v>
      </c>
      <c r="AA26">
        <f t="shared" si="13"/>
        <v>74.227779401488817</v>
      </c>
      <c r="AB26">
        <f t="shared" si="14"/>
        <v>126.27889293915246</v>
      </c>
      <c r="AC26">
        <f t="shared" si="15"/>
        <v>1.201674176077685</v>
      </c>
      <c r="AD26">
        <f t="shared" si="16"/>
        <v>127.48056711523014</v>
      </c>
    </row>
    <row r="27" spans="1:30" x14ac:dyDescent="0.3">
      <c r="E27" t="s">
        <v>110</v>
      </c>
      <c r="F27">
        <v>10</v>
      </c>
      <c r="G27" t="s">
        <v>83</v>
      </c>
      <c r="H27">
        <v>0.35</v>
      </c>
      <c r="I27" t="s">
        <v>83</v>
      </c>
      <c r="J27">
        <v>0.7</v>
      </c>
      <c r="M27">
        <v>3000</v>
      </c>
      <c r="N27">
        <f t="shared" si="0"/>
        <v>0.54928184122464663</v>
      </c>
      <c r="O27">
        <f t="shared" si="1"/>
        <v>109.38899645473954</v>
      </c>
      <c r="P27">
        <f t="shared" si="2"/>
        <v>3.0754867982143379E-2</v>
      </c>
      <c r="Q27">
        <f t="shared" si="3"/>
        <v>104.44594420445802</v>
      </c>
      <c r="R27">
        <f t="shared" si="4"/>
        <v>1.3358371433237733E-2</v>
      </c>
      <c r="S27">
        <f t="shared" si="5"/>
        <v>53.015790836403731</v>
      </c>
      <c r="T27">
        <f t="shared" si="6"/>
        <v>29.708853238265</v>
      </c>
      <c r="U27">
        <f t="shared" si="7"/>
        <v>121.24302761385842</v>
      </c>
      <c r="V27">
        <f t="shared" si="8"/>
        <v>29.708853238265</v>
      </c>
      <c r="W27">
        <f t="shared" si="9"/>
        <v>75.785155040305796</v>
      </c>
      <c r="X27">
        <f t="shared" si="10"/>
        <v>13.725490196078431</v>
      </c>
      <c r="Y27">
        <f t="shared" si="11"/>
        <v>120.13028116228344</v>
      </c>
      <c r="Z27">
        <f t="shared" si="12"/>
        <v>1.9607843137254901</v>
      </c>
      <c r="AA27">
        <f t="shared" si="13"/>
        <v>66.132086202608619</v>
      </c>
      <c r="AB27">
        <f t="shared" si="14"/>
        <v>123.93853841425683</v>
      </c>
      <c r="AC27">
        <f t="shared" si="15"/>
        <v>1.2284560262974789</v>
      </c>
      <c r="AD27">
        <f t="shared" si="16"/>
        <v>125.1669944405543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1.8300653594771241</v>
      </c>
      <c r="I28" t="s">
        <v>81</v>
      </c>
      <c r="J28">
        <f>(B13*J27)*(1-B7*COS(B14))/(B7*B9)</f>
        <v>3.6601307189542482</v>
      </c>
      <c r="M28">
        <v>4000</v>
      </c>
      <c r="N28">
        <f t="shared" si="0"/>
        <v>0.73237578829952876</v>
      </c>
      <c r="O28">
        <f t="shared" si="1"/>
        <v>107.11936037625148</v>
      </c>
      <c r="P28">
        <f t="shared" si="2"/>
        <v>4.1006490642857843E-2</v>
      </c>
      <c r="Q28">
        <f t="shared" si="3"/>
        <v>107.2092802402428</v>
      </c>
      <c r="R28">
        <f t="shared" si="4"/>
        <v>1.7811161910983642E-2</v>
      </c>
      <c r="S28">
        <f t="shared" si="5"/>
        <v>57.198836351672881</v>
      </c>
      <c r="T28">
        <f t="shared" si="6"/>
        <v>39.611804317686676</v>
      </c>
      <c r="U28">
        <f t="shared" si="7"/>
        <v>120.55586456251277</v>
      </c>
      <c r="V28">
        <f t="shared" si="8"/>
        <v>39.611804317686676</v>
      </c>
      <c r="W28">
        <f t="shared" si="9"/>
        <v>72.721569915975763</v>
      </c>
      <c r="X28">
        <f t="shared" si="10"/>
        <v>18.300653594771241</v>
      </c>
      <c r="Y28">
        <f t="shared" si="11"/>
        <v>117.276510964925</v>
      </c>
      <c r="Z28">
        <f t="shared" si="12"/>
        <v>2.6143790849673203</v>
      </c>
      <c r="AA28">
        <f t="shared" si="13"/>
        <v>56.636461252893241</v>
      </c>
      <c r="AB28">
        <f t="shared" si="14"/>
        <v>122.49151277193076</v>
      </c>
      <c r="AC28">
        <f t="shared" si="15"/>
        <v>0.96359790524507294</v>
      </c>
      <c r="AD28">
        <f t="shared" si="16"/>
        <v>123.45511067717582</v>
      </c>
    </row>
    <row r="29" spans="1:30" x14ac:dyDescent="0.3">
      <c r="E29" t="s">
        <v>113</v>
      </c>
      <c r="F29">
        <f>(B13*F25)*(1-B7*COS(B14))/(B7*B9)</f>
        <v>7.9223608635373335</v>
      </c>
      <c r="G29" t="s">
        <v>125</v>
      </c>
      <c r="H29">
        <f>13.59*H28^2*(H28^2+12.5)^-2.25</f>
        <v>9.0811296715963344E-2</v>
      </c>
      <c r="I29" t="s">
        <v>125</v>
      </c>
      <c r="J29">
        <f>13.59*J28^2*(J28^2+12.5)^-2.25</f>
        <v>0.12034224015941418</v>
      </c>
      <c r="M29">
        <v>5000</v>
      </c>
      <c r="N29">
        <f t="shared" si="0"/>
        <v>0.91546973537441101</v>
      </c>
      <c r="O29">
        <f t="shared" si="1"/>
        <v>105.30318155009452</v>
      </c>
      <c r="P29">
        <f t="shared" si="2"/>
        <v>5.12581133035723E-2</v>
      </c>
      <c r="Q29">
        <f t="shared" si="3"/>
        <v>108.85694590432985</v>
      </c>
      <c r="R29">
        <f t="shared" si="4"/>
        <v>2.2263952388729552E-2</v>
      </c>
      <c r="S29">
        <f t="shared" si="5"/>
        <v>60.195352047454655</v>
      </c>
      <c r="T29">
        <f t="shared" si="6"/>
        <v>49.514755397108338</v>
      </c>
      <c r="U29">
        <f t="shared" si="7"/>
        <v>120.02285949096846</v>
      </c>
      <c r="V29">
        <f t="shared" si="8"/>
        <v>49.514755397108338</v>
      </c>
      <c r="W29">
        <f t="shared" si="9"/>
        <v>70.326661730960055</v>
      </c>
      <c r="X29">
        <f t="shared" si="10"/>
        <v>22.875816993464053</v>
      </c>
      <c r="Y29">
        <f t="shared" si="11"/>
        <v>114.98115790328566</v>
      </c>
      <c r="Z29">
        <f t="shared" si="12"/>
        <v>3.2679738562091503</v>
      </c>
      <c r="AA29">
        <f t="shared" si="13"/>
        <v>48.932947195319862</v>
      </c>
      <c r="AB29">
        <f t="shared" si="14"/>
        <v>121.55614250549772</v>
      </c>
      <c r="AC29">
        <f t="shared" si="15"/>
        <v>0.55443415814925312</v>
      </c>
      <c r="AD29">
        <f t="shared" si="16"/>
        <v>122.11057666364697</v>
      </c>
    </row>
    <row r="30" spans="1:30" x14ac:dyDescent="0.3">
      <c r="E30" t="s">
        <v>114</v>
      </c>
      <c r="F30">
        <f>0.1406*F29^-0.55</f>
        <v>4.5041752446569563E-2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0"/>
        <v>1.0985636824492933</v>
      </c>
      <c r="O30">
        <f t="shared" si="1"/>
        <v>103.79341463089676</v>
      </c>
      <c r="P30">
        <f t="shared" si="2"/>
        <v>6.1509735964286757E-2</v>
      </c>
      <c r="Q30">
        <f t="shared" si="3"/>
        <v>109.85288378211293</v>
      </c>
      <c r="R30">
        <f t="shared" si="4"/>
        <v>2.6716742866475466E-2</v>
      </c>
      <c r="S30">
        <f t="shared" si="5"/>
        <v>62.438913086753651</v>
      </c>
      <c r="T30">
        <f t="shared" si="6"/>
        <v>59.41770647653</v>
      </c>
      <c r="U30">
        <f t="shared" si="7"/>
        <v>119.58736263770652</v>
      </c>
      <c r="V30">
        <f t="shared" si="8"/>
        <v>59.41770647653</v>
      </c>
      <c r="W30">
        <f t="shared" si="9"/>
        <v>68.362288022048318</v>
      </c>
      <c r="X30">
        <f t="shared" si="10"/>
        <v>27.450980392156861</v>
      </c>
      <c r="Y30">
        <f t="shared" si="11"/>
        <v>113.07153274745241</v>
      </c>
      <c r="Z30">
        <f t="shared" si="12"/>
        <v>3.9215686274509802</v>
      </c>
      <c r="AA30">
        <f t="shared" si="13"/>
        <v>42.606122896449826</v>
      </c>
      <c r="AB30">
        <f t="shared" si="14"/>
        <v>120.90903401521572</v>
      </c>
      <c r="AC30">
        <f t="shared" si="15"/>
        <v>5.0112726333026991E-2</v>
      </c>
      <c r="AD30">
        <f t="shared" si="16"/>
        <v>120.95914674154875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0.11138232740822525</v>
      </c>
      <c r="I31" t="s">
        <v>90</v>
      </c>
      <c r="J31">
        <f>J22*B7^J23*J26*(B12*B9^2*B10^2)</f>
        <v>0.73641208203785269</v>
      </c>
      <c r="M31">
        <v>7000</v>
      </c>
      <c r="N31">
        <f t="shared" si="0"/>
        <v>1.2816576295241753</v>
      </c>
      <c r="O31">
        <f t="shared" si="1"/>
        <v>102.50312571154871</v>
      </c>
      <c r="P31">
        <f t="shared" si="2"/>
        <v>7.1761358625001215E-2</v>
      </c>
      <c r="Q31">
        <f t="shared" si="3"/>
        <v>110.44234970697872</v>
      </c>
      <c r="R31">
        <f t="shared" si="4"/>
        <v>3.1169533344221376E-2</v>
      </c>
      <c r="S31">
        <f t="shared" si="5"/>
        <v>64.165302080113165</v>
      </c>
      <c r="T31">
        <f t="shared" si="6"/>
        <v>69.320657555951669</v>
      </c>
      <c r="U31">
        <f t="shared" si="7"/>
        <v>119.21915529473814</v>
      </c>
      <c r="V31">
        <f t="shared" si="8"/>
        <v>69.320657555951669</v>
      </c>
      <c r="W31">
        <f t="shared" si="9"/>
        <v>66.697769116406931</v>
      </c>
      <c r="X31">
        <f t="shared" si="10"/>
        <v>32.026143790849673</v>
      </c>
      <c r="Y31">
        <f t="shared" si="11"/>
        <v>111.4402570815338</v>
      </c>
      <c r="Z31">
        <f t="shared" si="12"/>
        <v>4.5751633986928102</v>
      </c>
      <c r="AA31">
        <f t="shared" si="13"/>
        <v>37.252029802392698</v>
      </c>
      <c r="AB31">
        <f t="shared" si="14"/>
        <v>120.42689520632294</v>
      </c>
      <c r="AC31">
        <f t="shared" si="15"/>
        <v>-0.5231027020581247</v>
      </c>
      <c r="AD31">
        <f t="shared" si="16"/>
        <v>119.90379250426481</v>
      </c>
    </row>
    <row r="32" spans="1:30" x14ac:dyDescent="0.3">
      <c r="E32" t="s">
        <v>90</v>
      </c>
      <c r="F32">
        <f>F22*B7^F23*F24*(B12*B9^3*B10^2)</f>
        <v>366.72003583334401</v>
      </c>
      <c r="G32" t="s">
        <v>91</v>
      </c>
      <c r="H32">
        <f>(B12*B9*H31*H30*H29)/(4*PI()*B15^2*(1-B7*COS(B14))^4)</f>
        <v>0.50286633985414897</v>
      </c>
      <c r="I32" t="s">
        <v>91</v>
      </c>
      <c r="J32">
        <f>(B12*B9*J31*J30*J29)/(4*PI()*B15^2*(1-B7*COS(B14))^4)</f>
        <v>4.4059077278355154</v>
      </c>
      <c r="M32">
        <v>8000</v>
      </c>
      <c r="N32">
        <f t="shared" si="0"/>
        <v>1.4647515765990575</v>
      </c>
      <c r="O32">
        <f t="shared" si="1"/>
        <v>101.37731042507711</v>
      </c>
      <c r="P32">
        <f t="shared" si="2"/>
        <v>8.2012981285715686E-2</v>
      </c>
      <c r="Q32">
        <f t="shared" si="3"/>
        <v>110.76723190196316</v>
      </c>
      <c r="R32">
        <f t="shared" si="4"/>
        <v>3.5622323821967283E-2</v>
      </c>
      <c r="S32">
        <f t="shared" si="5"/>
        <v>65.517780220843051</v>
      </c>
      <c r="T32">
        <f t="shared" si="6"/>
        <v>79.223608635373353</v>
      </c>
      <c r="U32">
        <f t="shared" si="7"/>
        <v>118.90019958636087</v>
      </c>
      <c r="V32">
        <f t="shared" si="8"/>
        <v>79.223608635373353</v>
      </c>
      <c r="W32">
        <f t="shared" si="9"/>
        <v>65.253914275121076</v>
      </c>
      <c r="X32">
        <f t="shared" si="10"/>
        <v>36.601307189542482</v>
      </c>
      <c r="Y32">
        <f t="shared" si="11"/>
        <v>110.01807254757696</v>
      </c>
      <c r="Z32">
        <f t="shared" si="12"/>
        <v>5.2287581699346406</v>
      </c>
      <c r="AA32">
        <f t="shared" si="13"/>
        <v>32.613119464241628</v>
      </c>
      <c r="AB32">
        <f t="shared" si="14"/>
        <v>120.04218746265416</v>
      </c>
      <c r="AC32">
        <f t="shared" si="15"/>
        <v>-1.1468793432843185</v>
      </c>
      <c r="AD32">
        <f t="shared" si="16"/>
        <v>118.89530811936984</v>
      </c>
    </row>
    <row r="33" spans="5:30" x14ac:dyDescent="0.3">
      <c r="E33" t="s">
        <v>91</v>
      </c>
      <c r="F33">
        <f>(B12*B9*F32*F31*F30)/(4*PI()*B15^2*(1-B7*COS(B14))^2)</f>
        <v>1101.7421123368833</v>
      </c>
      <c r="G33" t="s">
        <v>85</v>
      </c>
      <c r="H33">
        <f>10*LOG10(H32/B17^2)</f>
        <v>90.993925750846813</v>
      </c>
      <c r="I33" t="s">
        <v>85</v>
      </c>
      <c r="J33">
        <f>10*LOG10(J32/B17^2)</f>
        <v>100.41975406227709</v>
      </c>
      <c r="M33">
        <v>9000</v>
      </c>
      <c r="N33">
        <f t="shared" si="0"/>
        <v>1.6478455236739398</v>
      </c>
      <c r="O33">
        <f t="shared" si="1"/>
        <v>100.37914839695785</v>
      </c>
      <c r="P33">
        <f t="shared" si="2"/>
        <v>9.2264603946430143E-2</v>
      </c>
      <c r="Q33">
        <f t="shared" si="3"/>
        <v>110.91466396501144</v>
      </c>
      <c r="R33">
        <f t="shared" si="4"/>
        <v>4.0075114299713194E-2</v>
      </c>
      <c r="S33">
        <f t="shared" si="5"/>
        <v>66.590125151740111</v>
      </c>
      <c r="T33">
        <f t="shared" si="6"/>
        <v>89.126559714795007</v>
      </c>
      <c r="U33">
        <f t="shared" si="7"/>
        <v>118.61886071290029</v>
      </c>
      <c r="V33">
        <f t="shared" si="8"/>
        <v>89.126559714795007</v>
      </c>
      <c r="W33">
        <f t="shared" si="9"/>
        <v>63.979178376483141</v>
      </c>
      <c r="X33">
        <f t="shared" si="10"/>
        <v>41.176470588235297</v>
      </c>
      <c r="Y33">
        <f t="shared" si="11"/>
        <v>108.7582368420251</v>
      </c>
      <c r="Z33">
        <f t="shared" si="12"/>
        <v>5.882352941176471</v>
      </c>
      <c r="AA33">
        <f t="shared" si="13"/>
        <v>28.521059971015642</v>
      </c>
      <c r="AB33">
        <f t="shared" si="14"/>
        <v>119.71778057373214</v>
      </c>
      <c r="AC33">
        <f t="shared" si="15"/>
        <v>-1.8068953612431837</v>
      </c>
      <c r="AD33">
        <f t="shared" si="16"/>
        <v>117.91088521248896</v>
      </c>
    </row>
    <row r="34" spans="5:30" x14ac:dyDescent="0.3">
      <c r="E34" t="s">
        <v>85</v>
      </c>
      <c r="F34">
        <f>10*LOG10(F33/B17^2)</f>
        <v>124.40019958636087</v>
      </c>
      <c r="M34">
        <v>10000</v>
      </c>
      <c r="N34">
        <f t="shared" si="0"/>
        <v>1.830939470748822</v>
      </c>
      <c r="O34">
        <f t="shared" si="1"/>
        <v>99.482849999692633</v>
      </c>
      <c r="P34">
        <f t="shared" si="2"/>
        <v>0.1025162266071446</v>
      </c>
      <c r="Q34">
        <f>10*LOG10((($B$12*$B$9*$H$16*$H$15*(0.613*(10*P34)^4*((10*P34)^1.5+0.5)^-4))/(4*PI()*$B$15^2*(1-$B$7*COS($B$14))^4))/$B$17^2)</f>
        <v>110.94050906693292</v>
      </c>
      <c r="R34">
        <f t="shared" si="4"/>
        <v>4.4527904777459104E-2</v>
      </c>
      <c r="S34">
        <f t="shared" si="5"/>
        <v>67.44705915553412</v>
      </c>
      <c r="T34">
        <f t="shared" si="6"/>
        <v>99.029510794216677</v>
      </c>
      <c r="U34">
        <f t="shared" si="7"/>
        <v>118.36719451481656</v>
      </c>
      <c r="V34">
        <f t="shared" si="8"/>
        <v>99.029510794216677</v>
      </c>
      <c r="W34">
        <f t="shared" si="9"/>
        <v>62.838158526825666</v>
      </c>
      <c r="X34">
        <f t="shared" si="10"/>
        <v>45.751633986928105</v>
      </c>
      <c r="Y34">
        <f t="shared" si="11"/>
        <v>107.62789661435346</v>
      </c>
      <c r="Z34">
        <f t="shared" si="12"/>
        <v>6.5359477124183005</v>
      </c>
      <c r="AA34">
        <f t="shared" si="13"/>
        <v>24.860512487937708</v>
      </c>
      <c r="AB34">
        <f t="shared" si="14"/>
        <v>119.43298696562742</v>
      </c>
      <c r="AC34">
        <f t="shared" si="15"/>
        <v>-2.4915694246069107</v>
      </c>
      <c r="AD34">
        <f t="shared" si="16"/>
        <v>116.94141754102051</v>
      </c>
    </row>
    <row r="35" spans="5:30" x14ac:dyDescent="0.3">
      <c r="M35">
        <v>20000</v>
      </c>
      <c r="N35">
        <f t="shared" si="0"/>
        <v>3.661878941497644</v>
      </c>
      <c r="O35">
        <f t="shared" si="1"/>
        <v>93.533611727489628</v>
      </c>
      <c r="P35">
        <f t="shared" si="2"/>
        <v>0.2050324532142892</v>
      </c>
      <c r="Q35">
        <f>10*LOG10((($B$12*$B$9*$H$16*$H$15*(0.613*(10*P35)^4*((10*P35)^1.5+0.5)^-4))/(4*PI()*$B$15^2*(1-$B$7*COS($B$14))^4))/$B$17^2)</f>
        <v>109.01836509404009</v>
      </c>
      <c r="R35">
        <f t="shared" si="4"/>
        <v>8.9055809554918208E-2</v>
      </c>
      <c r="S35">
        <f t="shared" si="5"/>
        <v>70.459892437156043</v>
      </c>
      <c r="T35">
        <f t="shared" si="6"/>
        <v>198.05902158843335</v>
      </c>
      <c r="U35">
        <f t="shared" si="7"/>
        <v>116.71152953866466</v>
      </c>
      <c r="V35">
        <f t="shared" si="8"/>
        <v>198.05902158843335</v>
      </c>
      <c r="W35">
        <f t="shared" si="9"/>
        <v>55.321742532868505</v>
      </c>
      <c r="X35">
        <f t="shared" si="10"/>
        <v>91.503267973856211</v>
      </c>
      <c r="Y35">
        <f t="shared" si="11"/>
        <v>100.14574885291985</v>
      </c>
      <c r="Z35">
        <f t="shared" si="12"/>
        <v>13.071895424836601</v>
      </c>
      <c r="AA35">
        <f t="shared" si="13"/>
        <v>0.77815180525514072</v>
      </c>
      <c r="AB35">
        <f t="shared" si="14"/>
        <v>117.49239005130734</v>
      </c>
      <c r="AC35">
        <f t="shared" si="15"/>
        <v>-9.3467937594815851</v>
      </c>
      <c r="AD35">
        <f t="shared" si="16"/>
        <v>108.14559629182575</v>
      </c>
    </row>
    <row r="36" spans="5:30" x14ac:dyDescent="0.3">
      <c r="E36" t="s">
        <v>116</v>
      </c>
      <c r="M36">
        <v>30000</v>
      </c>
      <c r="N36">
        <f t="shared" si="0"/>
        <v>5.4928184122464661</v>
      </c>
      <c r="O36">
        <f t="shared" si="1"/>
        <v>90.029616564626537</v>
      </c>
      <c r="P36">
        <f t="shared" si="2"/>
        <v>0.3075486798214338</v>
      </c>
      <c r="Q36">
        <f>10*LOG10((($B$12*$B$9*$H$16*$H$15*(0.613*(10*P36)^4*((10*P36)^1.5+0.5)^-4))/(4*PI()*$B$15^2*(1-$B$7*COS($B$14))^4))/$B$17^2)</f>
        <v>106.6884491453351</v>
      </c>
      <c r="R36">
        <f t="shared" si="4"/>
        <v>0.13358371433237731</v>
      </c>
      <c r="S36">
        <f t="shared" si="5"/>
        <v>70.174382360281214</v>
      </c>
      <c r="T36">
        <f t="shared" si="6"/>
        <v>297.08853238265004</v>
      </c>
      <c r="U36">
        <f t="shared" si="7"/>
        <v>115.7430276138584</v>
      </c>
      <c r="V36">
        <f t="shared" si="8"/>
        <v>297.08853238265004</v>
      </c>
      <c r="W36">
        <f t="shared" si="9"/>
        <v>50.921190534878804</v>
      </c>
      <c r="X36">
        <f t="shared" si="10"/>
        <v>137.25490196078431</v>
      </c>
      <c r="Y36">
        <f t="shared" si="11"/>
        <v>95.75156323932444</v>
      </c>
      <c r="Z36">
        <f t="shared" si="12"/>
        <v>19.607843137254903</v>
      </c>
      <c r="AA36">
        <f t="shared" si="13"/>
        <v>-13.309148772336464</v>
      </c>
      <c r="AB36">
        <f t="shared" si="14"/>
        <v>116.30082824450268</v>
      </c>
      <c r="AC36">
        <f t="shared" si="15"/>
        <v>-14.969811759715991</v>
      </c>
      <c r="AD36">
        <f t="shared" si="16"/>
        <v>101.33101648478669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0"/>
        <v>7.3237578829952881</v>
      </c>
      <c r="O37">
        <f t="shared" si="1"/>
        <v>87.538312271946097</v>
      </c>
      <c r="P37">
        <f t="shared" si="2"/>
        <v>0.4100649064285784</v>
      </c>
      <c r="Q37">
        <f>10*LOG10((($B$12*$B$9*$H$16*$H$15*(0.613*(10*P37)^4*((10*P37)^1.5+0.5)^-4))/(4*PI()*$B$15^2*(1-$B$7*COS($B$14))^4))/$B$17^2)</f>
        <v>104.71405130920458</v>
      </c>
      <c r="R37">
        <f t="shared" si="4"/>
        <v>0.17811161910983642</v>
      </c>
      <c r="S37">
        <f t="shared" si="5"/>
        <v>69.232754738113186</v>
      </c>
      <c r="T37">
        <f t="shared" si="6"/>
        <v>396.11804317686671</v>
      </c>
      <c r="U37">
        <f t="shared" si="7"/>
        <v>115.05586456251278</v>
      </c>
      <c r="V37">
        <f t="shared" si="8"/>
        <v>396.11804317686671</v>
      </c>
      <c r="W37">
        <f t="shared" si="9"/>
        <v>47.798327509435509</v>
      </c>
      <c r="X37">
        <f t="shared" si="10"/>
        <v>183.00653594771242</v>
      </c>
      <c r="Y37">
        <f t="shared" si="11"/>
        <v>92.630929961482437</v>
      </c>
      <c r="Z37">
        <f t="shared" si="12"/>
        <v>26.143790849673202</v>
      </c>
      <c r="AA37">
        <f t="shared" si="13"/>
        <v>-23.304247695634402</v>
      </c>
      <c r="AB37">
        <f t="shared" si="14"/>
        <v>115.46959452201276</v>
      </c>
      <c r="AC37">
        <f t="shared" si="15"/>
        <v>-19.409938448212671</v>
      </c>
      <c r="AD37">
        <f t="shared" si="16"/>
        <v>96.059656073800085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+10^(O235/10))</f>
        <v>126.87822170437512</v>
      </c>
      <c r="Q38">
        <f t="shared" ref="Q38:AD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+10^(Q235/10))</f>
        <v>118.70935723258114</v>
      </c>
      <c r="S38">
        <f t="shared" si="17"/>
        <v>72.981411844437773</v>
      </c>
      <c r="U38">
        <f t="shared" si="17"/>
        <v>142.6986155890082</v>
      </c>
      <c r="W38">
        <f t="shared" si="17"/>
        <v>100.83429047719839</v>
      </c>
      <c r="Y38">
        <f t="shared" si="17"/>
        <v>137.85443398549751</v>
      </c>
      <c r="AA38">
        <f t="shared" si="17"/>
        <v>88.305656057018894</v>
      </c>
      <c r="AB38">
        <f t="shared" si="17"/>
        <v>144.0276733030523</v>
      </c>
      <c r="AD38">
        <f t="shared" si="17"/>
        <v>138.48071586266127</v>
      </c>
    </row>
    <row r="39" spans="5:30" x14ac:dyDescent="0.3">
      <c r="E39" t="s">
        <v>117</v>
      </c>
      <c r="F39">
        <v>0.1</v>
      </c>
      <c r="M39" t="s">
        <v>157</v>
      </c>
      <c r="N39">
        <f>B18</f>
        <v>1022</v>
      </c>
      <c r="O39">
        <f>O38-20*LOG10($B$18-1)</f>
        <v>66.69770686263692</v>
      </c>
      <c r="Q39">
        <f t="shared" ref="Q39:AD39" si="18">Q38-20*LOG10($B$18-1)</f>
        <v>58.528842390842932</v>
      </c>
      <c r="S39">
        <f t="shared" si="18"/>
        <v>12.800897002699564</v>
      </c>
      <c r="U39">
        <f t="shared" si="18"/>
        <v>82.518100747269983</v>
      </c>
      <c r="W39">
        <f t="shared" si="18"/>
        <v>40.653775635460185</v>
      </c>
      <c r="Y39">
        <f t="shared" si="18"/>
        <v>77.673919143759292</v>
      </c>
      <c r="AA39">
        <f t="shared" si="18"/>
        <v>28.125141215280685</v>
      </c>
      <c r="AB39">
        <f t="shared" si="18"/>
        <v>83.847158461314081</v>
      </c>
      <c r="AD39">
        <f t="shared" si="18"/>
        <v>78.300201020923055</v>
      </c>
    </row>
    <row r="40" spans="5:30" x14ac:dyDescent="0.3">
      <c r="E40" t="s">
        <v>118</v>
      </c>
      <c r="F40">
        <v>0.7</v>
      </c>
      <c r="AA40" t="s">
        <v>155</v>
      </c>
      <c r="AB40">
        <f>'6 bladed propeller'!F76+20*LOG10(450/B18)</f>
        <v>66.330764327302489</v>
      </c>
      <c r="AD40">
        <f>AB40</f>
        <v>66.330764327302489</v>
      </c>
    </row>
    <row r="41" spans="5:30" x14ac:dyDescent="0.3">
      <c r="E41" t="s">
        <v>89</v>
      </c>
      <c r="F41">
        <f>(F39/B10)^2*(F40/F39)</f>
        <v>9.5667296476368443E-5</v>
      </c>
      <c r="AA41" t="s">
        <v>156</v>
      </c>
    </row>
    <row r="42" spans="5:30" x14ac:dyDescent="0.3">
      <c r="E42" t="s">
        <v>83</v>
      </c>
      <c r="F42">
        <f>F39</f>
        <v>0.1</v>
      </c>
      <c r="AA42" t="s">
        <v>148</v>
      </c>
      <c r="AB42">
        <f>10*LOG(10^(AB39/10)+10^(AB40/10))</f>
        <v>83.923423599363417</v>
      </c>
      <c r="AD42">
        <f t="shared" ref="AD42" si="19">10*LOG(10^(AD39/10)+10^(AD40/10))</f>
        <v>78.567744754383867</v>
      </c>
    </row>
    <row r="43" spans="5:30" x14ac:dyDescent="0.3">
      <c r="E43" t="s">
        <v>81</v>
      </c>
      <c r="F43">
        <f>(B13*F42)*(1-B7*COS(B14))/(B7*B9)</f>
        <v>0.52287581699346408</v>
      </c>
    </row>
    <row r="44" spans="5:30" x14ac:dyDescent="0.3">
      <c r="E44" t="s">
        <v>125</v>
      </c>
      <c r="F44">
        <f>5.325*(30+F43^8)^-1</f>
        <v>0.17746694899440529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7.7046368564987731</v>
      </c>
    </row>
    <row r="47" spans="5:30" x14ac:dyDescent="0.3">
      <c r="E47" t="s">
        <v>91</v>
      </c>
      <c r="F47">
        <f>(B12*B9*F46*F45*F44)/(4*PI()*B15^2*(1-B7*COS(B14))^2)</f>
        <v>1.3595074029082149E-2</v>
      </c>
    </row>
    <row r="48" spans="5:30" x14ac:dyDescent="0.3">
      <c r="E48" t="s">
        <v>85</v>
      </c>
      <c r="F48">
        <f>10*LOG10(F47/B17^2)</f>
        <v>75.313215854601637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6 bladed propeller</vt:lpstr>
      <vt:lpstr>8 bladed propeller</vt:lpstr>
      <vt:lpstr>Approach Aquila</vt:lpstr>
      <vt:lpstr>Frequency</vt:lpstr>
      <vt:lpstr>Approach</vt:lpstr>
      <vt:lpstr>Fly-over Aquila</vt:lpstr>
      <vt:lpstr>Approach ATR 72</vt:lpstr>
      <vt:lpstr>Fly-over ATR 72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Lousseaux</dc:creator>
  <cp:lastModifiedBy>benja</cp:lastModifiedBy>
  <dcterms:created xsi:type="dcterms:W3CDTF">2019-06-04T09:08:28Z</dcterms:created>
  <dcterms:modified xsi:type="dcterms:W3CDTF">2019-06-17T07:31:20Z</dcterms:modified>
</cp:coreProperties>
</file>