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edrashid/Desktop/Python/Ahamed's Website/Finance Projects/"/>
    </mc:Choice>
  </mc:AlternateContent>
  <xr:revisionPtr revIDLastSave="0" documentId="13_ncr:1_{7D58F3A1-70D7-184B-8334-A4A3D02E4472}" xr6:coauthVersionLast="47" xr6:coauthVersionMax="47" xr10:uidLastSave="{00000000-0000-0000-0000-000000000000}"/>
  <bookViews>
    <workbookView xWindow="0" yWindow="0" windowWidth="51200" windowHeight="28800" activeTab="11" xr2:uid="{AF480BCC-78B1-EB43-B47E-82612BE4793B}"/>
  </bookViews>
  <sheets>
    <sheet name="Basic Financials" sheetId="9" r:id="rId1"/>
    <sheet name="WACC" sheetId="2" r:id="rId2"/>
    <sheet name="ADV. DCF" sheetId="11" r:id="rId3"/>
    <sheet name="DCF" sheetId="1" r:id="rId4"/>
    <sheet name="FWD PE" sheetId="12" r:id="rId5"/>
    <sheet name="Dividend Discount" sheetId="3" r:id="rId6"/>
    <sheet name="Graham Intrinsic Model" sheetId="8" r:id="rId7"/>
    <sheet name="Graham Model" sheetId="4" r:id="rId8"/>
    <sheet name="Value Model" sheetId="6" r:id="rId9"/>
    <sheet name="EPS Multiplier Model" sheetId="7" r:id="rId10"/>
    <sheet name="SUMMARY" sheetId="14" r:id="rId11"/>
    <sheet name="Notes" sheetId="15" r:id="rId12"/>
    <sheet name="formulas notes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B16" i="2"/>
  <c r="B34" i="2"/>
  <c r="L16" i="11"/>
  <c r="H17" i="11"/>
  <c r="B9" i="15"/>
  <c r="B22" i="11"/>
  <c r="B12" i="2"/>
  <c r="B15" i="2"/>
  <c r="J10" i="2" l="1"/>
  <c r="G17" i="2"/>
  <c r="J11" i="2" s="1"/>
  <c r="J12" i="2" l="1"/>
  <c r="G19" i="1"/>
  <c r="G17" i="1"/>
  <c r="G15" i="1"/>
  <c r="G14" i="1"/>
  <c r="F8" i="1"/>
  <c r="F30" i="1" s="1"/>
  <c r="E8" i="1"/>
  <c r="E30" i="1" s="1"/>
  <c r="D8" i="1"/>
  <c r="D30" i="1" s="1"/>
  <c r="C8" i="1"/>
  <c r="C30" i="1" s="1"/>
  <c r="B8" i="1"/>
  <c r="B30" i="1" s="1"/>
  <c r="B3" i="1"/>
  <c r="F11" i="7"/>
  <c r="C10" i="4"/>
  <c r="C14" i="8"/>
  <c r="D8" i="14"/>
  <c r="G15" i="12" l="1"/>
  <c r="G17" i="12"/>
  <c r="H16" i="12" s="1"/>
  <c r="F11" i="12"/>
  <c r="G11" i="12"/>
  <c r="H11" i="12"/>
  <c r="I11" i="12"/>
  <c r="E11" i="12"/>
  <c r="G14" i="12" s="1"/>
  <c r="G16" i="12" s="1"/>
  <c r="I16" i="12" s="1"/>
  <c r="D4" i="12"/>
  <c r="D16" i="11" l="1"/>
  <c r="E16" i="11" s="1"/>
  <c r="C16" i="11"/>
  <c r="B16" i="11"/>
  <c r="B9" i="11"/>
  <c r="F16" i="11" l="1"/>
  <c r="G39" i="1"/>
  <c r="G37" i="1"/>
  <c r="G16" i="11" l="1"/>
  <c r="G36" i="1"/>
  <c r="H16" i="11" l="1"/>
  <c r="C13" i="8"/>
  <c r="D5" i="14" s="1"/>
  <c r="C4" i="8"/>
  <c r="C6" i="4"/>
  <c r="C9" i="4" s="1"/>
  <c r="C3" i="4"/>
  <c r="C6" i="6"/>
  <c r="C8" i="6" s="1"/>
  <c r="C3" i="6"/>
  <c r="C9" i="7"/>
  <c r="C6" i="7"/>
  <c r="E7" i="7" s="1"/>
  <c r="F7" i="7" s="1"/>
  <c r="G7" i="7" s="1"/>
  <c r="H7" i="7" s="1"/>
  <c r="I7" i="7" s="1"/>
  <c r="C4" i="7"/>
  <c r="I16" i="11" l="1"/>
  <c r="E14" i="8"/>
  <c r="D14" i="8"/>
  <c r="E10" i="4"/>
  <c r="D10" i="4"/>
  <c r="I8" i="7"/>
  <c r="G41" i="1"/>
  <c r="J16" i="11" l="1"/>
  <c r="B7" i="9"/>
  <c r="K16" i="11" l="1"/>
  <c r="C31" i="1"/>
  <c r="C15" i="9"/>
  <c r="D15" i="9"/>
  <c r="E15" i="9"/>
  <c r="B15" i="9"/>
  <c r="D31" i="1" l="1"/>
  <c r="F31" i="1"/>
  <c r="E31" i="1"/>
  <c r="G31" i="1" l="1"/>
  <c r="H31" i="1" s="1"/>
  <c r="B3" i="3"/>
  <c r="B3" i="2"/>
  <c r="E24" i="9" l="1"/>
  <c r="C24" i="9" l="1"/>
  <c r="E7" i="9"/>
  <c r="D7" i="9"/>
  <c r="C7" i="9"/>
  <c r="E5" i="9"/>
  <c r="D5" i="9"/>
  <c r="C5" i="9"/>
  <c r="D24" i="9" l="1"/>
  <c r="E9" i="1" l="1"/>
  <c r="D9" i="1"/>
  <c r="C9" i="1"/>
  <c r="G28" i="3"/>
  <c r="G9" i="1" l="1"/>
  <c r="H9" i="1" s="1"/>
  <c r="G30" i="1"/>
  <c r="B29" i="2"/>
  <c r="L11" i="3"/>
  <c r="J11" i="3"/>
  <c r="H11" i="3"/>
  <c r="F11" i="3"/>
  <c r="D11" i="3"/>
  <c r="B11" i="3"/>
  <c r="I9" i="1" l="1"/>
  <c r="J9" i="1" s="1"/>
  <c r="K9" i="1" s="1"/>
  <c r="H30" i="1"/>
  <c r="G15" i="3"/>
  <c r="I15" i="3"/>
  <c r="K15" i="3"/>
  <c r="E15" i="3"/>
  <c r="C15" i="3"/>
  <c r="B31" i="2"/>
  <c r="B24" i="2"/>
  <c r="G19" i="3" l="1"/>
  <c r="G23" i="3" s="1"/>
  <c r="C29" i="2"/>
  <c r="C30" i="2"/>
  <c r="J13" i="2" l="1"/>
  <c r="J14" i="2" s="1"/>
  <c r="B28" i="11" l="1"/>
  <c r="D10" i="14"/>
  <c r="C8" i="7"/>
  <c r="H8" i="7" s="1"/>
  <c r="G8" i="7" s="1"/>
  <c r="F8" i="7" s="1"/>
  <c r="E8" i="7" s="1"/>
  <c r="F10" i="7" s="1"/>
  <c r="P17" i="11"/>
  <c r="B4" i="1"/>
  <c r="G20" i="3"/>
  <c r="G24" i="3" s="1"/>
  <c r="G27" i="3" s="1"/>
  <c r="H27" i="3" s="1"/>
  <c r="H11" i="7" l="1"/>
  <c r="D6" i="14"/>
  <c r="C17" i="11"/>
  <c r="D17" i="11"/>
  <c r="B17" i="11"/>
  <c r="E17" i="11"/>
  <c r="F17" i="11"/>
  <c r="G17" i="11"/>
  <c r="I17" i="11"/>
  <c r="J17" i="11"/>
  <c r="L17" i="11"/>
  <c r="K17" i="11"/>
  <c r="G11" i="7"/>
  <c r="G32" i="1"/>
  <c r="H32" i="1"/>
  <c r="I30" i="1"/>
  <c r="I32" i="1" s="1"/>
  <c r="I27" i="3"/>
  <c r="G8" i="1"/>
  <c r="H8" i="1" s="1"/>
  <c r="B20" i="11" l="1"/>
  <c r="B23" i="11" s="1"/>
  <c r="B25" i="11" s="1"/>
  <c r="G35" i="1"/>
  <c r="G10" i="1"/>
  <c r="H10" i="1"/>
  <c r="I8" i="1"/>
  <c r="B27" i="11" l="1"/>
  <c r="B29" i="11" s="1"/>
  <c r="D4" i="14"/>
  <c r="D7" i="14" s="1"/>
  <c r="G38" i="1"/>
  <c r="G40" i="1" s="1"/>
  <c r="J8" i="1"/>
  <c r="I10" i="1"/>
  <c r="D11" i="14" l="1"/>
  <c r="D9" i="14"/>
  <c r="G43" i="1"/>
  <c r="G42" i="1"/>
  <c r="K8" i="1"/>
  <c r="L8" i="1" s="1"/>
  <c r="J10" i="1"/>
  <c r="K10" i="1" l="1"/>
  <c r="L10" i="1"/>
  <c r="G13" i="1" l="1"/>
  <c r="G16" i="1" s="1"/>
  <c r="G18" i="1" s="1"/>
  <c r="G21" i="1" s="1"/>
  <c r="G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1" authorId="0" shapeId="0" xr:uid="{D97836EB-D66A-2C40-BC66-AE1F3D12E751}">
      <text>
        <r>
          <rPr>
            <b/>
            <sz val="10"/>
            <color rgb="FF000000"/>
            <rFont val="Tahoma"/>
            <family val="2"/>
          </rPr>
          <t>Cash flow from Operation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34E49605-E246-214D-AB29-84AF98D5AA90}">
      <text>
        <r>
          <rPr>
            <b/>
            <sz val="10"/>
            <color rgb="FF000000"/>
            <rFont val="Tahoma"/>
            <family val="2"/>
          </rPr>
          <t xml:space="preserve">Find this from yahoo finance under analysis
</t>
        </r>
        <r>
          <rPr>
            <b/>
            <sz val="10"/>
            <color rgb="FF000000"/>
            <rFont val="Tahoma"/>
            <family val="2"/>
          </rPr>
          <t>--</t>
        </r>
        <r>
          <rPr>
            <sz val="10"/>
            <color rgb="FF000000"/>
            <rFont val="Tahoma"/>
            <family val="2"/>
          </rPr>
          <t xml:space="preserve">Get the next 5 year annum growth rate </t>
        </r>
      </text>
    </comment>
    <comment ref="B8" authorId="0" shapeId="0" xr:uid="{8E65CAA4-A680-AC4B-BD49-D524848E87DA}">
      <text>
        <r>
          <rPr>
            <sz val="12"/>
            <color rgb="FFFF0000"/>
            <rFont val="Calibri"/>
            <family val="2"/>
            <scheme val="minor"/>
          </rPr>
          <t xml:space="preserve">This is wacc directly linked to the model </t>
        </r>
        <r>
          <rPr>
            <i/>
            <sz val="12"/>
            <color rgb="FF7F7F7F"/>
            <rFont val="Calibri"/>
            <family val="2"/>
            <scheme val="minor"/>
          </rPr>
          <t xml:space="preserve">
</t>
        </r>
      </text>
    </comment>
    <comment ref="B9" authorId="0" shapeId="0" xr:uid="{D4AD374E-BEB9-D749-9120-AFEF5B06D043}">
      <text>
        <r>
          <rPr>
            <sz val="12"/>
            <color rgb="FFFF0000"/>
            <rFont val="Calibri"/>
            <family val="2"/>
          </rPr>
          <t>Growth Rate X 2</t>
        </r>
        <r>
          <rPr>
            <i/>
            <sz val="12"/>
            <color rgb="FF7F7F7F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9" authorId="0" shapeId="0" xr:uid="{A41B6874-E28B-D747-AF15-0AB8538E2220}">
      <text>
        <r>
          <rPr>
            <sz val="10"/>
            <color rgb="FF000000"/>
            <rFont val="Tahoma"/>
            <family val="2"/>
          </rPr>
          <t xml:space="preserve">Can be found in the income statement while ST AND LT are found in balance sheet </t>
        </r>
      </text>
    </comment>
    <comment ref="A10" authorId="0" shapeId="0" xr:uid="{5190FAE1-E2FD-7C47-B275-BA929147F6EC}">
      <text>
        <r>
          <rPr>
            <sz val="10"/>
            <color rgb="FF000000"/>
            <rFont val="Tahoma"/>
            <family val="2"/>
          </rPr>
          <t xml:space="preserve">SHORT TERM DEBT </t>
        </r>
      </text>
    </comment>
    <comment ref="A11" authorId="0" shapeId="0" xr:uid="{008A9246-513E-2240-AE5D-71D882CC2146}">
      <text>
        <r>
          <rPr>
            <b/>
            <sz val="10"/>
            <color rgb="FF000000"/>
            <rFont val="Tahoma"/>
            <family val="2"/>
          </rPr>
          <t xml:space="preserve">LONG TERM DEBT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21" authorId="0" shapeId="0" xr:uid="{8DEF4EE6-B593-DA4F-AB1A-CD03E5B6B293}">
      <text>
        <r>
          <rPr>
            <b/>
            <sz val="12"/>
            <color rgb="FF3F3F3F"/>
            <rFont val="Calibri"/>
            <family val="2"/>
          </rPr>
          <t xml:space="preserve">This value is from the ^TNX bond's last price </t>
        </r>
      </text>
    </comment>
    <comment ref="A22" authorId="0" shapeId="0" xr:uid="{E018B4C0-7B67-6143-94F4-1A058A4A87F6}">
      <text>
        <r>
          <rPr>
            <sz val="12"/>
            <color rgb="FF9C0006"/>
            <rFont val="Calibri"/>
            <family val="2"/>
            <scheme val="minor"/>
          </rPr>
          <t>Get from Omar's model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tc={5A272A20-C74C-A244-B3EB-3D538893C717}</author>
    <author>tc={8A737C83-8F53-454A-BC13-ECBBECD72714}</author>
    <author>tc={07F76527-8650-D64D-B53B-8B67ADE45B40}</author>
    <author>tc={E419A271-8C1D-0745-8553-AF12467E335F}</author>
  </authors>
  <commentList>
    <comment ref="A10" authorId="0" shapeId="0" xr:uid="{5A272A20-C74C-A244-B3EB-3D538893C717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rounded average</t>
      </text>
    </comment>
    <comment ref="O16" authorId="1" shapeId="0" xr:uid="{8A737C83-8F53-454A-BC13-ECBBECD7271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rate of the economy</t>
      </text>
    </comment>
    <comment ref="O17" authorId="2" shapeId="0" xr:uid="{07F76527-8650-D64D-B53B-8B67ADE45B4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WACC</t>
      </text>
    </comment>
    <comment ref="A22" authorId="3" shapeId="0" xr:uid="{E419A271-8C1D-0745-8553-AF12467E33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Debt + Long term debt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" authorId="0" shapeId="0" xr:uid="{73C73FCA-EAB3-A745-89CC-03F13AB21308}">
      <text>
        <r>
          <rPr>
            <sz val="10"/>
            <color rgb="FF000000"/>
            <rFont val="Tahoma"/>
            <family val="2"/>
          </rPr>
          <t xml:space="preserve">To find this just search up:
</t>
        </r>
        <r>
          <rPr>
            <sz val="10"/>
            <color rgb="FF000000"/>
            <rFont val="Tahoma"/>
            <family val="2"/>
          </rPr>
          <t>&lt;stock ticker&gt; fcf</t>
        </r>
      </text>
    </comment>
    <comment ref="F14" authorId="0" shapeId="0" xr:uid="{692AE1A5-7B0E-EE43-84E6-C7CF873311EC}">
      <text>
        <r>
          <rPr>
            <sz val="10"/>
            <color rgb="FF000000"/>
            <rFont val="Tahoma"/>
            <family val="2"/>
          </rPr>
          <t xml:space="preserve">Cash and Debt amounts found in balance sheet </t>
        </r>
      </text>
    </comment>
    <comment ref="F17" authorId="0" shapeId="0" xr:uid="{FD5314D8-D7D2-9245-9428-797A2D3484C9}">
      <text>
        <r>
          <rPr>
            <b/>
            <sz val="10"/>
            <color rgb="FF000000"/>
            <rFont val="Tahoma"/>
            <family val="2"/>
          </rPr>
          <t xml:space="preserve">Under statistics tab for yahoo finance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0" authorId="0" shapeId="0" xr:uid="{FEA51470-C587-634B-9831-47D4CB42FEFB}">
      <text>
        <r>
          <rPr>
            <sz val="10"/>
            <color rgb="FF000000"/>
            <rFont val="Tahoma"/>
            <family val="2"/>
          </rPr>
          <t xml:space="preserve">To find this just search up:
</t>
        </r>
        <r>
          <rPr>
            <sz val="10"/>
            <color rgb="FF000000"/>
            <rFont val="Tahoma"/>
            <family val="2"/>
          </rPr>
          <t>&lt;stock ticker&gt; fcf</t>
        </r>
      </text>
    </comment>
    <comment ref="F36" authorId="0" shapeId="0" xr:uid="{806E3571-4261-E348-8129-36F25FAA9F44}">
      <text>
        <r>
          <rPr>
            <sz val="12"/>
            <color rgb="FF9C0006"/>
            <rFont val="Calibri"/>
            <family val="2"/>
            <scheme val="minor"/>
          </rPr>
          <t xml:space="preserve">Cash and Debt amounts found in balance sheet </t>
        </r>
      </text>
    </comment>
    <comment ref="F39" authorId="0" shapeId="0" xr:uid="{E1650E4B-52FE-A046-9350-25D25367FBF9}">
      <text>
        <r>
          <rPr>
            <b/>
            <sz val="10"/>
            <color rgb="FF000000"/>
            <rFont val="Tahoma"/>
            <family val="2"/>
          </rPr>
          <t xml:space="preserve">Under statistics tab for yahoo finance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tc={5C2BA105-9342-4146-B217-410ED5E9A739}</author>
    <author>tc={94B47495-71BF-9B49-BA2D-610F34591C66}</author>
  </authors>
  <commentList>
    <comment ref="D9" authorId="0" shapeId="0" xr:uid="{5C2BA105-9342-4146-B217-410ED5E9A7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just the price of the stock for each year for the date you pick out </t>
      </text>
    </comment>
    <comment ref="D10" authorId="1" shapeId="0" xr:uid="{94B47495-71BF-9B49-BA2D-610F34591C6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enter annual eps from macrotrends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7" authorId="0" shapeId="0" xr:uid="{595E784A-8738-284E-9723-69C121836EA3}">
      <text>
        <r>
          <rPr>
            <sz val="10"/>
            <color rgb="FF000000"/>
            <rFont val="Tahoma"/>
            <family val="2"/>
          </rPr>
          <t xml:space="preserve">All Dividends can be found from finding the last 4 dividends and counting back by 4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10260E31-6547-4145-BB20-04DA6E1A2939}">
      <text>
        <r>
          <rPr>
            <b/>
            <sz val="10"/>
            <color rgb="FF000000"/>
            <rFont val="Tahoma"/>
            <family val="2"/>
          </rPr>
          <t xml:space="preserve">5 year growth rate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B869F7EE-69ED-3943-84FC-6C182EE40C0B}">
      <text>
        <r>
          <rPr>
            <sz val="10"/>
            <color rgb="FF000000"/>
            <rFont val="Tahoma"/>
            <family val="2"/>
          </rPr>
          <t>NEVER DELETE--22.5 ALWAYS</t>
        </r>
      </text>
    </comment>
    <comment ref="B6" authorId="0" shapeId="0" xr:uid="{9ADF371D-9DF2-2543-BF8D-C1F4553945EB}">
      <text>
        <r>
          <rPr>
            <i/>
            <sz val="12"/>
            <color rgb="FF7F7F7F"/>
            <rFont val="Calibri"/>
            <family val="2"/>
          </rPr>
          <t xml:space="preserve">Put in like normal
</t>
        </r>
        <r>
          <rPr>
            <i/>
            <sz val="12"/>
            <color rgb="FF7F7F7F"/>
            <rFont val="Calibri"/>
            <family val="2"/>
          </rPr>
          <t xml:space="preserve">if pe ratio is not under 15 doesnt work
</t>
        </r>
        <r>
          <rPr>
            <i/>
            <sz val="12"/>
            <color rgb="FF7F7F7F"/>
            <rFont val="Calibri"/>
            <family val="2"/>
          </rPr>
          <t xml:space="preserve">if pb ratio is not less than 1.5 then will not work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48F8A9E1-5FDD-7E47-87BB-4B3395537FE2}">
      <text>
        <r>
          <rPr>
            <b/>
            <sz val="10"/>
            <color rgb="FF000000"/>
            <rFont val="Tahoma"/>
            <family val="2"/>
          </rPr>
          <t>Regular PE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D1F579C7-A334-2C4A-9B9A-399E2210F947}">
      <text>
        <r>
          <rPr>
            <i/>
            <sz val="12"/>
            <color rgb="FF7F7F7F"/>
            <rFont val="Calibri"/>
            <family val="2"/>
          </rPr>
          <t xml:space="preserve">^TNX Price </t>
        </r>
      </text>
    </comment>
  </commentList>
</comments>
</file>

<file path=xl/sharedStrings.xml><?xml version="1.0" encoding="utf-8"?>
<sst xmlns="http://schemas.openxmlformats.org/spreadsheetml/2006/main" count="189" uniqueCount="124">
  <si>
    <t>Company</t>
  </si>
  <si>
    <t>WACC</t>
  </si>
  <si>
    <t xml:space="preserve">Terminal Value </t>
  </si>
  <si>
    <t>FCF</t>
  </si>
  <si>
    <t xml:space="preserve">Growth </t>
  </si>
  <si>
    <t>Sum of FCFs</t>
  </si>
  <si>
    <t>Debt</t>
  </si>
  <si>
    <t xml:space="preserve">Cash </t>
  </si>
  <si>
    <t xml:space="preserve">Equity Value </t>
  </si>
  <si>
    <t>S/O</t>
  </si>
  <si>
    <t xml:space="preserve">Price Per Share </t>
  </si>
  <si>
    <t xml:space="preserve">Current Price </t>
  </si>
  <si>
    <t xml:space="preserve">Discount </t>
  </si>
  <si>
    <t>DCF MODEL</t>
  </si>
  <si>
    <t xml:space="preserve">WACC MODEL </t>
  </si>
  <si>
    <t xml:space="preserve">Company Name </t>
  </si>
  <si>
    <t xml:space="preserve">Cost of Debt </t>
  </si>
  <si>
    <t xml:space="preserve">Cost of Debt Calculation </t>
  </si>
  <si>
    <t xml:space="preserve">Interest Expense </t>
  </si>
  <si>
    <t xml:space="preserve">ST Debt </t>
  </si>
  <si>
    <t xml:space="preserve">LT Debt </t>
  </si>
  <si>
    <t xml:space="preserve">Income Tax Expense </t>
  </si>
  <si>
    <t>Income Before Tax</t>
  </si>
  <si>
    <t xml:space="preserve">Effective Tax Rate </t>
  </si>
  <si>
    <t>Cost of Debt*(1-t)</t>
  </si>
  <si>
    <t xml:space="preserve">Cost of Equity Calculation </t>
  </si>
  <si>
    <t xml:space="preserve">Risk-free rate </t>
  </si>
  <si>
    <t>Beta</t>
  </si>
  <si>
    <t xml:space="preserve">Market Return </t>
  </si>
  <si>
    <t xml:space="preserve">Cost of Equity </t>
  </si>
  <si>
    <t xml:space="preserve">Weight of Debt and Equity Calculation </t>
  </si>
  <si>
    <t xml:space="preserve">Total Debt </t>
  </si>
  <si>
    <t xml:space="preserve">Market Cap </t>
  </si>
  <si>
    <t xml:space="preserve">Total  </t>
  </si>
  <si>
    <t xml:space="preserve">Weight of Debt </t>
  </si>
  <si>
    <t xml:space="preserve">Weight of Equity </t>
  </si>
  <si>
    <t xml:space="preserve">WACC Calculation </t>
  </si>
  <si>
    <t xml:space="preserve">WACC   </t>
  </si>
  <si>
    <t>TTM Dividends</t>
  </si>
  <si>
    <t xml:space="preserve">3 Yr Dividends </t>
  </si>
  <si>
    <t xml:space="preserve">5 Yr Dividends </t>
  </si>
  <si>
    <t xml:space="preserve">6 Yr Dividends </t>
  </si>
  <si>
    <t xml:space="preserve">yoy growth </t>
  </si>
  <si>
    <t>2 Yr Dividends</t>
  </si>
  <si>
    <t xml:space="preserve">4 Yr Dividends </t>
  </si>
  <si>
    <t xml:space="preserve">Avg Growth </t>
  </si>
  <si>
    <t xml:space="preserve">Numerator </t>
  </si>
  <si>
    <t xml:space="preserve">Denominator </t>
  </si>
  <si>
    <t>Intrinsic Value(Price per Share)</t>
  </si>
  <si>
    <t>BUY/SELL</t>
  </si>
  <si>
    <t xml:space="preserve">Upside </t>
  </si>
  <si>
    <t xml:space="preserve">Graham's Number </t>
  </si>
  <si>
    <t xml:space="preserve">Given </t>
  </si>
  <si>
    <t>EPS</t>
  </si>
  <si>
    <t>Book VPS</t>
  </si>
  <si>
    <t xml:space="preserve">Intrinsic Value </t>
  </si>
  <si>
    <t xml:space="preserve">BUY/SELL </t>
  </si>
  <si>
    <t>TTM P/E</t>
  </si>
  <si>
    <t xml:space="preserve">Earnings Yield </t>
  </si>
  <si>
    <t xml:space="preserve">10 Yr Treasury </t>
  </si>
  <si>
    <t>VALUE OF STOCK</t>
  </si>
  <si>
    <t>EPS TTM</t>
  </si>
  <si>
    <t xml:space="preserve">Growth Rate </t>
  </si>
  <si>
    <t xml:space="preserve">Discount Rate </t>
  </si>
  <si>
    <t>P/E Ratio</t>
  </si>
  <si>
    <t>Upside</t>
  </si>
  <si>
    <t>GRAHAM INTRINSIC VALUE FORMULA</t>
  </si>
  <si>
    <t>P/E</t>
  </si>
  <si>
    <t>g</t>
  </si>
  <si>
    <t>1g</t>
  </si>
  <si>
    <t>Corp. Bond</t>
  </si>
  <si>
    <t xml:space="preserve">AAA Bond Yield </t>
  </si>
  <si>
    <t xml:space="preserve">FINANCIALS: Income Statement </t>
  </si>
  <si>
    <t>Revenue</t>
  </si>
  <si>
    <t xml:space="preserve">% change </t>
  </si>
  <si>
    <t xml:space="preserve">Net Income </t>
  </si>
  <si>
    <t xml:space="preserve">NI Margins </t>
  </si>
  <si>
    <t xml:space="preserve">Balance Sheet </t>
  </si>
  <si>
    <t>Cash</t>
  </si>
  <si>
    <t xml:space="preserve">Debt </t>
  </si>
  <si>
    <t xml:space="preserve">Cash Flow Statement </t>
  </si>
  <si>
    <t>CFO</t>
  </si>
  <si>
    <t>Capex</t>
  </si>
  <si>
    <t>Cash Debt Ratio</t>
  </si>
  <si>
    <t>VALUE</t>
  </si>
  <si>
    <t xml:space="preserve">EPS Multiplier Model </t>
  </si>
  <si>
    <t>DISCOUNTED CASH FLOW (DCF)</t>
  </si>
  <si>
    <t>Historical Data (Past 10 Years)</t>
  </si>
  <si>
    <t>Year</t>
  </si>
  <si>
    <t xml:space="preserve">Free Cash Flow </t>
  </si>
  <si>
    <t xml:space="preserve">Average </t>
  </si>
  <si>
    <t xml:space="preserve">Rounded Down </t>
  </si>
  <si>
    <t>Projections (Next 10 Years)</t>
  </si>
  <si>
    <t xml:space="preserve">Year </t>
  </si>
  <si>
    <t>PV of FCF</t>
  </si>
  <si>
    <t>Sum of FCF</t>
  </si>
  <si>
    <t>(+) Cash</t>
  </si>
  <si>
    <t>(-) Debt</t>
  </si>
  <si>
    <t xml:space="preserve">Shares Outstanding </t>
  </si>
  <si>
    <t xml:space="preserve">Perpertual Growth Rate </t>
  </si>
  <si>
    <t>Price per share</t>
  </si>
  <si>
    <t>NTM EPS</t>
  </si>
  <si>
    <t>FWD P/E</t>
  </si>
  <si>
    <t>AVG FWD P/E</t>
  </si>
  <si>
    <t>VALUATION MODEL</t>
  </si>
  <si>
    <t>Intrinsic Value = (5 Year Average Forward P/E) * (Next 12 Month EPS)</t>
  </si>
  <si>
    <t xml:space="preserve">Standard Deviation means how far it is from the other returns </t>
  </si>
  <si>
    <t>Summary</t>
  </si>
  <si>
    <t xml:space="preserve">Valuation Method </t>
  </si>
  <si>
    <t xml:space="preserve">Price Target </t>
  </si>
  <si>
    <t>DCF</t>
  </si>
  <si>
    <t>GIV</t>
  </si>
  <si>
    <t xml:space="preserve">EPS Method </t>
  </si>
  <si>
    <t xml:space="preserve">50/25/25 Split </t>
  </si>
  <si>
    <t>MOS</t>
  </si>
  <si>
    <t xml:space="preserve">Buy Price </t>
  </si>
  <si>
    <t>Valuation using WACC</t>
  </si>
  <si>
    <t>Average</t>
  </si>
  <si>
    <t>Current Market Cap</t>
  </si>
  <si>
    <t>Average FCFs</t>
  </si>
  <si>
    <t>EA</t>
  </si>
  <si>
    <t>Discount Rate</t>
  </si>
  <si>
    <t>PV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</si>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</sst>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_);_(&quot;$&quot;* \(#,##0\);_(&quot;$&quot;* &quot;-&quot;??_);_(@_)"/>
    <numFmt numFmtId="167" formatCode="0.000%"/>
    <numFmt numFmtId="168" formatCode="0.0"/>
    <numFmt numFmtId="169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i/>
      <sz val="12"/>
      <color rgb="FF7F7F7F"/>
      <name val="Calibri"/>
      <family val="2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</font>
    <font>
      <b/>
      <sz val="12"/>
      <color rgb="FF3F3F3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8" borderId="0" applyNumberFormat="0" applyBorder="0" applyAlignment="0" applyProtection="0"/>
    <xf numFmtId="0" fontId="10" fillId="0" borderId="1" applyNumberFormat="0" applyFill="0" applyAlignment="0" applyProtection="0"/>
    <xf numFmtId="0" fontId="11" fillId="9" borderId="0" applyNumberFormat="0" applyBorder="0" applyAlignment="0" applyProtection="0"/>
    <xf numFmtId="0" fontId="12" fillId="0" borderId="14" applyNumberFormat="0" applyFill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20" applyNumberFormat="0" applyFill="0" applyAlignment="0" applyProtection="0"/>
    <xf numFmtId="0" fontId="5" fillId="16" borderId="0" applyNumberFormat="0" applyBorder="0" applyAlignment="0" applyProtection="0"/>
    <xf numFmtId="43" fontId="1" fillId="0" borderId="0" applyFont="0" applyFill="0" applyBorder="0" applyAlignment="0" applyProtection="0"/>
    <xf numFmtId="0" fontId="5" fillId="17" borderId="0" applyNumberFormat="0" applyBorder="0" applyAlignment="0" applyProtection="0"/>
  </cellStyleXfs>
  <cellXfs count="187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9" fontId="0" fillId="0" borderId="2" xfId="2" applyFont="1" applyBorder="1"/>
    <xf numFmtId="0" fontId="0" fillId="0" borderId="2" xfId="0" applyBorder="1"/>
    <xf numFmtId="0" fontId="0" fillId="0" borderId="3" xfId="0" applyBorder="1"/>
    <xf numFmtId="0" fontId="1" fillId="2" borderId="3" xfId="4" applyBorder="1"/>
    <xf numFmtId="0" fontId="1" fillId="2" borderId="0" xfId="4" applyAlignment="1">
      <alignment horizontal="center"/>
    </xf>
    <xf numFmtId="0" fontId="2" fillId="0" borderId="1" xfId="3" applyBorder="1"/>
    <xf numFmtId="0" fontId="2" fillId="0" borderId="0" xfId="3"/>
    <xf numFmtId="0" fontId="0" fillId="0" borderId="4" xfId="0" applyBorder="1"/>
    <xf numFmtId="0" fontId="5" fillId="3" borderId="2" xfId="5" applyBorder="1"/>
    <xf numFmtId="0" fontId="3" fillId="3" borderId="0" xfId="5" applyFont="1" applyAlignment="1">
      <alignment horizontal="center"/>
    </xf>
    <xf numFmtId="10" fontId="3" fillId="5" borderId="2" xfId="2" applyNumberFormat="1" applyFont="1" applyFill="1" applyBorder="1"/>
    <xf numFmtId="166" fontId="5" fillId="3" borderId="2" xfId="1" applyNumberFormat="1" applyFont="1" applyFill="1" applyBorder="1"/>
    <xf numFmtId="0" fontId="4" fillId="0" borderId="0" xfId="0" applyFont="1"/>
    <xf numFmtId="10" fontId="5" fillId="5" borderId="2" xfId="2" applyNumberFormat="1" applyFont="1" applyFill="1" applyBorder="1"/>
    <xf numFmtId="167" fontId="3" fillId="5" borderId="2" xfId="7" applyNumberFormat="1" applyFont="1" applyBorder="1"/>
    <xf numFmtId="10" fontId="5" fillId="5" borderId="2" xfId="7" applyNumberFormat="1" applyBorder="1"/>
    <xf numFmtId="0" fontId="4" fillId="0" borderId="4" xfId="0" applyFont="1" applyBorder="1"/>
    <xf numFmtId="166" fontId="5" fillId="5" borderId="2" xfId="7" applyNumberFormat="1" applyBorder="1"/>
    <xf numFmtId="9" fontId="5" fillId="5" borderId="2" xfId="2" applyFont="1" applyFill="1" applyBorder="1"/>
    <xf numFmtId="10" fontId="3" fillId="5" borderId="5" xfId="7" applyNumberFormat="1" applyFont="1" applyBorder="1"/>
    <xf numFmtId="44" fontId="1" fillId="6" borderId="2" xfId="8" applyNumberFormat="1" applyBorder="1"/>
    <xf numFmtId="164" fontId="1" fillId="6" borderId="2" xfId="8" applyNumberFormat="1" applyBorder="1"/>
    <xf numFmtId="10" fontId="1" fillId="6" borderId="2" xfId="8" applyNumberFormat="1" applyBorder="1"/>
    <xf numFmtId="44" fontId="1" fillId="6" borderId="0" xfId="8" applyNumberFormat="1"/>
    <xf numFmtId="165" fontId="1" fillId="4" borderId="0" xfId="6" applyNumberFormat="1"/>
    <xf numFmtId="44" fontId="1" fillId="6" borderId="3" xfId="8" applyNumberFormat="1" applyBorder="1"/>
    <xf numFmtId="44" fontId="1" fillId="4" borderId="0" xfId="6" applyNumberFormat="1"/>
    <xf numFmtId="9" fontId="1" fillId="6" borderId="0" xfId="8" applyNumberFormat="1"/>
    <xf numFmtId="0" fontId="4" fillId="7" borderId="2" xfId="0" applyFont="1" applyFill="1" applyBorder="1"/>
    <xf numFmtId="0" fontId="5" fillId="5" borderId="2" xfId="7" applyBorder="1"/>
    <xf numFmtId="44" fontId="0" fillId="7" borderId="2" xfId="1" applyFont="1" applyFill="1" applyBorder="1"/>
    <xf numFmtId="44" fontId="0" fillId="0" borderId="0" xfId="1" applyFont="1"/>
    <xf numFmtId="10" fontId="3" fillId="5" borderId="2" xfId="7" applyNumberFormat="1" applyFont="1" applyBorder="1"/>
    <xf numFmtId="44" fontId="3" fillId="5" borderId="2" xfId="1" applyFont="1" applyFill="1" applyBorder="1"/>
    <xf numFmtId="44" fontId="4" fillId="0" borderId="0" xfId="1" applyFont="1"/>
    <xf numFmtId="44" fontId="5" fillId="5" borderId="2" xfId="7" applyNumberFormat="1" applyBorder="1"/>
    <xf numFmtId="0" fontId="0" fillId="0" borderId="2" xfId="0" applyBorder="1" applyAlignment="1">
      <alignment horizontal="center"/>
    </xf>
    <xf numFmtId="0" fontId="9" fillId="0" borderId="2" xfId="0" applyFont="1" applyBorder="1"/>
    <xf numFmtId="166" fontId="0" fillId="7" borderId="2" xfId="1" applyNumberFormat="1" applyFont="1" applyFill="1" applyBorder="1"/>
    <xf numFmtId="166" fontId="4" fillId="0" borderId="2" xfId="1" applyNumberFormat="1" applyFont="1" applyBorder="1"/>
    <xf numFmtId="166" fontId="0" fillId="0" borderId="0" xfId="1" applyNumberFormat="1" applyFont="1"/>
    <xf numFmtId="10" fontId="8" fillId="8" borderId="2" xfId="9" applyNumberFormat="1" applyBorder="1"/>
    <xf numFmtId="168" fontId="11" fillId="9" borderId="0" xfId="11" applyNumberFormat="1" applyAlignment="1">
      <alignment horizontal="center"/>
    </xf>
    <xf numFmtId="168" fontId="11" fillId="9" borderId="0" xfId="11" applyNumberFormat="1"/>
    <xf numFmtId="166" fontId="12" fillId="4" borderId="14" xfId="12" applyNumberFormat="1" applyFill="1"/>
    <xf numFmtId="44" fontId="12" fillId="4" borderId="14" xfId="12" applyNumberFormat="1" applyFill="1"/>
    <xf numFmtId="165" fontId="12" fillId="4" borderId="14" xfId="12" applyNumberFormat="1" applyFill="1"/>
    <xf numFmtId="6" fontId="0" fillId="7" borderId="2" xfId="1" applyNumberFormat="1" applyFont="1" applyFill="1" applyBorder="1"/>
    <xf numFmtId="0" fontId="0" fillId="14" borderId="0" xfId="0" applyFill="1"/>
    <xf numFmtId="0" fontId="0" fillId="14" borderId="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4" fillId="14" borderId="0" xfId="0" applyFont="1" applyFill="1" applyAlignment="1">
      <alignment horizontal="center"/>
    </xf>
    <xf numFmtId="44" fontId="5" fillId="14" borderId="0" xfId="7" applyNumberFormat="1" applyFill="1" applyBorder="1"/>
    <xf numFmtId="44" fontId="3" fillId="14" borderId="0" xfId="7" applyNumberFormat="1" applyFont="1" applyFill="1" applyBorder="1"/>
    <xf numFmtId="0" fontId="3" fillId="14" borderId="0" xfId="7" applyFont="1" applyFill="1" applyBorder="1"/>
    <xf numFmtId="9" fontId="3" fillId="14" borderId="0" xfId="2" applyFont="1" applyFill="1" applyBorder="1"/>
    <xf numFmtId="44" fontId="0" fillId="14" borderId="0" xfId="0" applyNumberFormat="1" applyFill="1"/>
    <xf numFmtId="44" fontId="8" fillId="8" borderId="0" xfId="9" applyNumberFormat="1" applyBorder="1"/>
    <xf numFmtId="0" fontId="1" fillId="13" borderId="0" xfId="16" applyBorder="1" applyAlignment="1">
      <alignment horizontal="center"/>
    </xf>
    <xf numFmtId="0" fontId="11" fillId="9" borderId="0" xfId="11" applyBorder="1"/>
    <xf numFmtId="0" fontId="11" fillId="9" borderId="0" xfId="11" applyBorder="1" applyAlignment="1">
      <alignment horizontal="center"/>
    </xf>
    <xf numFmtId="10" fontId="8" fillId="8" borderId="0" xfId="9" applyNumberFormat="1" applyBorder="1"/>
    <xf numFmtId="0" fontId="8" fillId="8" borderId="0" xfId="9" applyBorder="1"/>
    <xf numFmtId="0" fontId="1" fillId="12" borderId="0" xfId="15" applyBorder="1"/>
    <xf numFmtId="44" fontId="1" fillId="11" borderId="0" xfId="14" applyNumberFormat="1" applyBorder="1"/>
    <xf numFmtId="0" fontId="1" fillId="11" borderId="9" xfId="14" applyBorder="1"/>
    <xf numFmtId="0" fontId="1" fillId="13" borderId="10" xfId="16" applyBorder="1" applyAlignment="1">
      <alignment horizontal="center"/>
    </xf>
    <xf numFmtId="44" fontId="8" fillId="8" borderId="10" xfId="9" applyNumberFormat="1" applyBorder="1"/>
    <xf numFmtId="0" fontId="1" fillId="12" borderId="12" xfId="15" applyBorder="1"/>
    <xf numFmtId="44" fontId="11" fillId="9" borderId="12" xfId="11" applyNumberFormat="1" applyBorder="1"/>
    <xf numFmtId="44" fontId="11" fillId="9" borderId="0" xfId="11" applyNumberFormat="1" applyBorder="1"/>
    <xf numFmtId="10" fontId="11" fillId="9" borderId="0" xfId="11" applyNumberFormat="1" applyBorder="1"/>
    <xf numFmtId="0" fontId="2" fillId="14" borderId="6" xfId="3" applyFill="1" applyBorder="1"/>
    <xf numFmtId="0" fontId="11" fillId="9" borderId="9" xfId="11" applyBorder="1"/>
    <xf numFmtId="0" fontId="11" fillId="9" borderId="10" xfId="11" applyBorder="1" applyAlignment="1">
      <alignment horizontal="center"/>
    </xf>
    <xf numFmtId="0" fontId="1" fillId="13" borderId="9" xfId="16" applyBorder="1"/>
    <xf numFmtId="44" fontId="11" fillId="9" borderId="10" xfId="11" applyNumberFormat="1" applyBorder="1"/>
    <xf numFmtId="167" fontId="8" fillId="8" borderId="10" xfId="9" applyNumberFormat="1" applyBorder="1"/>
    <xf numFmtId="167" fontId="11" fillId="9" borderId="10" xfId="11" applyNumberFormat="1" applyBorder="1"/>
    <xf numFmtId="44" fontId="8" fillId="8" borderId="0" xfId="1" applyFont="1" applyFill="1" applyBorder="1"/>
    <xf numFmtId="0" fontId="1" fillId="11" borderId="11" xfId="14" applyBorder="1"/>
    <xf numFmtId="0" fontId="10" fillId="14" borderId="6" xfId="10" applyFill="1" applyBorder="1"/>
    <xf numFmtId="0" fontId="10" fillId="14" borderId="7" xfId="10" applyFill="1" applyBorder="1"/>
    <xf numFmtId="0" fontId="8" fillId="8" borderId="12" xfId="9" applyBorder="1"/>
    <xf numFmtId="9" fontId="8" fillId="8" borderId="13" xfId="9" applyNumberFormat="1" applyBorder="1"/>
    <xf numFmtId="0" fontId="5" fillId="10" borderId="12" xfId="13" applyBorder="1" applyAlignment="1">
      <alignment horizontal="center"/>
    </xf>
    <xf numFmtId="9" fontId="8" fillId="8" borderId="12" xfId="9" applyNumberFormat="1" applyBorder="1"/>
    <xf numFmtId="0" fontId="5" fillId="10" borderId="15" xfId="13" applyBorder="1"/>
    <xf numFmtId="0" fontId="8" fillId="8" borderId="16" xfId="9" applyBorder="1"/>
    <xf numFmtId="0" fontId="5" fillId="10" borderId="13" xfId="13" applyBorder="1" applyAlignment="1">
      <alignment horizontal="center"/>
    </xf>
    <xf numFmtId="44" fontId="5" fillId="3" borderId="14" xfId="12" applyNumberFormat="1" applyFont="1" applyFill="1"/>
    <xf numFmtId="0" fontId="5" fillId="15" borderId="0" xfId="7" applyFill="1" applyBorder="1" applyAlignment="1">
      <alignment horizontal="center"/>
    </xf>
    <xf numFmtId="0" fontId="5" fillId="15" borderId="12" xfId="7" applyFill="1" applyBorder="1" applyAlignment="1">
      <alignment horizontal="center"/>
    </xf>
    <xf numFmtId="9" fontId="5" fillId="15" borderId="12" xfId="7" applyNumberFormat="1" applyFill="1" applyBorder="1"/>
    <xf numFmtId="0" fontId="4" fillId="14" borderId="0" xfId="0" applyFont="1" applyFill="1"/>
    <xf numFmtId="0" fontId="0" fillId="14" borderId="0" xfId="0" applyFill="1" applyAlignment="1">
      <alignment horizontal="center"/>
    </xf>
    <xf numFmtId="0" fontId="4" fillId="4" borderId="2" xfId="6" applyFont="1" applyBorder="1" applyAlignment="1">
      <alignment horizontal="center"/>
    </xf>
    <xf numFmtId="166" fontId="0" fillId="14" borderId="0" xfId="1" applyNumberFormat="1" applyFont="1" applyFill="1"/>
    <xf numFmtId="166" fontId="0" fillId="14" borderId="4" xfId="0" applyNumberFormat="1" applyFill="1" applyBorder="1"/>
    <xf numFmtId="169" fontId="5" fillId="3" borderId="2" xfId="2" applyNumberFormat="1" applyFont="1" applyFill="1" applyBorder="1"/>
    <xf numFmtId="44" fontId="4" fillId="14" borderId="4" xfId="0" applyNumberFormat="1" applyFont="1" applyFill="1" applyBorder="1"/>
    <xf numFmtId="0" fontId="10" fillId="14" borderId="17" xfId="10" applyFill="1" applyBorder="1"/>
    <xf numFmtId="0" fontId="10" fillId="14" borderId="18" xfId="10" applyFill="1" applyBorder="1"/>
    <xf numFmtId="0" fontId="4" fillId="14" borderId="9" xfId="0" applyFont="1" applyFill="1" applyBorder="1"/>
    <xf numFmtId="0" fontId="5" fillId="14" borderId="0" xfId="13" applyFill="1" applyBorder="1"/>
    <xf numFmtId="0" fontId="3" fillId="10" borderId="9" xfId="13" applyFont="1" applyBorder="1"/>
    <xf numFmtId="0" fontId="3" fillId="10" borderId="0" xfId="13" applyFont="1" applyBorder="1" applyAlignment="1">
      <alignment horizontal="center"/>
    </xf>
    <xf numFmtId="0" fontId="4" fillId="14" borderId="10" xfId="0" applyFont="1" applyFill="1" applyBorder="1"/>
    <xf numFmtId="166" fontId="0" fillId="14" borderId="9" xfId="1" applyNumberFormat="1" applyFont="1" applyFill="1" applyBorder="1"/>
    <xf numFmtId="166" fontId="0" fillId="14" borderId="0" xfId="1" applyNumberFormat="1" applyFont="1" applyFill="1" applyBorder="1"/>
    <xf numFmtId="166" fontId="0" fillId="14" borderId="10" xfId="1" applyNumberFormat="1" applyFont="1" applyFill="1" applyBorder="1"/>
    <xf numFmtId="166" fontId="4" fillId="14" borderId="0" xfId="0" applyNumberFormat="1" applyFont="1" applyFill="1"/>
    <xf numFmtId="166" fontId="4" fillId="14" borderId="0" xfId="1" applyNumberFormat="1" applyFont="1" applyFill="1" applyBorder="1"/>
    <xf numFmtId="0" fontId="3" fillId="10" borderId="9" xfId="13" applyFont="1" applyBorder="1" applyAlignment="1">
      <alignment horizontal="center"/>
    </xf>
    <xf numFmtId="0" fontId="5" fillId="14" borderId="0" xfId="13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3" fillId="10" borderId="0" xfId="13" applyFont="1" applyBorder="1"/>
    <xf numFmtId="0" fontId="0" fillId="14" borderId="19" xfId="0" applyFill="1" applyBorder="1"/>
    <xf numFmtId="164" fontId="5" fillId="10" borderId="10" xfId="2" applyNumberFormat="1" applyFont="1" applyFill="1" applyBorder="1"/>
    <xf numFmtId="10" fontId="5" fillId="10" borderId="10" xfId="13" applyNumberFormat="1" applyBorder="1"/>
    <xf numFmtId="0" fontId="3" fillId="10" borderId="11" xfId="13" applyFont="1" applyBorder="1"/>
    <xf numFmtId="0" fontId="0" fillId="14" borderId="6" xfId="0" applyFill="1" applyBorder="1"/>
    <xf numFmtId="44" fontId="0" fillId="14" borderId="8" xfId="0" applyNumberFormat="1" applyFill="1" applyBorder="1"/>
    <xf numFmtId="166" fontId="0" fillId="14" borderId="21" xfId="1" applyNumberFormat="1" applyFont="1" applyFill="1" applyBorder="1"/>
    <xf numFmtId="44" fontId="0" fillId="14" borderId="10" xfId="0" applyNumberFormat="1" applyFill="1" applyBorder="1"/>
    <xf numFmtId="44" fontId="3" fillId="10" borderId="10" xfId="13" applyNumberFormat="1" applyFont="1" applyBorder="1"/>
    <xf numFmtId="44" fontId="0" fillId="14" borderId="10" xfId="1" applyFont="1" applyFill="1" applyBorder="1"/>
    <xf numFmtId="9" fontId="0" fillId="14" borderId="10" xfId="2" applyFont="1" applyFill="1" applyBorder="1"/>
    <xf numFmtId="10" fontId="0" fillId="14" borderId="10" xfId="0" applyNumberFormat="1" applyFill="1" applyBorder="1"/>
    <xf numFmtId="0" fontId="3" fillId="10" borderId="13" xfId="13" applyFont="1" applyBorder="1"/>
    <xf numFmtId="0" fontId="0" fillId="7" borderId="5" xfId="0" applyFill="1" applyBorder="1"/>
    <xf numFmtId="44" fontId="5" fillId="16" borderId="2" xfId="18" applyNumberFormat="1" applyBorder="1"/>
    <xf numFmtId="0" fontId="5" fillId="10" borderId="0" xfId="13" applyBorder="1"/>
    <xf numFmtId="0" fontId="5" fillId="16" borderId="0" xfId="18" applyBorder="1" applyAlignment="1">
      <alignment horizontal="center"/>
    </xf>
    <xf numFmtId="44" fontId="5" fillId="5" borderId="24" xfId="7" applyNumberFormat="1" applyBorder="1"/>
    <xf numFmtId="0" fontId="5" fillId="17" borderId="9" xfId="20" applyBorder="1"/>
    <xf numFmtId="0" fontId="5" fillId="17" borderId="10" xfId="20" applyBorder="1"/>
    <xf numFmtId="0" fontId="5" fillId="10" borderId="9" xfId="13" applyBorder="1"/>
    <xf numFmtId="0" fontId="5" fillId="10" borderId="11" xfId="13" applyBorder="1"/>
    <xf numFmtId="165" fontId="0" fillId="14" borderId="10" xfId="19" applyNumberFormat="1" applyFont="1" applyFill="1" applyBorder="1"/>
    <xf numFmtId="168" fontId="8" fillId="8" borderId="0" xfId="9" applyNumberFormat="1" applyBorder="1"/>
    <xf numFmtId="9" fontId="3" fillId="10" borderId="10" xfId="2" applyFont="1" applyFill="1" applyBorder="1"/>
    <xf numFmtId="10" fontId="3" fillId="10" borderId="10" xfId="13" applyNumberFormat="1" applyFont="1" applyBorder="1"/>
    <xf numFmtId="0" fontId="3" fillId="10" borderId="10" xfId="13" applyFont="1" applyBorder="1"/>
    <xf numFmtId="0" fontId="5" fillId="16" borderId="9" xfId="18" applyBorder="1"/>
    <xf numFmtId="0" fontId="5" fillId="16" borderId="10" xfId="18" applyBorder="1" applyAlignment="1">
      <alignment horizontal="center"/>
    </xf>
    <xf numFmtId="44" fontId="5" fillId="16" borderId="10" xfId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6" fontId="0" fillId="0" borderId="10" xfId="1" applyNumberFormat="1" applyFont="1" applyBorder="1"/>
    <xf numFmtId="166" fontId="0" fillId="15" borderId="8" xfId="0" applyNumberFormat="1" applyFill="1" applyBorder="1"/>
    <xf numFmtId="44" fontId="0" fillId="15" borderId="10" xfId="0" applyNumberFormat="1" applyFill="1" applyBorder="1"/>
    <xf numFmtId="10" fontId="0" fillId="15" borderId="10" xfId="2" applyNumberFormat="1" applyFont="1" applyFill="1" applyBorder="1"/>
    <xf numFmtId="10" fontId="0" fillId="15" borderId="10" xfId="0" applyNumberFormat="1" applyFill="1" applyBorder="1"/>
    <xf numFmtId="0" fontId="0" fillId="15" borderId="13" xfId="0" applyFill="1" applyBorder="1" applyAlignment="1">
      <alignment horizontal="right"/>
    </xf>
    <xf numFmtId="0" fontId="4" fillId="0" borderId="6" xfId="0" applyFont="1" applyBorder="1"/>
    <xf numFmtId="0" fontId="4" fillId="0" borderId="9" xfId="0" applyFont="1" applyBorder="1"/>
    <xf numFmtId="0" fontId="4" fillId="0" borderId="11" xfId="0" applyFont="1" applyBorder="1"/>
    <xf numFmtId="0" fontId="4" fillId="15" borderId="5" xfId="0" applyFont="1" applyFill="1" applyBorder="1"/>
    <xf numFmtId="166" fontId="4" fillId="15" borderId="16" xfId="1" applyNumberFormat="1" applyFont="1" applyFill="1" applyBorder="1"/>
    <xf numFmtId="0" fontId="5" fillId="3" borderId="0" xfId="5"/>
    <xf numFmtId="44" fontId="5" fillId="5" borderId="28" xfId="7" applyNumberFormat="1" applyBorder="1"/>
    <xf numFmtId="9" fontId="5" fillId="16" borderId="10" xfId="2" applyFont="1" applyFill="1" applyBorder="1"/>
    <xf numFmtId="10" fontId="0" fillId="0" borderId="0" xfId="2" applyNumberFormat="1" applyFont="1"/>
    <xf numFmtId="0" fontId="4" fillId="15" borderId="15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10" fillId="0" borderId="1" xfId="10" applyAlignment="1">
      <alignment horizontal="center"/>
    </xf>
    <xf numFmtId="0" fontId="3" fillId="10" borderId="9" xfId="13" applyFont="1" applyBorder="1" applyAlignment="1">
      <alignment horizontal="center"/>
    </xf>
    <xf numFmtId="0" fontId="5" fillId="10" borderId="0" xfId="13" applyBorder="1" applyAlignment="1">
      <alignment horizontal="center"/>
    </xf>
    <xf numFmtId="0" fontId="3" fillId="10" borderId="0" xfId="13" applyFont="1" applyBorder="1" applyAlignment="1">
      <alignment horizontal="center"/>
    </xf>
    <xf numFmtId="0" fontId="10" fillId="14" borderId="6" xfId="10" applyFill="1" applyBorder="1" applyAlignment="1">
      <alignment horizontal="center"/>
    </xf>
    <xf numFmtId="0" fontId="10" fillId="14" borderId="7" xfId="10" applyFill="1" applyBorder="1" applyAlignment="1">
      <alignment horizontal="center"/>
    </xf>
    <xf numFmtId="0" fontId="10" fillId="14" borderId="8" xfId="10" applyFill="1" applyBorder="1" applyAlignment="1">
      <alignment horizontal="center"/>
    </xf>
    <xf numFmtId="0" fontId="4" fillId="14" borderId="22" xfId="17" applyFill="1" applyBorder="1" applyAlignment="1">
      <alignment horizontal="center"/>
    </xf>
    <xf numFmtId="0" fontId="4" fillId="14" borderId="20" xfId="17" applyFill="1" applyAlignment="1">
      <alignment horizontal="center"/>
    </xf>
    <xf numFmtId="0" fontId="4" fillId="14" borderId="23" xfId="17" applyFill="1" applyBorder="1" applyAlignment="1">
      <alignment horizontal="center"/>
    </xf>
    <xf numFmtId="0" fontId="5" fillId="17" borderId="6" xfId="20" applyBorder="1" applyAlignment="1">
      <alignment horizontal="center"/>
    </xf>
    <xf numFmtId="0" fontId="5" fillId="17" borderId="8" xfId="20" applyBorder="1" applyAlignment="1">
      <alignment horizontal="center"/>
    </xf>
  </cellXfs>
  <cellStyles count="21">
    <cellStyle name="20% - Accent1" xfId="14" builtinId="30"/>
    <cellStyle name="20% - Accent2" xfId="15" builtinId="34"/>
    <cellStyle name="20% - Accent4" xfId="6" builtinId="42"/>
    <cellStyle name="20% - Accent5" xfId="16" builtinId="46"/>
    <cellStyle name="20% - Accent6" xfId="8" builtinId="50"/>
    <cellStyle name="60% - Accent1" xfId="4" builtinId="32"/>
    <cellStyle name="Accent1" xfId="13" builtinId="29"/>
    <cellStyle name="Accent2" xfId="20" builtinId="33"/>
    <cellStyle name="Accent4" xfId="5" builtinId="41"/>
    <cellStyle name="Accent5" xfId="18" builtinId="45"/>
    <cellStyle name="Accent6" xfId="7" builtinId="49"/>
    <cellStyle name="Comma" xfId="19" builtinId="3"/>
    <cellStyle name="Currency" xfId="1" builtinId="4"/>
    <cellStyle name="Good" xfId="9" builtinId="26"/>
    <cellStyle name="Heading 1" xfId="10" builtinId="16"/>
    <cellStyle name="Linked Cell" xfId="12" builtinId="24"/>
    <cellStyle name="Neutral" xfId="11" builtinId="28"/>
    <cellStyle name="Normal" xfId="0" builtinId="0"/>
    <cellStyle name="Percent" xfId="2" builtinId="5"/>
    <cellStyle name="Title" xfId="3" builtinId="15"/>
    <cellStyle name="Total" xfId="1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C0FF4-6227-1747-AB49-EC30FA2B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8600" cy="3632200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18</xdr:row>
      <xdr:rowOff>63500</xdr:rowOff>
    </xdr:from>
    <xdr:to>
      <xdr:col>6</xdr:col>
      <xdr:colOff>469900</xdr:colOff>
      <xdr:row>37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F381D7-97B5-104B-95FA-44AA6F4AE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3721100"/>
          <a:ext cx="5245100" cy="3886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15</xdr:col>
      <xdr:colOff>774700</xdr:colOff>
      <xdr:row>49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B81981-EF6A-E741-8684-B780AB9C5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8500" y="5283200"/>
          <a:ext cx="7378700" cy="4686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D0B3D2DE-2DD8-104D-BABB-6EC2B752A0DE}" userId="Microsoft Office U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0-06-23T02:56:45.49" personId="{D0B3D2DE-2DD8-104D-BABB-6EC2B752A0DE}" id="{5A272A20-C74C-A244-B3EB-3D538893C717}">
    <text>Just rounded average</text>
  </threadedComment>
  <threadedComment ref="O16" dT="2020-06-23T02:59:15.42" personId="{D0B3D2DE-2DD8-104D-BABB-6EC2B752A0DE}" id="{8A737C83-8F53-454A-BC13-ECBBECD72714}">
    <text>Growth rate of the economy</text>
  </threadedComment>
  <threadedComment ref="O17" dT="2020-06-23T03:00:45.01" personId="{D0B3D2DE-2DD8-104D-BABB-6EC2B752A0DE}" id="{07F76527-8650-D64D-B53B-8B67ADE45B40}">
    <text>This is WACC</text>
  </threadedComment>
  <threadedComment ref="A22" dT="2020-06-23T03:15:22.04" personId="{D0B3D2DE-2DD8-104D-BABB-6EC2B752A0DE}" id="{E419A271-8C1D-0745-8553-AF12467E335F}">
    <text xml:space="preserve">Current Debt + Long term debt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9" dT="2020-06-26T14:13:07.69" personId="{D0B3D2DE-2DD8-104D-BABB-6EC2B752A0DE}" id="{5C2BA105-9342-4146-B217-410ED5E9A739}">
    <text xml:space="preserve">This is just the price of the stock for each year for the date you pick out </text>
  </threadedComment>
  <threadedComment ref="D10" dT="2020-06-26T14:14:41.90" personId="{D0B3D2DE-2DD8-104D-BABB-6EC2B752A0DE}" id="{94B47495-71BF-9B49-BA2D-610F34591C66}">
    <text>just enter annual eps from macrotrends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777A-4F6D-BA45-97AD-30FE08DDE309}">
  <dimension ref="A1:E24"/>
  <sheetViews>
    <sheetView workbookViewId="0">
      <selection activeCell="C13" sqref="C13:E14"/>
    </sheetView>
  </sheetViews>
  <sheetFormatPr baseColWidth="10" defaultRowHeight="16" x14ac:dyDescent="0.2"/>
  <cols>
    <col min="1" max="1" width="27.83203125" bestFit="1" customWidth="1"/>
    <col min="2" max="5" width="12.5" bestFit="1" customWidth="1"/>
  </cols>
  <sheetData>
    <row r="1" spans="1:5" ht="24" x14ac:dyDescent="0.3">
      <c r="A1" s="9" t="s">
        <v>72</v>
      </c>
    </row>
    <row r="3" spans="1:5" x14ac:dyDescent="0.2">
      <c r="A3" s="39"/>
      <c r="B3" s="1">
        <v>2016</v>
      </c>
      <c r="C3" s="1">
        <v>2017</v>
      </c>
      <c r="D3" s="1">
        <v>2018</v>
      </c>
      <c r="E3" s="1">
        <v>2019</v>
      </c>
    </row>
    <row r="4" spans="1:5" x14ac:dyDescent="0.2">
      <c r="A4" s="2" t="s">
        <v>73</v>
      </c>
      <c r="B4" s="41"/>
      <c r="C4" s="41"/>
      <c r="D4" s="41"/>
      <c r="E4" s="41"/>
    </row>
    <row r="5" spans="1:5" x14ac:dyDescent="0.2">
      <c r="A5" s="4" t="s">
        <v>74</v>
      </c>
      <c r="B5" s="3"/>
      <c r="C5" s="3" t="e">
        <f>(C4-B4)/B4</f>
        <v>#DIV/0!</v>
      </c>
      <c r="D5" s="3" t="e">
        <f>(D4-C4)/C4</f>
        <v>#DIV/0!</v>
      </c>
      <c r="E5" s="3" t="e">
        <f>(E4-D4)/D4</f>
        <v>#DIV/0!</v>
      </c>
    </row>
    <row r="6" spans="1:5" x14ac:dyDescent="0.2">
      <c r="A6" s="2" t="s">
        <v>75</v>
      </c>
      <c r="B6" s="33"/>
      <c r="C6" s="33"/>
      <c r="D6" s="33"/>
      <c r="E6" s="33"/>
    </row>
    <row r="7" spans="1:5" x14ac:dyDescent="0.2">
      <c r="A7" s="40" t="s">
        <v>76</v>
      </c>
      <c r="B7" s="3" t="e">
        <f>B6/B4</f>
        <v>#DIV/0!</v>
      </c>
      <c r="C7" s="3" t="e">
        <f>C6/C4</f>
        <v>#DIV/0!</v>
      </c>
      <c r="D7" s="3" t="e">
        <f>D6/D4</f>
        <v>#DIV/0!</v>
      </c>
      <c r="E7" s="3" t="e">
        <f>E6/E4</f>
        <v>#DIV/0!</v>
      </c>
    </row>
    <row r="9" spans="1:5" ht="24" x14ac:dyDescent="0.3">
      <c r="A9" s="9" t="s">
        <v>77</v>
      </c>
    </row>
    <row r="12" spans="1:5" x14ac:dyDescent="0.2">
      <c r="A12" s="4"/>
      <c r="B12" s="2">
        <v>2016</v>
      </c>
      <c r="C12" s="2">
        <v>2017</v>
      </c>
      <c r="D12" s="2">
        <v>2018</v>
      </c>
      <c r="E12" s="2">
        <v>2019</v>
      </c>
    </row>
    <row r="13" spans="1:5" x14ac:dyDescent="0.2">
      <c r="A13" s="2" t="s">
        <v>78</v>
      </c>
      <c r="B13" s="33"/>
      <c r="C13" s="33"/>
      <c r="D13" s="33"/>
      <c r="E13" s="50"/>
    </row>
    <row r="14" spans="1:5" x14ac:dyDescent="0.2">
      <c r="A14" s="2" t="s">
        <v>79</v>
      </c>
      <c r="B14" s="33"/>
      <c r="C14" s="33"/>
      <c r="D14" s="33"/>
      <c r="E14" s="33"/>
    </row>
    <row r="15" spans="1:5" x14ac:dyDescent="0.2">
      <c r="A15" s="2" t="s">
        <v>83</v>
      </c>
      <c r="B15" s="3" t="e">
        <f>B13/B14</f>
        <v>#DIV/0!</v>
      </c>
      <c r="C15" s="3" t="e">
        <f t="shared" ref="C15:E15" si="0">C13/C14</f>
        <v>#DIV/0!</v>
      </c>
      <c r="D15" s="3" t="e">
        <f t="shared" si="0"/>
        <v>#DIV/0!</v>
      </c>
      <c r="E15" s="3" t="e">
        <f t="shared" si="0"/>
        <v>#DIV/0!</v>
      </c>
    </row>
    <row r="17" spans="1:5" ht="24" x14ac:dyDescent="0.3">
      <c r="A17" s="9" t="s">
        <v>80</v>
      </c>
    </row>
    <row r="20" spans="1:5" x14ac:dyDescent="0.2">
      <c r="A20" s="4"/>
      <c r="B20" s="2">
        <v>2016</v>
      </c>
      <c r="C20" s="2">
        <v>2017</v>
      </c>
      <c r="D20" s="2">
        <v>2018</v>
      </c>
      <c r="E20" s="2">
        <v>2019</v>
      </c>
    </row>
    <row r="21" spans="1:5" s="43" customFormat="1" x14ac:dyDescent="0.2">
      <c r="A21" s="2" t="s">
        <v>81</v>
      </c>
      <c r="B21" s="41"/>
      <c r="C21" s="41"/>
      <c r="D21" s="41"/>
      <c r="E21" s="41"/>
    </row>
    <row r="22" spans="1:5" x14ac:dyDescent="0.2">
      <c r="A22" s="42" t="s">
        <v>82</v>
      </c>
      <c r="B22" s="41"/>
      <c r="C22" s="41"/>
      <c r="D22" s="41"/>
      <c r="E22" s="41"/>
    </row>
    <row r="23" spans="1:5" x14ac:dyDescent="0.2">
      <c r="A23" s="2" t="s">
        <v>3</v>
      </c>
      <c r="B23" s="41"/>
      <c r="C23" s="41"/>
      <c r="D23" s="41"/>
      <c r="E23" s="41"/>
    </row>
    <row r="24" spans="1:5" x14ac:dyDescent="0.2">
      <c r="A24" s="4" t="s">
        <v>74</v>
      </c>
      <c r="B24" s="4"/>
      <c r="C24" s="3" t="e">
        <f>(C23-B23)/B23</f>
        <v>#DIV/0!</v>
      </c>
      <c r="D24" s="3" t="e">
        <f>(D23-C23)/C23</f>
        <v>#DIV/0!</v>
      </c>
      <c r="E24" s="3" t="e">
        <f>(E23-D23)/D23</f>
        <v>#DIV/0!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819E-ECD8-014A-BB54-B6B7A984120A}">
  <dimension ref="A2:Q25"/>
  <sheetViews>
    <sheetView workbookViewId="0">
      <selection activeCell="F27" sqref="F27"/>
    </sheetView>
  </sheetViews>
  <sheetFormatPr baseColWidth="10" defaultRowHeight="16" x14ac:dyDescent="0.2"/>
  <cols>
    <col min="1" max="2" width="13" style="51" bestFit="1" customWidth="1"/>
    <col min="3" max="3" width="8" style="51" bestFit="1" customWidth="1"/>
    <col min="4" max="5" width="13.33203125" style="51" bestFit="1" customWidth="1"/>
    <col min="6" max="6" width="9" style="51" bestFit="1" customWidth="1"/>
    <col min="7" max="7" width="9.1640625" style="51" bestFit="1" customWidth="1"/>
    <col min="8" max="9" width="9" style="51" bestFit="1" customWidth="1"/>
    <col min="10" max="16384" width="10.83203125" style="51"/>
  </cols>
  <sheetData>
    <row r="2" spans="1:9" ht="17" thickBot="1" x14ac:dyDescent="0.25"/>
    <row r="3" spans="1:9" ht="20" x14ac:dyDescent="0.25">
      <c r="B3" s="89" t="s">
        <v>85</v>
      </c>
      <c r="C3" s="90"/>
      <c r="D3" s="90"/>
      <c r="E3" s="52"/>
      <c r="F3" s="52"/>
      <c r="G3" s="52"/>
      <c r="H3" s="52"/>
      <c r="I3" s="53"/>
    </row>
    <row r="4" spans="1:9" x14ac:dyDescent="0.2">
      <c r="A4" s="54"/>
      <c r="B4" s="81" t="s">
        <v>0</v>
      </c>
      <c r="C4" s="68" t="str">
        <f>DCF!B3</f>
        <v>EA</v>
      </c>
      <c r="I4" s="55"/>
    </row>
    <row r="5" spans="1:9" x14ac:dyDescent="0.2">
      <c r="B5" s="54"/>
      <c r="I5" s="55"/>
    </row>
    <row r="6" spans="1:9" x14ac:dyDescent="0.2">
      <c r="B6" s="73" t="s">
        <v>61</v>
      </c>
      <c r="C6" s="78">
        <f>'Graham Intrinsic Model'!C6</f>
        <v>10.3</v>
      </c>
      <c r="E6" s="66">
        <v>1</v>
      </c>
      <c r="F6" s="66">
        <v>2</v>
      </c>
      <c r="G6" s="66">
        <v>3</v>
      </c>
      <c r="H6" s="66">
        <v>4</v>
      </c>
      <c r="I6" s="74">
        <v>5</v>
      </c>
    </row>
    <row r="7" spans="1:9" x14ac:dyDescent="0.2">
      <c r="B7" s="73" t="s">
        <v>62</v>
      </c>
      <c r="C7" s="79">
        <v>0.13320000000000001</v>
      </c>
      <c r="E7" s="65">
        <f>C6</f>
        <v>10.3</v>
      </c>
      <c r="F7" s="65">
        <f>E7*(1+$C$7)</f>
        <v>11.67196</v>
      </c>
      <c r="G7" s="65">
        <f>F7*(1+$C$7)</f>
        <v>13.226665071999999</v>
      </c>
      <c r="H7" s="65">
        <f>G7*(1+$C$7)</f>
        <v>14.9884568595904</v>
      </c>
      <c r="I7" s="75">
        <f>H7*(1+$C$7)</f>
        <v>16.98491931328784</v>
      </c>
    </row>
    <row r="8" spans="1:9" x14ac:dyDescent="0.2">
      <c r="B8" s="73" t="s">
        <v>63</v>
      </c>
      <c r="C8" s="69">
        <f>WACC!B34</f>
        <v>7.9554261073079849E-2</v>
      </c>
      <c r="E8" s="65">
        <f>F8/(1+$C$8)</f>
        <v>333.13464844774751</v>
      </c>
      <c r="F8" s="65">
        <f>G8/(1+$C$8)</f>
        <v>359.63692924284834</v>
      </c>
      <c r="G8" s="65">
        <f>H8/(1+$C$8)</f>
        <v>388.24757940335468</v>
      </c>
      <c r="H8" s="65">
        <f>I8/(1+$C$8)</f>
        <v>419.1343286962005</v>
      </c>
      <c r="I8" s="75">
        <f>I7*C9</f>
        <v>452.47825050598811</v>
      </c>
    </row>
    <row r="9" spans="1:9" x14ac:dyDescent="0.2">
      <c r="B9" s="73" t="s">
        <v>64</v>
      </c>
      <c r="C9" s="148">
        <f>(C7*2)*100</f>
        <v>26.640000000000004</v>
      </c>
      <c r="I9" s="55"/>
    </row>
    <row r="10" spans="1:9" x14ac:dyDescent="0.2">
      <c r="B10" s="54"/>
      <c r="E10" s="71" t="s">
        <v>55</v>
      </c>
      <c r="F10" s="72">
        <f>E8</f>
        <v>333.13464844774751</v>
      </c>
      <c r="G10" s="99" t="s">
        <v>49</v>
      </c>
      <c r="H10" s="99" t="s">
        <v>65</v>
      </c>
      <c r="I10" s="55"/>
    </row>
    <row r="11" spans="1:9" ht="17" thickBot="1" x14ac:dyDescent="0.25">
      <c r="B11" s="56"/>
      <c r="C11" s="57"/>
      <c r="D11" s="57"/>
      <c r="E11" s="76" t="s">
        <v>11</v>
      </c>
      <c r="F11" s="77">
        <f>'ADV. DCF'!B26</f>
        <v>135.46</v>
      </c>
      <c r="G11" s="100" t="str">
        <f>IF(F10&gt;F11,"BUY","SELL")</f>
        <v>BUY</v>
      </c>
      <c r="H11" s="101">
        <f>F10/F11-1</f>
        <v>1.4592842791063596</v>
      </c>
      <c r="I11" s="58"/>
    </row>
    <row r="17" spans="13:17" x14ac:dyDescent="0.2">
      <c r="M17" s="59"/>
    </row>
    <row r="19" spans="13:17" x14ac:dyDescent="0.2">
      <c r="M19" s="59"/>
      <c r="N19" s="59"/>
      <c r="O19" s="59"/>
      <c r="P19" s="59"/>
      <c r="Q19" s="59"/>
    </row>
    <row r="20" spans="13:17" x14ac:dyDescent="0.2">
      <c r="M20" s="60"/>
      <c r="N20" s="60"/>
      <c r="O20" s="60"/>
      <c r="P20" s="60"/>
      <c r="Q20" s="60"/>
    </row>
    <row r="21" spans="13:17" x14ac:dyDescent="0.2">
      <c r="M21" s="60"/>
      <c r="N21" s="60"/>
      <c r="O21" s="60"/>
      <c r="P21" s="60"/>
      <c r="Q21" s="60"/>
    </row>
    <row r="24" spans="13:17" x14ac:dyDescent="0.2">
      <c r="N24" s="61"/>
      <c r="O24" s="62"/>
      <c r="P24" s="63"/>
    </row>
    <row r="25" spans="13:17" x14ac:dyDescent="0.2">
      <c r="N25" s="64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0B51-AED2-3E4A-B45B-E409F5975878}">
  <dimension ref="C1:D13"/>
  <sheetViews>
    <sheetView workbookViewId="0">
      <selection activeCell="D13" sqref="D13"/>
    </sheetView>
  </sheetViews>
  <sheetFormatPr baseColWidth="10" defaultRowHeight="16" x14ac:dyDescent="0.2"/>
  <cols>
    <col min="1" max="2" width="10.83203125" style="51"/>
    <col min="3" max="3" width="16.5" style="51" bestFit="1" customWidth="1"/>
    <col min="4" max="4" width="11.5" style="51" bestFit="1" customWidth="1"/>
    <col min="5" max="16384" width="10.83203125" style="51"/>
  </cols>
  <sheetData>
    <row r="1" spans="3:4" ht="17" thickBot="1" x14ac:dyDescent="0.25"/>
    <row r="2" spans="3:4" x14ac:dyDescent="0.2">
      <c r="C2" s="185" t="s">
        <v>107</v>
      </c>
      <c r="D2" s="186"/>
    </row>
    <row r="3" spans="3:4" x14ac:dyDescent="0.2">
      <c r="C3" s="143" t="s">
        <v>108</v>
      </c>
      <c r="D3" s="144" t="s">
        <v>109</v>
      </c>
    </row>
    <row r="4" spans="3:4" x14ac:dyDescent="0.2">
      <c r="C4" s="145" t="s">
        <v>110</v>
      </c>
      <c r="D4" s="133">
        <f>'ADV. DCF'!B25</f>
        <v>64.615457716237486</v>
      </c>
    </row>
    <row r="5" spans="3:4" x14ac:dyDescent="0.2">
      <c r="C5" s="145" t="s">
        <v>111</v>
      </c>
      <c r="D5" s="133">
        <f>'Graham Intrinsic Model'!C13</f>
        <v>133.57552863070543</v>
      </c>
    </row>
    <row r="6" spans="3:4" x14ac:dyDescent="0.2">
      <c r="C6" s="145" t="s">
        <v>112</v>
      </c>
      <c r="D6" s="133">
        <f>'EPS Multiplier Model'!F10</f>
        <v>333.13464844774751</v>
      </c>
    </row>
    <row r="7" spans="3:4" x14ac:dyDescent="0.2">
      <c r="C7" s="152" t="s">
        <v>113</v>
      </c>
      <c r="D7" s="154">
        <f>(0.5*D4)+(0.25*D5)+(0.25*D6)</f>
        <v>148.98527312773197</v>
      </c>
    </row>
    <row r="8" spans="3:4" x14ac:dyDescent="0.2">
      <c r="C8" s="145" t="s">
        <v>11</v>
      </c>
      <c r="D8" s="133">
        <f>'ADV. DCF'!B26</f>
        <v>135.46</v>
      </c>
    </row>
    <row r="9" spans="3:4" x14ac:dyDescent="0.2">
      <c r="C9" s="145" t="s">
        <v>65</v>
      </c>
      <c r="D9" s="149">
        <f>D7/D8-1</f>
        <v>9.9846988983699703E-2</v>
      </c>
    </row>
    <row r="10" spans="3:4" x14ac:dyDescent="0.2">
      <c r="C10" s="145" t="s">
        <v>1</v>
      </c>
      <c r="D10" s="150">
        <f>WACC!B34</f>
        <v>7.9554261073079849E-2</v>
      </c>
    </row>
    <row r="11" spans="3:4" x14ac:dyDescent="0.2">
      <c r="C11" s="152" t="s">
        <v>49</v>
      </c>
      <c r="D11" s="153" t="str">
        <f>IF(D7&gt;D8, "BUY", "SELL")</f>
        <v>BUY</v>
      </c>
    </row>
    <row r="12" spans="3:4" x14ac:dyDescent="0.2">
      <c r="C12" s="145" t="s">
        <v>114</v>
      </c>
      <c r="D12" s="151"/>
    </row>
    <row r="13" spans="3:4" ht="17" thickBot="1" x14ac:dyDescent="0.25">
      <c r="C13" s="146" t="s">
        <v>115</v>
      </c>
      <c r="D13" s="137"/>
    </row>
  </sheetData>
  <mergeCells count="1"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2B95-EE13-AB47-A1DB-A1859E9CC38C}">
  <dimension ref="A5:B9"/>
  <sheetViews>
    <sheetView tabSelected="1" workbookViewId="0">
      <selection activeCell="B9" sqref="B9"/>
    </sheetView>
  </sheetViews>
  <sheetFormatPr baseColWidth="10" defaultRowHeight="16" x14ac:dyDescent="0.2"/>
  <cols>
    <col min="1" max="2" width="12.5" bestFit="1" customWidth="1"/>
  </cols>
  <sheetData>
    <row r="5" spans="1:2" x14ac:dyDescent="0.2">
      <c r="A5" t="s">
        <v>3</v>
      </c>
      <c r="B5" s="34">
        <v>300000</v>
      </c>
    </row>
    <row r="6" spans="1:2" x14ac:dyDescent="0.2">
      <c r="A6" t="s">
        <v>122</v>
      </c>
      <c r="B6" s="34">
        <v>200000</v>
      </c>
    </row>
    <row r="7" spans="1:2" x14ac:dyDescent="0.2">
      <c r="A7" t="s">
        <v>123</v>
      </c>
      <c r="B7">
        <v>5</v>
      </c>
    </row>
    <row r="9" spans="1:2" x14ac:dyDescent="0.2">
      <c r="A9" t="s">
        <v>121</v>
      </c>
      <c r="B9" s="172">
        <f>((B5/B6)^(1/B7))-1</f>
        <v>8.4471771197698553E-2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9BEC-45AF-AF45-A6F6-9FAD567DD0CC}">
  <dimension ref="A41"/>
  <sheetViews>
    <sheetView topLeftCell="A14" workbookViewId="0">
      <selection activeCell="L57" sqref="L57"/>
    </sheetView>
  </sheetViews>
  <sheetFormatPr baseColWidth="10" defaultRowHeight="16" x14ac:dyDescent="0.2"/>
  <sheetData>
    <row r="41" spans="1:1" x14ac:dyDescent="0.2">
      <c r="A41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D43D-654E-5840-9B66-5EE7DCC4AA1A}">
  <dimension ref="A1:J34"/>
  <sheetViews>
    <sheetView workbookViewId="0">
      <selection activeCell="B15" sqref="B15"/>
    </sheetView>
  </sheetViews>
  <sheetFormatPr baseColWidth="10" defaultRowHeight="16" x14ac:dyDescent="0.2"/>
  <cols>
    <col min="1" max="1" width="21.5" bestFit="1" customWidth="1"/>
    <col min="2" max="2" width="20.33203125" bestFit="1" customWidth="1"/>
    <col min="4" max="4" width="15.5" bestFit="1" customWidth="1"/>
    <col min="7" max="7" width="11.5" bestFit="1" customWidth="1"/>
    <col min="9" max="9" width="17.1640625" bestFit="1" customWidth="1"/>
    <col min="10" max="10" width="12.5" bestFit="1" customWidth="1"/>
  </cols>
  <sheetData>
    <row r="1" spans="1:10" ht="24" x14ac:dyDescent="0.3">
      <c r="A1" s="9" t="s">
        <v>14</v>
      </c>
    </row>
    <row r="3" spans="1:10" x14ac:dyDescent="0.2">
      <c r="A3" t="s">
        <v>15</v>
      </c>
      <c r="B3" s="12" t="str">
        <f>DCF!B3</f>
        <v>EA</v>
      </c>
    </row>
    <row r="8" spans="1:10" ht="21" thickBot="1" x14ac:dyDescent="0.3">
      <c r="A8" s="19" t="s">
        <v>17</v>
      </c>
      <c r="E8" s="175" t="s">
        <v>116</v>
      </c>
      <c r="F8" s="175"/>
      <c r="G8" s="175"/>
      <c r="H8" s="175"/>
    </row>
    <row r="9" spans="1:10" ht="18" thickTop="1" thickBot="1" x14ac:dyDescent="0.25">
      <c r="A9" t="s">
        <v>18</v>
      </c>
      <c r="B9" s="169">
        <v>42</v>
      </c>
    </row>
    <row r="10" spans="1:10" ht="17" thickBot="1" x14ac:dyDescent="0.25">
      <c r="A10" t="s">
        <v>19</v>
      </c>
      <c r="B10" s="14"/>
      <c r="F10" s="173" t="s">
        <v>89</v>
      </c>
      <c r="G10" s="174"/>
      <c r="I10" s="164" t="s">
        <v>118</v>
      </c>
      <c r="J10" s="159">
        <f>B30</f>
        <v>28850000</v>
      </c>
    </row>
    <row r="11" spans="1:10" ht="17" thickBot="1" x14ac:dyDescent="0.25">
      <c r="A11" t="s">
        <v>20</v>
      </c>
      <c r="B11" s="98">
        <v>397</v>
      </c>
      <c r="F11" s="156" t="s">
        <v>88</v>
      </c>
      <c r="G11" s="157" t="s">
        <v>3</v>
      </c>
      <c r="I11" s="165" t="s">
        <v>119</v>
      </c>
      <c r="J11" s="160">
        <f>G17</f>
        <v>1499.4</v>
      </c>
    </row>
    <row r="12" spans="1:10" ht="17" thickTop="1" x14ac:dyDescent="0.2">
      <c r="A12" s="15" t="s">
        <v>16</v>
      </c>
      <c r="B12" s="13">
        <f>B9/(B10+B11)</f>
        <v>0.10579345088161209</v>
      </c>
      <c r="F12" s="155">
        <v>2020</v>
      </c>
      <c r="G12" s="158">
        <v>1657</v>
      </c>
      <c r="I12" s="165" t="s">
        <v>65</v>
      </c>
      <c r="J12" s="161">
        <f>J11/J10</f>
        <v>5.1972270363951479E-5</v>
      </c>
    </row>
    <row r="13" spans="1:10" x14ac:dyDescent="0.2">
      <c r="A13" t="s">
        <v>21</v>
      </c>
      <c r="B13" s="14">
        <v>-1531</v>
      </c>
      <c r="F13" s="155">
        <v>2019</v>
      </c>
      <c r="G13" s="158">
        <v>1428</v>
      </c>
      <c r="I13" s="165" t="s">
        <v>1</v>
      </c>
      <c r="J13" s="162">
        <f>B34</f>
        <v>7.9554261073079849E-2</v>
      </c>
    </row>
    <row r="14" spans="1:10" ht="17" thickBot="1" x14ac:dyDescent="0.25">
      <c r="A14" t="s">
        <v>22</v>
      </c>
      <c r="B14" s="14">
        <v>1508</v>
      </c>
      <c r="F14" s="155">
        <v>2018</v>
      </c>
      <c r="G14" s="158">
        <v>1585</v>
      </c>
      <c r="I14" s="166" t="s">
        <v>49</v>
      </c>
      <c r="J14" s="163" t="str">
        <f>IF(J12&gt;J13,"BUY","SELL")</f>
        <v>SELL</v>
      </c>
    </row>
    <row r="15" spans="1:10" x14ac:dyDescent="0.2">
      <c r="A15" s="15" t="s">
        <v>23</v>
      </c>
      <c r="B15" s="13">
        <f>B13/B14</f>
        <v>-1.0152519893899203</v>
      </c>
      <c r="F15" s="155">
        <v>2017</v>
      </c>
      <c r="G15" s="158">
        <v>1455</v>
      </c>
    </row>
    <row r="16" spans="1:10" ht="17" thickBot="1" x14ac:dyDescent="0.25">
      <c r="A16" s="15" t="s">
        <v>24</v>
      </c>
      <c r="B16" s="17">
        <f>B12*(1-B15)</f>
        <v>0.21320046235359358</v>
      </c>
      <c r="F16" s="155">
        <v>2016</v>
      </c>
      <c r="G16" s="158">
        <v>1372</v>
      </c>
    </row>
    <row r="17" spans="1:7" ht="17" thickBot="1" x14ac:dyDescent="0.25">
      <c r="F17" s="167" t="s">
        <v>117</v>
      </c>
      <c r="G17" s="168">
        <f>AVERAGE(G12:G16)</f>
        <v>1499.4</v>
      </c>
    </row>
    <row r="20" spans="1:7" x14ac:dyDescent="0.2">
      <c r="A20" s="19" t="s">
        <v>25</v>
      </c>
    </row>
    <row r="21" spans="1:7" x14ac:dyDescent="0.2">
      <c r="A21" t="s">
        <v>26</v>
      </c>
      <c r="B21" s="107">
        <v>5.8700000000000002E-3</v>
      </c>
    </row>
    <row r="22" spans="1:7" x14ac:dyDescent="0.2">
      <c r="A22" t="s">
        <v>27</v>
      </c>
      <c r="B22" s="11">
        <v>0.93</v>
      </c>
    </row>
    <row r="23" spans="1:7" x14ac:dyDescent="0.2">
      <c r="A23" t="s">
        <v>28</v>
      </c>
      <c r="B23" s="18">
        <v>8.5099999999999995E-2</v>
      </c>
    </row>
    <row r="24" spans="1:7" x14ac:dyDescent="0.2">
      <c r="A24" s="15" t="s">
        <v>29</v>
      </c>
      <c r="B24" s="35">
        <f>(B21)+((B22)*(B23-B21))</f>
        <v>7.9553899999999997E-2</v>
      </c>
    </row>
    <row r="28" spans="1:7" x14ac:dyDescent="0.2">
      <c r="A28" s="19" t="s">
        <v>30</v>
      </c>
      <c r="B28" s="10"/>
    </row>
    <row r="29" spans="1:7" x14ac:dyDescent="0.2">
      <c r="A29" t="s">
        <v>31</v>
      </c>
      <c r="B29" s="20">
        <f>SUM(B10:B11)</f>
        <v>397</v>
      </c>
      <c r="C29" s="16">
        <f>B29/B31</f>
        <v>1.3760642531192898E-5</v>
      </c>
      <c r="D29" s="15" t="s">
        <v>34</v>
      </c>
    </row>
    <row r="30" spans="1:7" x14ac:dyDescent="0.2">
      <c r="A30" t="s">
        <v>32</v>
      </c>
      <c r="B30" s="14">
        <v>28850000</v>
      </c>
      <c r="C30" s="21">
        <f>B30/B31</f>
        <v>0.99998623935746878</v>
      </c>
      <c r="D30" s="15" t="s">
        <v>35</v>
      </c>
    </row>
    <row r="31" spans="1:7" x14ac:dyDescent="0.2">
      <c r="A31" t="s">
        <v>33</v>
      </c>
      <c r="B31" s="20">
        <f>SUM(B29:B30)</f>
        <v>28850397</v>
      </c>
    </row>
    <row r="33" spans="1:2" ht="17" thickBot="1" x14ac:dyDescent="0.25">
      <c r="A33" s="19" t="s">
        <v>36</v>
      </c>
    </row>
    <row r="34" spans="1:2" ht="17" thickBot="1" x14ac:dyDescent="0.25">
      <c r="A34" t="s">
        <v>37</v>
      </c>
      <c r="B34" s="22">
        <f>(C29*B12)+(C30*B24)</f>
        <v>7.9554261073079849E-2</v>
      </c>
    </row>
  </sheetData>
  <mergeCells count="2">
    <mergeCell ref="F10:G10"/>
    <mergeCell ref="E8:H8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E7B3-A7FB-9642-AE86-054AFDAE4B4E}">
  <dimension ref="A1:P29"/>
  <sheetViews>
    <sheetView zoomScale="90" zoomScaleNormal="90" workbookViewId="0">
      <selection activeCell="P17" sqref="P17"/>
    </sheetView>
  </sheetViews>
  <sheetFormatPr baseColWidth="10" defaultRowHeight="16" x14ac:dyDescent="0.2"/>
  <cols>
    <col min="1" max="1" width="17.83203125" style="51" bestFit="1" customWidth="1"/>
    <col min="2" max="2" width="12.33203125" style="51" bestFit="1" customWidth="1"/>
    <col min="3" max="11" width="10.83203125" style="51"/>
    <col min="12" max="12" width="14.1640625" style="51" bestFit="1" customWidth="1"/>
    <col min="13" max="13" width="14.1640625" style="51" customWidth="1"/>
    <col min="14" max="14" width="10.83203125" style="51"/>
    <col min="15" max="15" width="22.1640625" style="51" bestFit="1" customWidth="1"/>
    <col min="16" max="16384" width="10.83203125" style="51"/>
  </cols>
  <sheetData>
    <row r="1" spans="1:16" ht="21" thickBot="1" x14ac:dyDescent="0.3">
      <c r="A1" s="109" t="s">
        <v>86</v>
      </c>
      <c r="B1" s="110"/>
      <c r="C1" s="110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</row>
    <row r="2" spans="1:16" ht="17" thickTop="1" x14ac:dyDescent="0.2">
      <c r="A2" s="54"/>
      <c r="P2" s="55"/>
    </row>
    <row r="3" spans="1:16" x14ac:dyDescent="0.2">
      <c r="A3" s="111" t="s">
        <v>0</v>
      </c>
      <c r="B3" s="114" t="s">
        <v>120</v>
      </c>
      <c r="P3" s="55"/>
    </row>
    <row r="4" spans="1:16" x14ac:dyDescent="0.2">
      <c r="A4" s="111"/>
      <c r="B4" s="112"/>
      <c r="P4" s="55"/>
    </row>
    <row r="5" spans="1:16" x14ac:dyDescent="0.2">
      <c r="A5" s="54"/>
      <c r="P5" s="55"/>
    </row>
    <row r="6" spans="1:16" x14ac:dyDescent="0.2">
      <c r="A6" s="176" t="s">
        <v>87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P6" s="55"/>
    </row>
    <row r="7" spans="1:16" s="102" customFormat="1" x14ac:dyDescent="0.2">
      <c r="A7" s="113" t="s">
        <v>88</v>
      </c>
      <c r="B7" s="114">
        <v>2010</v>
      </c>
      <c r="C7" s="114">
        <v>2011</v>
      </c>
      <c r="D7" s="114">
        <v>2012</v>
      </c>
      <c r="E7" s="114">
        <v>2013</v>
      </c>
      <c r="F7" s="114">
        <v>2014</v>
      </c>
      <c r="G7" s="114">
        <v>2015</v>
      </c>
      <c r="H7" s="114">
        <v>2016</v>
      </c>
      <c r="I7" s="114">
        <v>2017</v>
      </c>
      <c r="J7" s="114">
        <v>2018</v>
      </c>
      <c r="K7" s="114">
        <v>2019</v>
      </c>
      <c r="P7" s="115"/>
    </row>
    <row r="8" spans="1:16" s="105" customFormat="1" x14ac:dyDescent="0.2">
      <c r="A8" s="116" t="s">
        <v>89</v>
      </c>
      <c r="B8" s="117">
        <v>261</v>
      </c>
      <c r="C8" s="117">
        <v>131</v>
      </c>
      <c r="D8" s="117">
        <v>218</v>
      </c>
      <c r="E8" s="117">
        <v>615</v>
      </c>
      <c r="F8" s="117">
        <v>972</v>
      </c>
      <c r="G8" s="117">
        <v>1372</v>
      </c>
      <c r="H8" s="117">
        <v>1455</v>
      </c>
      <c r="I8" s="117">
        <v>1585</v>
      </c>
      <c r="J8" s="117">
        <v>1428</v>
      </c>
      <c r="K8" s="105">
        <v>1657</v>
      </c>
      <c r="L8" s="117"/>
      <c r="M8" s="117"/>
      <c r="N8" s="117"/>
      <c r="O8" s="117"/>
      <c r="P8" s="118"/>
    </row>
    <row r="9" spans="1:16" x14ac:dyDescent="0.2">
      <c r="A9" s="111" t="s">
        <v>90</v>
      </c>
      <c r="B9" s="119">
        <f>AVERAGE(B8:J8)</f>
        <v>893</v>
      </c>
      <c r="P9" s="55"/>
    </row>
    <row r="10" spans="1:16" x14ac:dyDescent="0.2">
      <c r="A10" s="111" t="s">
        <v>91</v>
      </c>
      <c r="B10" s="120">
        <v>900</v>
      </c>
      <c r="P10" s="55"/>
    </row>
    <row r="11" spans="1:16" x14ac:dyDescent="0.2">
      <c r="A11" s="54"/>
      <c r="P11" s="55"/>
    </row>
    <row r="12" spans="1:16" x14ac:dyDescent="0.2">
      <c r="A12" s="54"/>
      <c r="P12" s="55"/>
    </row>
    <row r="13" spans="1:16" x14ac:dyDescent="0.2">
      <c r="A13" s="176" t="s">
        <v>92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P13" s="55"/>
    </row>
    <row r="14" spans="1:16" s="103" customFormat="1" x14ac:dyDescent="0.2">
      <c r="A14" s="121"/>
      <c r="B14" s="114">
        <v>1</v>
      </c>
      <c r="C14" s="114">
        <v>2</v>
      </c>
      <c r="D14" s="114">
        <v>3</v>
      </c>
      <c r="E14" s="114">
        <v>4</v>
      </c>
      <c r="F14" s="114">
        <v>5</v>
      </c>
      <c r="G14" s="114">
        <v>6</v>
      </c>
      <c r="H14" s="114">
        <v>7</v>
      </c>
      <c r="I14" s="114">
        <v>8</v>
      </c>
      <c r="J14" s="114">
        <v>9</v>
      </c>
      <c r="K14" s="114">
        <v>10</v>
      </c>
      <c r="L14" s="114">
        <v>10</v>
      </c>
      <c r="M14" s="122"/>
      <c r="P14" s="123"/>
    </row>
    <row r="15" spans="1:16" x14ac:dyDescent="0.2">
      <c r="A15" s="113" t="s">
        <v>93</v>
      </c>
      <c r="B15" s="114">
        <v>2020</v>
      </c>
      <c r="C15" s="114">
        <v>2021</v>
      </c>
      <c r="D15" s="114">
        <v>2022</v>
      </c>
      <c r="E15" s="114">
        <v>2023</v>
      </c>
      <c r="F15" s="114">
        <v>2024</v>
      </c>
      <c r="G15" s="114">
        <v>2025</v>
      </c>
      <c r="H15" s="114">
        <v>2026</v>
      </c>
      <c r="I15" s="114">
        <v>2027</v>
      </c>
      <c r="J15" s="114">
        <v>2028</v>
      </c>
      <c r="K15" s="114">
        <v>2029</v>
      </c>
      <c r="L15" s="124" t="s">
        <v>2</v>
      </c>
      <c r="M15" s="112"/>
      <c r="P15" s="55"/>
    </row>
    <row r="16" spans="1:16" x14ac:dyDescent="0.2">
      <c r="A16" s="125" t="s">
        <v>89</v>
      </c>
      <c r="B16" s="106">
        <f>B10</f>
        <v>900</v>
      </c>
      <c r="C16" s="106">
        <f>B10</f>
        <v>900</v>
      </c>
      <c r="D16" s="106">
        <f>B10</f>
        <v>900</v>
      </c>
      <c r="E16" s="106">
        <f t="shared" ref="E16:K16" si="0">D16</f>
        <v>900</v>
      </c>
      <c r="F16" s="106">
        <f t="shared" si="0"/>
        <v>900</v>
      </c>
      <c r="G16" s="106">
        <f t="shared" si="0"/>
        <v>900</v>
      </c>
      <c r="H16" s="106">
        <f t="shared" si="0"/>
        <v>900</v>
      </c>
      <c r="I16" s="106">
        <f t="shared" si="0"/>
        <v>900</v>
      </c>
      <c r="J16" s="106">
        <f t="shared" si="0"/>
        <v>900</v>
      </c>
      <c r="K16" s="106">
        <f t="shared" si="0"/>
        <v>900</v>
      </c>
      <c r="L16" s="108">
        <f>(K16*(1+P16))/(P17-P16)</f>
        <v>16909.769866816387</v>
      </c>
      <c r="O16" s="102" t="s">
        <v>99</v>
      </c>
      <c r="P16" s="126">
        <v>2.5000000000000001E-2</v>
      </c>
    </row>
    <row r="17" spans="1:16" x14ac:dyDescent="0.2">
      <c r="A17" s="54" t="s">
        <v>94</v>
      </c>
      <c r="B17" s="64">
        <f>B16/(1+$P$17)^B14</f>
        <v>833.67740969814474</v>
      </c>
      <c r="C17" s="64">
        <f t="shared" ref="C17:L17" si="1">C16/(1+$P$17)^C14</f>
        <v>772.24224826778698</v>
      </c>
      <c r="D17" s="64">
        <f t="shared" si="1"/>
        <v>715.3343524392892</v>
      </c>
      <c r="E17" s="64">
        <f t="shared" si="1"/>
        <v>662.6201000107626</v>
      </c>
      <c r="F17" s="64">
        <f t="shared" si="1"/>
        <v>613.79045398988694</v>
      </c>
      <c r="G17" s="64">
        <f t="shared" si="1"/>
        <v>568.55915086637469</v>
      </c>
      <c r="H17" s="64">
        <f>H16/(1+$P$17)^H14</f>
        <v>526.66102239383997</v>
      </c>
      <c r="I17" s="64">
        <f t="shared" si="1"/>
        <v>487.85044104252563</v>
      </c>
      <c r="J17" s="64">
        <f t="shared" si="1"/>
        <v>451.89988000936694</v>
      </c>
      <c r="K17" s="64">
        <f t="shared" si="1"/>
        <v>418.59857934345717</v>
      </c>
      <c r="L17" s="64">
        <f t="shared" si="1"/>
        <v>7864.8951591934892</v>
      </c>
      <c r="O17" s="102" t="s">
        <v>63</v>
      </c>
      <c r="P17" s="127">
        <f>WACC!B34</f>
        <v>7.9554261073079849E-2</v>
      </c>
    </row>
    <row r="18" spans="1:16" x14ac:dyDescent="0.2">
      <c r="A18" s="54"/>
      <c r="P18" s="55"/>
    </row>
    <row r="19" spans="1:16" ht="17" thickBot="1" x14ac:dyDescent="0.25">
      <c r="A19" s="54"/>
      <c r="P19" s="55"/>
    </row>
    <row r="20" spans="1:16" x14ac:dyDescent="0.2">
      <c r="A20" s="129" t="s">
        <v>95</v>
      </c>
      <c r="B20" s="130">
        <f>SUM(B17:L17)</f>
        <v>13916.128797254923</v>
      </c>
      <c r="P20" s="55"/>
    </row>
    <row r="21" spans="1:16" x14ac:dyDescent="0.2">
      <c r="A21" s="54" t="s">
        <v>96</v>
      </c>
      <c r="B21" s="118">
        <v>5735</v>
      </c>
      <c r="P21" s="55"/>
    </row>
    <row r="22" spans="1:16" x14ac:dyDescent="0.2">
      <c r="A22" s="125" t="s">
        <v>97</v>
      </c>
      <c r="B22" s="131">
        <f>599+397</f>
        <v>996</v>
      </c>
      <c r="P22" s="55"/>
    </row>
    <row r="23" spans="1:16" x14ac:dyDescent="0.2">
      <c r="A23" s="54" t="s">
        <v>8</v>
      </c>
      <c r="B23" s="132">
        <f>B20+B21-B22</f>
        <v>18655.128797254925</v>
      </c>
      <c r="P23" s="55"/>
    </row>
    <row r="24" spans="1:16" x14ac:dyDescent="0.2">
      <c r="A24" s="54" t="s">
        <v>98</v>
      </c>
      <c r="B24" s="147">
        <v>288.70999999999998</v>
      </c>
      <c r="P24" s="55"/>
    </row>
    <row r="25" spans="1:16" x14ac:dyDescent="0.2">
      <c r="A25" s="113" t="s">
        <v>10</v>
      </c>
      <c r="B25" s="133">
        <f>B23/B24</f>
        <v>64.615457716237486</v>
      </c>
      <c r="P25" s="55"/>
    </row>
    <row r="26" spans="1:16" x14ac:dyDescent="0.2">
      <c r="A26" s="111" t="s">
        <v>11</v>
      </c>
      <c r="B26" s="134">
        <v>135.46</v>
      </c>
      <c r="P26" s="55"/>
    </row>
    <row r="27" spans="1:16" x14ac:dyDescent="0.2">
      <c r="A27" s="111" t="s">
        <v>50</v>
      </c>
      <c r="B27" s="135">
        <f>B25/B26-1</f>
        <v>-0.52299233931612665</v>
      </c>
      <c r="P27" s="55"/>
    </row>
    <row r="28" spans="1:16" x14ac:dyDescent="0.2">
      <c r="A28" s="111" t="s">
        <v>1</v>
      </c>
      <c r="B28" s="136">
        <f>WACC!B34</f>
        <v>7.9554261073079849E-2</v>
      </c>
      <c r="P28" s="55"/>
    </row>
    <row r="29" spans="1:16" ht="17" thickBot="1" x14ac:dyDescent="0.25">
      <c r="A29" s="128" t="s">
        <v>49</v>
      </c>
      <c r="B29" s="137" t="str">
        <f>IF(B27&gt;B28, "BUY","SELL")</f>
        <v>SELL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/>
    </row>
  </sheetData>
  <mergeCells count="2">
    <mergeCell ref="A6:K6"/>
    <mergeCell ref="A13:K13"/>
  </mergeCells>
  <pageMargins left="0.7" right="0.7" top="0.75" bottom="0.75" header="0.3" footer="0.3"/>
  <ignoredErrors>
    <ignoredError sqref="B9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7EE4-D63D-4A4B-B664-DCE587587F8A}">
  <dimension ref="A1:L43"/>
  <sheetViews>
    <sheetView zoomScale="79" zoomScaleNormal="80" workbookViewId="0">
      <selection activeCell="I24" sqref="I24"/>
    </sheetView>
  </sheetViews>
  <sheetFormatPr baseColWidth="10" defaultRowHeight="16" x14ac:dyDescent="0.2"/>
  <cols>
    <col min="1" max="1" width="9" bestFit="1" customWidth="1"/>
    <col min="2" max="5" width="12.1640625" bestFit="1" customWidth="1"/>
    <col min="6" max="6" width="13.1640625" bestFit="1" customWidth="1"/>
    <col min="7" max="7" width="16.83203125" bestFit="1" customWidth="1"/>
    <col min="8" max="8" width="13.1640625" bestFit="1" customWidth="1"/>
    <col min="9" max="10" width="14.6640625" bestFit="1" customWidth="1"/>
    <col min="11" max="11" width="15.83203125" bestFit="1" customWidth="1"/>
    <col min="12" max="12" width="16.83203125" bestFit="1" customWidth="1"/>
  </cols>
  <sheetData>
    <row r="1" spans="1:12" ht="25" thickBot="1" x14ac:dyDescent="0.35">
      <c r="A1" s="8" t="s">
        <v>13</v>
      </c>
    </row>
    <row r="2" spans="1:12" ht="17" thickTop="1" x14ac:dyDescent="0.2"/>
    <row r="3" spans="1:12" x14ac:dyDescent="0.2">
      <c r="A3" t="s">
        <v>0</v>
      </c>
      <c r="B3" s="104" t="str">
        <f>'ADV. DCF'!B3</f>
        <v>EA</v>
      </c>
    </row>
    <row r="4" spans="1:12" x14ac:dyDescent="0.2">
      <c r="A4" t="s">
        <v>1</v>
      </c>
      <c r="B4" s="44">
        <f>WACC!B34</f>
        <v>7.9554261073079849E-2</v>
      </c>
    </row>
    <row r="6" spans="1:12" x14ac:dyDescent="0.2">
      <c r="G6" s="45">
        <v>1</v>
      </c>
      <c r="H6" s="45">
        <v>2</v>
      </c>
      <c r="I6" s="46">
        <v>3</v>
      </c>
      <c r="J6" s="46">
        <v>4</v>
      </c>
      <c r="K6" s="46">
        <v>5</v>
      </c>
      <c r="L6" s="45">
        <v>5</v>
      </c>
    </row>
    <row r="7" spans="1:12" x14ac:dyDescent="0.2">
      <c r="B7" s="2">
        <v>2015</v>
      </c>
      <c r="C7" s="2">
        <v>2016</v>
      </c>
      <c r="D7" s="2">
        <v>2017</v>
      </c>
      <c r="E7" s="2">
        <v>2018</v>
      </c>
      <c r="F7" s="2">
        <v>2019</v>
      </c>
      <c r="G7" s="2">
        <v>2020</v>
      </c>
      <c r="H7" s="2">
        <v>2021</v>
      </c>
      <c r="I7" s="2">
        <v>2022</v>
      </c>
      <c r="J7" s="2">
        <v>2023</v>
      </c>
      <c r="K7" s="2">
        <v>2024</v>
      </c>
      <c r="L7" s="2" t="s">
        <v>2</v>
      </c>
    </row>
    <row r="8" spans="1:12" ht="17" thickBot="1" x14ac:dyDescent="0.25">
      <c r="A8" t="s">
        <v>3</v>
      </c>
      <c r="B8" s="47">
        <f>'ADV. DCF'!F8</f>
        <v>972</v>
      </c>
      <c r="C8" s="47">
        <f>'ADV. DCF'!G8</f>
        <v>1372</v>
      </c>
      <c r="D8" s="47">
        <f>'ADV. DCF'!H8</f>
        <v>1455</v>
      </c>
      <c r="E8" s="47">
        <f>'ADV. DCF'!I8</f>
        <v>1585</v>
      </c>
      <c r="F8" s="47">
        <f>'ADV. DCF'!J8</f>
        <v>1428</v>
      </c>
      <c r="G8" s="23">
        <f>F8*(1+G9)</f>
        <v>1593.0452811285086</v>
      </c>
      <c r="H8" s="23">
        <f>G8*(1+H9)</f>
        <v>1777.1661538696139</v>
      </c>
      <c r="I8" s="23">
        <f t="shared" ref="I8:K8" si="0">H8*(1+I9)</f>
        <v>1982.5673355765332</v>
      </c>
      <c r="J8" s="23">
        <f t="shared" si="0"/>
        <v>2211.7083602659077</v>
      </c>
      <c r="K8" s="23">
        <f t="shared" si="0"/>
        <v>2467.3330297997727</v>
      </c>
      <c r="L8" s="23">
        <f>(K8*(1+L9))/(B4-L9)</f>
        <v>46357.815243009973</v>
      </c>
    </row>
    <row r="9" spans="1:12" ht="17" thickTop="1" x14ac:dyDescent="0.2">
      <c r="A9" t="s">
        <v>4</v>
      </c>
      <c r="B9" s="3"/>
      <c r="C9" s="25">
        <f>C8/B8-1</f>
        <v>0.41152263374485587</v>
      </c>
      <c r="D9" s="25">
        <f>D8/C8-1</f>
        <v>6.0495626822157478E-2</v>
      </c>
      <c r="E9" s="25">
        <f>E8/D8-1</f>
        <v>8.9347079037800592E-2</v>
      </c>
      <c r="F9" s="25">
        <f>F8/E8-1</f>
        <v>-9.9053627760252394E-2</v>
      </c>
      <c r="G9" s="44">
        <f>AVERAGE(C9:F9)</f>
        <v>0.11557792796114039</v>
      </c>
      <c r="H9" s="44">
        <f t="shared" ref="H9:K9" si="1">G9</f>
        <v>0.11557792796114039</v>
      </c>
      <c r="I9" s="44">
        <f t="shared" si="1"/>
        <v>0.11557792796114039</v>
      </c>
      <c r="J9" s="44">
        <f t="shared" si="1"/>
        <v>0.11557792796114039</v>
      </c>
      <c r="K9" s="44">
        <f t="shared" si="1"/>
        <v>0.11557792796114039</v>
      </c>
      <c r="L9" s="24">
        <v>2.5000000000000001E-2</v>
      </c>
    </row>
    <row r="10" spans="1:12" x14ac:dyDescent="0.2">
      <c r="A10" t="s">
        <v>12</v>
      </c>
      <c r="B10" s="4"/>
      <c r="C10" s="4"/>
      <c r="D10" s="4"/>
      <c r="E10" s="4"/>
      <c r="F10" s="4"/>
      <c r="G10" s="23">
        <f>G8/(1+$B$4)^G6</f>
        <v>1475.6509594478532</v>
      </c>
      <c r="H10" s="23">
        <f>H8/(1+$B$4)^H6</f>
        <v>1524.8919846774295</v>
      </c>
      <c r="I10" s="23">
        <f t="shared" ref="I10:K10" si="2">I8/(1+$B$4)^I6</f>
        <v>1575.7761346243626</v>
      </c>
      <c r="J10" s="23">
        <f t="shared" si="2"/>
        <v>1628.3582387489284</v>
      </c>
      <c r="K10" s="23">
        <f t="shared" si="2"/>
        <v>1682.6949561167175</v>
      </c>
      <c r="L10" s="23">
        <f>L8/(1+$B$4)^L6</f>
        <v>31615.538293318215</v>
      </c>
    </row>
    <row r="13" spans="1:12" x14ac:dyDescent="0.2">
      <c r="F13" t="s">
        <v>5</v>
      </c>
      <c r="G13" s="26">
        <f>SUM(G10:L10)</f>
        <v>39502.910566933504</v>
      </c>
    </row>
    <row r="14" spans="1:12" ht="17" thickBot="1" x14ac:dyDescent="0.25">
      <c r="F14" t="s">
        <v>6</v>
      </c>
      <c r="G14" s="48">
        <f>'ADV. DCF'!B22</f>
        <v>996</v>
      </c>
    </row>
    <row r="15" spans="1:12" ht="18" thickTop="1" thickBot="1" x14ac:dyDescent="0.25">
      <c r="F15" t="s">
        <v>7</v>
      </c>
      <c r="G15" s="47">
        <f>'ADV. DCF'!B21</f>
        <v>5735</v>
      </c>
    </row>
    <row r="16" spans="1:12" ht="17" thickTop="1" x14ac:dyDescent="0.2">
      <c r="F16" s="5" t="s">
        <v>8</v>
      </c>
      <c r="G16" s="28">
        <f>G13-G14+G15</f>
        <v>44241.910566933504</v>
      </c>
    </row>
    <row r="17" spans="1:9" x14ac:dyDescent="0.2">
      <c r="F17" t="s">
        <v>9</v>
      </c>
      <c r="G17" s="27">
        <f>'ADV. DCF'!B24</f>
        <v>288.70999999999998</v>
      </c>
      <c r="I17" s="15"/>
    </row>
    <row r="18" spans="1:9" x14ac:dyDescent="0.2">
      <c r="F18" s="6" t="s">
        <v>10</v>
      </c>
      <c r="G18" s="28">
        <f>G16/G17</f>
        <v>153.23996594137199</v>
      </c>
    </row>
    <row r="19" spans="1:9" x14ac:dyDescent="0.2">
      <c r="F19" t="s">
        <v>11</v>
      </c>
      <c r="G19" s="29">
        <f>'ADV. DCF'!B26</f>
        <v>135.46</v>
      </c>
    </row>
    <row r="20" spans="1:9" x14ac:dyDescent="0.2">
      <c r="F20" t="s">
        <v>49</v>
      </c>
      <c r="G20" s="7" t="str">
        <f>IF(G18&gt;G19,"BUY","SELL")</f>
        <v>BUY</v>
      </c>
    </row>
    <row r="21" spans="1:9" x14ac:dyDescent="0.2">
      <c r="F21" t="s">
        <v>65</v>
      </c>
      <c r="G21" s="30">
        <f>G18/G19-1</f>
        <v>0.13125620804201965</v>
      </c>
    </row>
    <row r="22" spans="1:9" ht="24" x14ac:dyDescent="0.3">
      <c r="A22" s="9"/>
    </row>
    <row r="28" spans="1:9" x14ac:dyDescent="0.2">
      <c r="G28" s="45">
        <v>1</v>
      </c>
      <c r="H28" s="45">
        <v>2</v>
      </c>
      <c r="I28" s="45">
        <v>3</v>
      </c>
    </row>
    <row r="29" spans="1:9" x14ac:dyDescent="0.2">
      <c r="B29" s="2">
        <v>2015</v>
      </c>
      <c r="C29" s="2">
        <v>2016</v>
      </c>
      <c r="D29" s="2">
        <v>2017</v>
      </c>
      <c r="E29" s="2">
        <v>2018</v>
      </c>
      <c r="F29" s="2">
        <v>2019</v>
      </c>
      <c r="G29" s="2">
        <v>2020</v>
      </c>
      <c r="H29" s="2">
        <v>2021</v>
      </c>
      <c r="I29" s="2" t="s">
        <v>2</v>
      </c>
    </row>
    <row r="30" spans="1:9" ht="17" thickBot="1" x14ac:dyDescent="0.25">
      <c r="A30" t="s">
        <v>3</v>
      </c>
      <c r="B30" s="48">
        <f>B8</f>
        <v>972</v>
      </c>
      <c r="C30" s="48">
        <f>C8</f>
        <v>1372</v>
      </c>
      <c r="D30" s="48">
        <f>D8</f>
        <v>1455</v>
      </c>
      <c r="E30" s="48">
        <f>E8</f>
        <v>1585</v>
      </c>
      <c r="F30" s="48">
        <f>F8</f>
        <v>1428</v>
      </c>
      <c r="G30" s="23">
        <f>F30*(1+G31)</f>
        <v>1593.0452811285086</v>
      </c>
      <c r="H30" s="23">
        <f>G30*(1+H31)</f>
        <v>1777.1661538696139</v>
      </c>
      <c r="I30" s="23">
        <f>(H30*(1+I31))/(B4-I31)</f>
        <v>33390.522974478197</v>
      </c>
    </row>
    <row r="31" spans="1:9" ht="17" thickTop="1" x14ac:dyDescent="0.2">
      <c r="A31" t="s">
        <v>4</v>
      </c>
      <c r="B31" s="3"/>
      <c r="C31" s="25">
        <f>C30/B30-1</f>
        <v>0.41152263374485587</v>
      </c>
      <c r="D31" s="25">
        <f>D30/C30-1</f>
        <v>6.0495626822157478E-2</v>
      </c>
      <c r="E31" s="25">
        <f>E30/D30-1</f>
        <v>8.9347079037800592E-2</v>
      </c>
      <c r="F31" s="25">
        <f>F30/E30-1</f>
        <v>-9.9053627760252394E-2</v>
      </c>
      <c r="G31" s="44">
        <f>AVERAGE(C31:F31)</f>
        <v>0.11557792796114039</v>
      </c>
      <c r="H31" s="44">
        <f>G31</f>
        <v>0.11557792796114039</v>
      </c>
      <c r="I31" s="24">
        <v>2.5000000000000001E-2</v>
      </c>
    </row>
    <row r="32" spans="1:9" x14ac:dyDescent="0.2">
      <c r="A32" t="s">
        <v>12</v>
      </c>
      <c r="B32" s="4"/>
      <c r="C32" s="4"/>
      <c r="D32" s="4"/>
      <c r="E32" s="4"/>
      <c r="F32" s="4"/>
      <c r="G32" s="23">
        <f>G30/(1+$B$4)^G28</f>
        <v>1475.6509594478532</v>
      </c>
      <c r="H32" s="23">
        <f t="shared" ref="H32:I32" si="3">H30/(1+$B$4)^H28</f>
        <v>1524.8919846774295</v>
      </c>
      <c r="I32" s="23">
        <f t="shared" si="3"/>
        <v>26539.320143952857</v>
      </c>
    </row>
    <row r="35" spans="6:9" x14ac:dyDescent="0.2">
      <c r="F35" t="s">
        <v>5</v>
      </c>
      <c r="G35" s="26">
        <f>SUM(G32:I32)</f>
        <v>29539.863088078138</v>
      </c>
    </row>
    <row r="36" spans="6:9" ht="17" thickBot="1" x14ac:dyDescent="0.25">
      <c r="F36" t="s">
        <v>6</v>
      </c>
      <c r="G36" s="47">
        <f>G14</f>
        <v>996</v>
      </c>
    </row>
    <row r="37" spans="6:9" ht="18" thickTop="1" thickBot="1" x14ac:dyDescent="0.25">
      <c r="F37" t="s">
        <v>7</v>
      </c>
      <c r="G37" s="47">
        <f>G15</f>
        <v>5735</v>
      </c>
    </row>
    <row r="38" spans="6:9" ht="17" thickTop="1" x14ac:dyDescent="0.2">
      <c r="F38" s="5" t="s">
        <v>8</v>
      </c>
      <c r="G38" s="28">
        <f>G35-G36+G37</f>
        <v>34278.863088078142</v>
      </c>
    </row>
    <row r="39" spans="6:9" ht="17" thickBot="1" x14ac:dyDescent="0.25">
      <c r="F39" t="s">
        <v>9</v>
      </c>
      <c r="G39" s="49">
        <f>G17</f>
        <v>288.70999999999998</v>
      </c>
      <c r="I39" s="15"/>
    </row>
    <row r="40" spans="6:9" ht="17" thickTop="1" x14ac:dyDescent="0.2">
      <c r="F40" s="6" t="s">
        <v>10</v>
      </c>
      <c r="G40" s="28">
        <f>G38/G39</f>
        <v>118.73112496303607</v>
      </c>
    </row>
    <row r="41" spans="6:9" ht="17" thickBot="1" x14ac:dyDescent="0.25">
      <c r="F41" t="s">
        <v>11</v>
      </c>
      <c r="G41" s="48">
        <f>G19</f>
        <v>135.46</v>
      </c>
    </row>
    <row r="42" spans="6:9" ht="17" thickTop="1" x14ac:dyDescent="0.2">
      <c r="F42" t="s">
        <v>49</v>
      </c>
      <c r="G42" s="7" t="str">
        <f>IF(G40&gt;G41,"BUY","SELL")</f>
        <v>SELL</v>
      </c>
    </row>
    <row r="43" spans="6:9" x14ac:dyDescent="0.2">
      <c r="F43" t="s">
        <v>65</v>
      </c>
      <c r="G43" s="30">
        <f>G40/G41-1</f>
        <v>-0.12349678899279448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76D-684B-4D49-8C78-6D3FB9463DA7}">
  <dimension ref="A1:K17"/>
  <sheetViews>
    <sheetView zoomScaleNormal="100" workbookViewId="0">
      <selection activeCell="D27" sqref="D27"/>
    </sheetView>
  </sheetViews>
  <sheetFormatPr baseColWidth="10" defaultRowHeight="16" x14ac:dyDescent="0.2"/>
  <cols>
    <col min="1" max="2" width="10.83203125" style="51"/>
    <col min="3" max="4" width="13.33203125" style="51" bestFit="1" customWidth="1"/>
    <col min="5" max="5" width="9" style="51" bestFit="1" customWidth="1"/>
    <col min="6" max="6" width="12.6640625" style="51" bestFit="1" customWidth="1"/>
    <col min="7" max="7" width="9" style="51" bestFit="1" customWidth="1"/>
    <col min="8" max="8" width="9.1640625" style="51" bestFit="1" customWidth="1"/>
    <col min="9" max="9" width="9" style="51" bestFit="1" customWidth="1"/>
    <col min="10" max="11" width="10.83203125" style="51"/>
    <col min="12" max="12" width="9" style="51" customWidth="1"/>
    <col min="13" max="13" width="10.83203125" style="51" customWidth="1"/>
    <col min="14" max="16384" width="10.83203125" style="51"/>
  </cols>
  <sheetData>
    <row r="1" spans="1:11" ht="20" x14ac:dyDescent="0.25">
      <c r="A1" s="179" t="s">
        <v>104</v>
      </c>
      <c r="B1" s="180"/>
      <c r="C1" s="180"/>
      <c r="D1" s="180"/>
      <c r="E1" s="180"/>
      <c r="F1" s="180"/>
      <c r="G1" s="180"/>
      <c r="H1" s="180"/>
      <c r="I1" s="180"/>
      <c r="J1" s="180"/>
      <c r="K1" s="181"/>
    </row>
    <row r="2" spans="1:11" ht="17" thickBot="1" x14ac:dyDescent="0.25">
      <c r="A2" s="182" t="s">
        <v>105</v>
      </c>
      <c r="B2" s="183"/>
      <c r="C2" s="183"/>
      <c r="D2" s="183"/>
      <c r="E2" s="183"/>
      <c r="F2" s="183"/>
      <c r="G2" s="183"/>
      <c r="H2" s="183"/>
      <c r="I2" s="183"/>
      <c r="J2" s="183"/>
      <c r="K2" s="184"/>
    </row>
    <row r="3" spans="1:11" ht="18" thickTop="1" thickBot="1" x14ac:dyDescent="0.25">
      <c r="A3" s="54"/>
      <c r="K3" s="55"/>
    </row>
    <row r="4" spans="1:11" ht="17" thickBot="1" x14ac:dyDescent="0.25">
      <c r="A4" s="54"/>
      <c r="C4" s="51" t="s">
        <v>0</v>
      </c>
      <c r="D4" s="138" t="str">
        <f>DCF!B3</f>
        <v>EA</v>
      </c>
      <c r="K4" s="55"/>
    </row>
    <row r="5" spans="1:11" x14ac:dyDescent="0.2">
      <c r="A5" s="54"/>
      <c r="K5" s="55"/>
    </row>
    <row r="6" spans="1:11" x14ac:dyDescent="0.2">
      <c r="A6" s="54"/>
      <c r="K6" s="55"/>
    </row>
    <row r="7" spans="1:11" x14ac:dyDescent="0.2">
      <c r="A7" s="54"/>
      <c r="K7" s="55"/>
    </row>
    <row r="8" spans="1:11" x14ac:dyDescent="0.2">
      <c r="A8" s="54"/>
      <c r="E8" s="140">
        <v>2020</v>
      </c>
      <c r="F8" s="140">
        <v>2019</v>
      </c>
      <c r="G8" s="140">
        <v>2018</v>
      </c>
      <c r="H8" s="140">
        <v>2017</v>
      </c>
      <c r="I8" s="140">
        <v>2016</v>
      </c>
      <c r="K8" s="55"/>
    </row>
    <row r="9" spans="1:11" x14ac:dyDescent="0.2">
      <c r="A9" s="54"/>
      <c r="D9" s="51" t="s">
        <v>100</v>
      </c>
      <c r="E9" s="33">
        <v>317.05</v>
      </c>
      <c r="F9" s="33">
        <v>298.45999999999998</v>
      </c>
      <c r="G9" s="33">
        <v>275.42</v>
      </c>
      <c r="H9" s="33">
        <v>240.55</v>
      </c>
      <c r="I9" s="33">
        <v>209.66</v>
      </c>
      <c r="K9" s="55"/>
    </row>
    <row r="10" spans="1:11" x14ac:dyDescent="0.2">
      <c r="A10" s="54"/>
      <c r="D10" s="51" t="s">
        <v>101</v>
      </c>
      <c r="E10" s="33">
        <v>10.3</v>
      </c>
      <c r="F10" s="33">
        <v>3.33</v>
      </c>
      <c r="G10" s="33">
        <v>3.34</v>
      </c>
      <c r="H10" s="33">
        <v>3.08</v>
      </c>
      <c r="I10" s="33">
        <v>3.5</v>
      </c>
      <c r="K10" s="55"/>
    </row>
    <row r="11" spans="1:11" s="102" customFormat="1" x14ac:dyDescent="0.2">
      <c r="A11" s="111"/>
      <c r="D11" s="102" t="s">
        <v>102</v>
      </c>
      <c r="E11" s="38">
        <f>E9/E10</f>
        <v>30.78155339805825</v>
      </c>
      <c r="F11" s="38">
        <f t="shared" ref="F11:I11" si="0">F9/F10</f>
        <v>89.627627627627618</v>
      </c>
      <c r="G11" s="38">
        <f t="shared" si="0"/>
        <v>82.46107784431139</v>
      </c>
      <c r="H11" s="38">
        <f t="shared" si="0"/>
        <v>78.100649350649348</v>
      </c>
      <c r="I11" s="38">
        <f t="shared" si="0"/>
        <v>59.902857142857144</v>
      </c>
      <c r="K11" s="115"/>
    </row>
    <row r="12" spans="1:11" x14ac:dyDescent="0.2">
      <c r="A12" s="54"/>
      <c r="K12" s="55"/>
    </row>
    <row r="13" spans="1:11" ht="17" thickBot="1" x14ac:dyDescent="0.25">
      <c r="A13" s="54"/>
      <c r="K13" s="55"/>
    </row>
    <row r="14" spans="1:11" x14ac:dyDescent="0.2">
      <c r="A14" s="54"/>
      <c r="F14" s="129" t="s">
        <v>103</v>
      </c>
      <c r="G14" s="170">
        <f>AVERAGE(E11:I11)</f>
        <v>68.174753072700753</v>
      </c>
      <c r="H14" s="52"/>
      <c r="I14" s="53"/>
      <c r="K14" s="55"/>
    </row>
    <row r="15" spans="1:11" x14ac:dyDescent="0.2">
      <c r="A15" s="54"/>
      <c r="F15" s="54" t="s">
        <v>101</v>
      </c>
      <c r="G15" s="38">
        <f>E10</f>
        <v>10.3</v>
      </c>
      <c r="H15" s="51" t="s">
        <v>49</v>
      </c>
      <c r="I15" s="55" t="s">
        <v>65</v>
      </c>
      <c r="K15" s="55"/>
    </row>
    <row r="16" spans="1:11" x14ac:dyDescent="0.2">
      <c r="A16" s="54"/>
      <c r="F16" s="54" t="s">
        <v>55</v>
      </c>
      <c r="G16" s="139">
        <f>G14*G15</f>
        <v>702.19995664881776</v>
      </c>
      <c r="H16" s="141" t="str">
        <f>IF(G17&gt;G18,"BUY","SELL")</f>
        <v>BUY</v>
      </c>
      <c r="I16" s="171">
        <f>G16/G17-1</f>
        <v>1.2147924827277015</v>
      </c>
      <c r="K16" s="55"/>
    </row>
    <row r="17" spans="1:11" ht="17" thickBot="1" x14ac:dyDescent="0.25">
      <c r="A17" s="56"/>
      <c r="B17" s="57"/>
      <c r="C17" s="57"/>
      <c r="D17" s="57"/>
      <c r="E17" s="57"/>
      <c r="F17" s="56" t="s">
        <v>11</v>
      </c>
      <c r="G17" s="142">
        <f>E9</f>
        <v>317.05</v>
      </c>
      <c r="H17" s="57"/>
      <c r="I17" s="58"/>
      <c r="J17" s="57"/>
      <c r="K17" s="58"/>
    </row>
  </sheetData>
  <mergeCells count="2">
    <mergeCell ref="A1:K1"/>
    <mergeCell ref="A2:K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9A64-F9D3-2E4F-BB13-C1BA10D7E292}">
  <dimension ref="A3:L28"/>
  <sheetViews>
    <sheetView workbookViewId="0">
      <selection activeCell="B7" sqref="B7:L10"/>
    </sheetView>
  </sheetViews>
  <sheetFormatPr baseColWidth="10" defaultRowHeight="16" x14ac:dyDescent="0.2"/>
  <cols>
    <col min="2" max="2" width="13.5" bestFit="1" customWidth="1"/>
    <col min="3" max="3" width="10.6640625" bestFit="1" customWidth="1"/>
    <col min="4" max="4" width="13" bestFit="1" customWidth="1"/>
    <col min="5" max="5" width="10.6640625" bestFit="1" customWidth="1"/>
    <col min="6" max="6" width="27" bestFit="1" customWidth="1"/>
    <col min="7" max="7" width="11.1640625" bestFit="1" customWidth="1"/>
    <col min="8" max="8" width="13.5" bestFit="1" customWidth="1"/>
    <col min="9" max="9" width="10.6640625" bestFit="1" customWidth="1"/>
    <col min="10" max="10" width="13.5" bestFit="1" customWidth="1"/>
    <col min="11" max="11" width="10.6640625" bestFit="1" customWidth="1"/>
    <col min="12" max="12" width="13.5" bestFit="1" customWidth="1"/>
  </cols>
  <sheetData>
    <row r="3" spans="1:12" x14ac:dyDescent="0.2">
      <c r="A3" t="s">
        <v>0</v>
      </c>
      <c r="B3" s="31" t="str">
        <f>DCF!B3</f>
        <v>EA</v>
      </c>
    </row>
    <row r="6" spans="1:12" s="15" customFormat="1" x14ac:dyDescent="0.2">
      <c r="B6" s="15" t="s">
        <v>38</v>
      </c>
      <c r="D6" s="15" t="s">
        <v>43</v>
      </c>
      <c r="F6" s="15" t="s">
        <v>39</v>
      </c>
      <c r="H6" s="15" t="s">
        <v>44</v>
      </c>
      <c r="J6" s="15" t="s">
        <v>40</v>
      </c>
      <c r="L6" s="15" t="s">
        <v>41</v>
      </c>
    </row>
    <row r="7" spans="1:12" x14ac:dyDescent="0.2">
      <c r="B7" s="33"/>
      <c r="C7" s="34"/>
      <c r="D7" s="33"/>
      <c r="E7" s="34"/>
      <c r="F7" s="33"/>
      <c r="G7" s="34"/>
      <c r="H7" s="33"/>
      <c r="I7" s="34"/>
      <c r="J7" s="33"/>
      <c r="L7" s="33"/>
    </row>
    <row r="8" spans="1:12" x14ac:dyDescent="0.2">
      <c r="B8" s="33"/>
      <c r="C8" s="34"/>
      <c r="D8" s="33"/>
      <c r="E8" s="34"/>
      <c r="F8" s="33"/>
      <c r="G8" s="34"/>
      <c r="H8" s="33"/>
      <c r="I8" s="34"/>
      <c r="J8" s="33"/>
      <c r="L8" s="33"/>
    </row>
    <row r="9" spans="1:12" x14ac:dyDescent="0.2">
      <c r="B9" s="33"/>
      <c r="C9" s="34"/>
      <c r="D9" s="33"/>
      <c r="E9" s="34"/>
      <c r="F9" s="33"/>
      <c r="G9" s="34"/>
      <c r="H9" s="33"/>
      <c r="I9" s="34"/>
      <c r="J9" s="33"/>
      <c r="L9" s="33"/>
    </row>
    <row r="10" spans="1:12" x14ac:dyDescent="0.2">
      <c r="B10" s="33"/>
      <c r="C10" s="34"/>
      <c r="D10" s="33"/>
      <c r="E10" s="34"/>
      <c r="F10" s="33"/>
      <c r="G10" s="34"/>
      <c r="H10" s="33"/>
      <c r="I10" s="34"/>
      <c r="J10" s="33"/>
      <c r="L10" s="33"/>
    </row>
    <row r="11" spans="1:12" s="15" customFormat="1" x14ac:dyDescent="0.2">
      <c r="B11" s="36">
        <f>SUM(B7:B10)</f>
        <v>0</v>
      </c>
      <c r="C11" s="37"/>
      <c r="D11" s="36">
        <f>SUM(D7:D10)</f>
        <v>0</v>
      </c>
      <c r="E11" s="37"/>
      <c r="F11" s="36">
        <f>SUM(F7:F10)</f>
        <v>0</v>
      </c>
      <c r="G11" s="37"/>
      <c r="H11" s="36">
        <f>SUM(H7:H10)</f>
        <v>0</v>
      </c>
      <c r="I11" s="37"/>
      <c r="J11" s="36">
        <f>SUM(J7:J10)</f>
        <v>0</v>
      </c>
      <c r="L11" s="36">
        <f>SUM(L7:L10)</f>
        <v>0</v>
      </c>
    </row>
    <row r="14" spans="1:12" x14ac:dyDescent="0.2">
      <c r="C14" t="s">
        <v>42</v>
      </c>
      <c r="E14" t="s">
        <v>42</v>
      </c>
      <c r="G14" t="s">
        <v>42</v>
      </c>
      <c r="I14" t="s">
        <v>42</v>
      </c>
      <c r="K14" t="s">
        <v>42</v>
      </c>
    </row>
    <row r="15" spans="1:12" s="15" customFormat="1" x14ac:dyDescent="0.2">
      <c r="C15" s="13" t="e">
        <f>B11/D11-1</f>
        <v>#DIV/0!</v>
      </c>
      <c r="E15" s="13" t="e">
        <f>D11/F11-1</f>
        <v>#DIV/0!</v>
      </c>
      <c r="G15" s="13" t="e">
        <f>F11/H11-1</f>
        <v>#DIV/0!</v>
      </c>
      <c r="I15" s="13" t="e">
        <f>H11/J11-1</f>
        <v>#DIV/0!</v>
      </c>
      <c r="K15" s="13" t="e">
        <f>J11/L11-1</f>
        <v>#DIV/0!</v>
      </c>
    </row>
    <row r="19" spans="6:9" x14ac:dyDescent="0.2">
      <c r="F19" t="s">
        <v>45</v>
      </c>
      <c r="G19" s="35" t="e">
        <f>AVERAGE(C15,E15,G15,I15,K15)</f>
        <v>#DIV/0!</v>
      </c>
    </row>
    <row r="20" spans="6:9" x14ac:dyDescent="0.2">
      <c r="F20" t="s">
        <v>1</v>
      </c>
      <c r="G20" s="35">
        <f>WACC!B34</f>
        <v>7.9554261073079849E-2</v>
      </c>
    </row>
    <row r="23" spans="6:9" x14ac:dyDescent="0.2">
      <c r="F23" t="s">
        <v>46</v>
      </c>
      <c r="G23" s="38" t="e">
        <f>B11*(1+G19)</f>
        <v>#DIV/0!</v>
      </c>
    </row>
    <row r="24" spans="6:9" x14ac:dyDescent="0.2">
      <c r="F24" t="s">
        <v>47</v>
      </c>
      <c r="G24" s="18" t="e">
        <f>G20-G19</f>
        <v>#DIV/0!</v>
      </c>
    </row>
    <row r="26" spans="6:9" x14ac:dyDescent="0.2">
      <c r="H26" s="15" t="s">
        <v>49</v>
      </c>
      <c r="I26" s="15" t="s">
        <v>50</v>
      </c>
    </row>
    <row r="27" spans="6:9" x14ac:dyDescent="0.2">
      <c r="F27" t="s">
        <v>48</v>
      </c>
      <c r="G27" s="38" t="e">
        <f>G23/G24</f>
        <v>#DIV/0!</v>
      </c>
      <c r="H27" s="32" t="e">
        <f>IF(G27&gt;H28,"BUY","SELL")</f>
        <v>#DIV/0!</v>
      </c>
      <c r="I27" s="21" t="e">
        <f>G27/G28-1</f>
        <v>#DIV/0!</v>
      </c>
    </row>
    <row r="28" spans="6:9" x14ac:dyDescent="0.2">
      <c r="F28" t="s">
        <v>11</v>
      </c>
      <c r="G28" s="33">
        <f>DCF!G19</f>
        <v>135.46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46D2-2C64-6149-8FCA-8B28725D91F1}">
  <dimension ref="B2:F14"/>
  <sheetViews>
    <sheetView workbookViewId="0">
      <selection activeCell="C15" sqref="C15"/>
    </sheetView>
  </sheetViews>
  <sheetFormatPr baseColWidth="10" defaultRowHeight="16" x14ac:dyDescent="0.2"/>
  <cols>
    <col min="1" max="1" width="10.83203125" style="51"/>
    <col min="2" max="2" width="14.33203125" style="51" bestFit="1" customWidth="1"/>
    <col min="3" max="3" width="9" style="51" bestFit="1" customWidth="1"/>
    <col min="4" max="4" width="9.1640625" style="51" bestFit="1" customWidth="1"/>
    <col min="5" max="5" width="8.33203125" style="51" bestFit="1" customWidth="1"/>
    <col min="6" max="6" width="7.33203125" style="51" bestFit="1" customWidth="1"/>
    <col min="7" max="16384" width="10.83203125" style="51"/>
  </cols>
  <sheetData>
    <row r="2" spans="2:6" ht="17" thickBot="1" x14ac:dyDescent="0.25"/>
    <row r="3" spans="2:6" ht="24" x14ac:dyDescent="0.3">
      <c r="B3" s="80" t="s">
        <v>66</v>
      </c>
      <c r="C3" s="52"/>
      <c r="D3" s="52"/>
      <c r="E3" s="52"/>
      <c r="F3" s="53"/>
    </row>
    <row r="4" spans="2:6" x14ac:dyDescent="0.2">
      <c r="B4" s="81" t="s">
        <v>0</v>
      </c>
      <c r="C4" s="68" t="str">
        <f>DCF!B3</f>
        <v>EA</v>
      </c>
      <c r="F4" s="55"/>
    </row>
    <row r="5" spans="2:6" x14ac:dyDescent="0.2">
      <c r="B5" s="54"/>
      <c r="F5" s="55"/>
    </row>
    <row r="6" spans="2:6" x14ac:dyDescent="0.2">
      <c r="B6" s="73" t="s">
        <v>53</v>
      </c>
      <c r="C6" s="78">
        <v>10.3</v>
      </c>
      <c r="F6" s="55"/>
    </row>
    <row r="7" spans="2:6" x14ac:dyDescent="0.2">
      <c r="B7" s="73" t="s">
        <v>67</v>
      </c>
      <c r="C7" s="70">
        <v>7</v>
      </c>
      <c r="F7" s="55"/>
    </row>
    <row r="8" spans="2:6" x14ac:dyDescent="0.2">
      <c r="B8" s="73" t="s">
        <v>68</v>
      </c>
      <c r="C8" s="79">
        <v>0.1032</v>
      </c>
      <c r="F8" s="55"/>
    </row>
    <row r="9" spans="2:6" x14ac:dyDescent="0.2">
      <c r="B9" s="73" t="s">
        <v>69</v>
      </c>
      <c r="C9" s="70">
        <v>1</v>
      </c>
      <c r="F9" s="55"/>
    </row>
    <row r="10" spans="2:6" x14ac:dyDescent="0.2">
      <c r="B10" s="73" t="s">
        <v>70</v>
      </c>
      <c r="C10" s="70">
        <v>4.4000000000000004</v>
      </c>
      <c r="F10" s="55"/>
    </row>
    <row r="11" spans="2:6" x14ac:dyDescent="0.2">
      <c r="B11" s="73" t="s">
        <v>71</v>
      </c>
      <c r="C11" s="67">
        <v>2.41</v>
      </c>
      <c r="F11" s="55"/>
    </row>
    <row r="12" spans="2:6" x14ac:dyDescent="0.2">
      <c r="B12" s="54"/>
      <c r="F12" s="55"/>
    </row>
    <row r="13" spans="2:6" ht="17" thickBot="1" x14ac:dyDescent="0.25">
      <c r="B13" s="73" t="s">
        <v>55</v>
      </c>
      <c r="C13" s="65">
        <f>(C6*(C7+(C9*C8))*C10)/C11</f>
        <v>133.57552863070543</v>
      </c>
      <c r="D13" s="93" t="s">
        <v>49</v>
      </c>
      <c r="E13" s="93" t="s">
        <v>50</v>
      </c>
      <c r="F13" s="55"/>
    </row>
    <row r="14" spans="2:6" ht="17" thickBot="1" x14ac:dyDescent="0.25">
      <c r="B14" s="88" t="s">
        <v>11</v>
      </c>
      <c r="C14" s="77">
        <f>'ADV. DCF'!B26</f>
        <v>135.46</v>
      </c>
      <c r="D14" s="91" t="str">
        <f>IF(C13&gt;C14,"BUY","SELL")</f>
        <v>SELL</v>
      </c>
      <c r="E14" s="94">
        <f>C13/C14-1</f>
        <v>-1.3911644539307377E-2</v>
      </c>
      <c r="F14" s="5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641E-E9FE-D34D-9840-C1DBD9A23BFB}">
  <dimension ref="B1:E10"/>
  <sheetViews>
    <sheetView workbookViewId="0">
      <selection activeCell="C11" sqref="C11"/>
    </sheetView>
  </sheetViews>
  <sheetFormatPr baseColWidth="10" defaultRowHeight="16" x14ac:dyDescent="0.2"/>
  <cols>
    <col min="1" max="2" width="13.33203125" style="51" bestFit="1" customWidth="1"/>
    <col min="3" max="3" width="9" style="51" bestFit="1" customWidth="1"/>
    <col min="4" max="4" width="9.6640625" style="51" bestFit="1" customWidth="1"/>
    <col min="5" max="5" width="7.33203125" style="51" bestFit="1" customWidth="1"/>
    <col min="6" max="16384" width="10.83203125" style="51"/>
  </cols>
  <sheetData>
    <row r="1" spans="2:5" ht="17" thickBot="1" x14ac:dyDescent="0.25"/>
    <row r="2" spans="2:5" ht="20" x14ac:dyDescent="0.25">
      <c r="B2" s="89" t="s">
        <v>51</v>
      </c>
      <c r="C2" s="52"/>
      <c r="D2" s="52"/>
      <c r="E2" s="53"/>
    </row>
    <row r="3" spans="2:5" x14ac:dyDescent="0.2">
      <c r="B3" s="81" t="s">
        <v>0</v>
      </c>
      <c r="C3" s="67" t="str">
        <f>DCF!B3</f>
        <v>EA</v>
      </c>
      <c r="E3" s="55"/>
    </row>
    <row r="4" spans="2:5" x14ac:dyDescent="0.2">
      <c r="B4" s="54"/>
      <c r="E4" s="55"/>
    </row>
    <row r="5" spans="2:5" x14ac:dyDescent="0.2">
      <c r="B5" s="73" t="s">
        <v>52</v>
      </c>
      <c r="C5" s="70">
        <v>22.5</v>
      </c>
      <c r="E5" s="55"/>
    </row>
    <row r="6" spans="2:5" x14ac:dyDescent="0.2">
      <c r="B6" s="73" t="s">
        <v>53</v>
      </c>
      <c r="C6" s="78">
        <f>'Graham Intrinsic Model'!C6</f>
        <v>10.3</v>
      </c>
      <c r="E6" s="55"/>
    </row>
    <row r="7" spans="2:5" x14ac:dyDescent="0.2">
      <c r="B7" s="73" t="s">
        <v>54</v>
      </c>
      <c r="C7" s="78">
        <v>25.87</v>
      </c>
      <c r="E7" s="55"/>
    </row>
    <row r="8" spans="2:5" x14ac:dyDescent="0.2">
      <c r="B8" s="54"/>
      <c r="E8" s="55"/>
    </row>
    <row r="9" spans="2:5" ht="17" thickBot="1" x14ac:dyDescent="0.25">
      <c r="B9" s="73" t="s">
        <v>55</v>
      </c>
      <c r="C9" s="87">
        <f>SQRT(C5*C6*C7)</f>
        <v>77.429790778485255</v>
      </c>
      <c r="D9" s="93" t="s">
        <v>56</v>
      </c>
      <c r="E9" s="97" t="s">
        <v>50</v>
      </c>
    </row>
    <row r="10" spans="2:5" ht="17" thickBot="1" x14ac:dyDescent="0.25">
      <c r="B10" s="88" t="s">
        <v>11</v>
      </c>
      <c r="C10" s="77">
        <f>'ADV. DCF'!B26</f>
        <v>135.46</v>
      </c>
      <c r="D10" s="91" t="str">
        <f>IF(C9&gt;C10,"BUY","SELL")</f>
        <v>SELL</v>
      </c>
      <c r="E10" s="92">
        <f>C9/C10-1</f>
        <v>-0.42839368980890857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CBEC-545C-6A45-9126-B70FB8C583E8}">
  <dimension ref="B1:C8"/>
  <sheetViews>
    <sheetView workbookViewId="0">
      <selection activeCell="C10" sqref="C10"/>
    </sheetView>
  </sheetViews>
  <sheetFormatPr baseColWidth="10" defaultRowHeight="16" x14ac:dyDescent="0.2"/>
  <cols>
    <col min="1" max="2" width="13.33203125" style="51" bestFit="1" customWidth="1"/>
    <col min="3" max="3" width="13.83203125" style="51" bestFit="1" customWidth="1"/>
    <col min="4" max="16384" width="10.83203125" style="51"/>
  </cols>
  <sheetData>
    <row r="1" spans="2:3" ht="17" thickBot="1" x14ac:dyDescent="0.25"/>
    <row r="2" spans="2:3" ht="20" x14ac:dyDescent="0.25">
      <c r="B2" s="89" t="s">
        <v>60</v>
      </c>
      <c r="C2" s="53"/>
    </row>
    <row r="3" spans="2:3" x14ac:dyDescent="0.2">
      <c r="B3" s="81" t="s">
        <v>0</v>
      </c>
      <c r="C3" s="82" t="str">
        <f>DCF!B3</f>
        <v>EA</v>
      </c>
    </row>
    <row r="4" spans="2:3" x14ac:dyDescent="0.2">
      <c r="B4" s="54"/>
      <c r="C4" s="55"/>
    </row>
    <row r="5" spans="2:3" x14ac:dyDescent="0.2">
      <c r="B5" s="83" t="s">
        <v>57</v>
      </c>
      <c r="C5" s="84">
        <v>13.15</v>
      </c>
    </row>
    <row r="6" spans="2:3" x14ac:dyDescent="0.2">
      <c r="B6" s="83" t="s">
        <v>58</v>
      </c>
      <c r="C6" s="85">
        <f>1/C5</f>
        <v>7.6045627376425853E-2</v>
      </c>
    </row>
    <row r="7" spans="2:3" ht="17" thickBot="1" x14ac:dyDescent="0.25">
      <c r="B7" s="83" t="s">
        <v>59</v>
      </c>
      <c r="C7" s="86">
        <v>5.8700000000000002E-3</v>
      </c>
    </row>
    <row r="8" spans="2:3" ht="17" thickBot="1" x14ac:dyDescent="0.25">
      <c r="B8" s="95" t="s">
        <v>84</v>
      </c>
      <c r="C8" s="96" t="str">
        <f>IF(C6&lt;C7,"UNDERVALUED","OVERVALUED")</f>
        <v>OVERVALUED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 Financials</vt:lpstr>
      <vt:lpstr>WACC</vt:lpstr>
      <vt:lpstr>ADV. DCF</vt:lpstr>
      <vt:lpstr>DCF</vt:lpstr>
      <vt:lpstr>FWD PE</vt:lpstr>
      <vt:lpstr>Dividend Discount</vt:lpstr>
      <vt:lpstr>Graham Intrinsic Model</vt:lpstr>
      <vt:lpstr>Graham Model</vt:lpstr>
      <vt:lpstr>Value Model</vt:lpstr>
      <vt:lpstr>EPS Multiplier Model</vt:lpstr>
      <vt:lpstr>SUMMARY</vt:lpstr>
      <vt:lpstr>Notes</vt:lpstr>
      <vt:lpstr>formulas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2020-05-31T00:16:36Z</dcterms:created>
  <dcterms:modified xsi:type="dcterms:W3CDTF">2023-09-04T18:53:43Z</dcterms:modified>
</cp:coreProperties>
</file>