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Users\arash\Desktop\"/>
    </mc:Choice>
  </mc:AlternateContent>
  <xr:revisionPtr revIDLastSave="0" documentId="8_{5A9DB1DE-4C2C-4401-B5B6-4A8F8560BED6}" xr6:coauthVersionLast="47" xr6:coauthVersionMax="47" xr10:uidLastSave="{00000000-0000-0000-0000-000000000000}"/>
  <bookViews>
    <workbookView xWindow="-98" yWindow="-98" windowWidth="21795" windowHeight="13875" tabRatio="838" firstSheet="4" activeTab="10" xr2:uid="{00000000-000D-0000-FFFF-FFFF00000000}"/>
  </bookViews>
  <sheets>
    <sheet name="فروش كالا و خدمات" sheetId="28" r:id="rId1"/>
    <sheet name="summary" sheetId="25" state="hidden" r:id="rId2"/>
    <sheet name="summary-2" sheetId="26" r:id="rId3"/>
    <sheet name="summary-Adjustment" sheetId="27" r:id="rId4"/>
    <sheet name="خلاصه متره کارکرد" sheetId="33" r:id="rId5"/>
    <sheet name="خلاصه مالي صورت وضعیت" sheetId="17" r:id="rId6"/>
    <sheet name="جمع بندي صورت وضعیت" sheetId="8" state="hidden" r:id="rId7"/>
    <sheet name="سازمان دهی و برنامه ریزی پروژه" sheetId="20" r:id="rId8"/>
    <sheet name="بیمه نامه ها" sheetId="2" r:id="rId9"/>
    <sheet name="تجهیز کارگاه اولیه" sheetId="19" r:id="rId10"/>
    <sheet name="تجهیز کارگاه مستمر" sheetId="9" r:id="rId11"/>
    <sheet name="خدمات طراحي  مهندسي پیش از اجرا" sheetId="18" r:id="rId12"/>
    <sheet name="خدمات طراحي و مهندسي حین اجرا" sheetId="10" r:id="rId13"/>
    <sheet name="خدمات مهندسي حين اجرا" sheetId="16" state="hidden" r:id="rId14"/>
    <sheet name="خدمات تامین" sheetId="12" r:id="rId15"/>
    <sheet name="خدمات اجرایی " sheetId="23" r:id="rId16"/>
    <sheet name="اختتامیه" sheetId="15" r:id="rId17"/>
    <sheet name="CBS" sheetId="22" state="hidden" r:id="rId18"/>
  </sheets>
  <externalReferences>
    <externalReference r:id="rId19"/>
    <externalReference r:id="rId20"/>
  </externalReferences>
  <definedNames>
    <definedName name="_xlnm._FilterDatabase" localSheetId="15" hidden="1">'خدمات اجرایی '!$C$6:$L$217</definedName>
    <definedName name="_xlnm._FilterDatabase" localSheetId="14" hidden="1">'خدمات تامین'!$B$6:$S$29</definedName>
    <definedName name="_xlnm.Print_Area" localSheetId="17">CBS!$A$1:$E$333</definedName>
    <definedName name="_xlnm.Print_Area" localSheetId="1">summary!$A$1:$R$43</definedName>
    <definedName name="_xlnm.Print_Area" localSheetId="2">'summary-2'!$A$1:$U$86</definedName>
    <definedName name="_xlnm.Print_Area" localSheetId="3">'summary-Adjustment'!$A$1:$U$71</definedName>
    <definedName name="_xlnm.Print_Area" localSheetId="16">اختتامیه!$A$1:$T$11</definedName>
    <definedName name="_xlnm.Print_Area" localSheetId="8">'بیمه نامه ها'!$A$1:$T$12</definedName>
    <definedName name="_xlnm.Print_Area" localSheetId="9">'تجهیز کارگاه اولیه'!$A$1:$T$20</definedName>
    <definedName name="_xlnm.Print_Area" localSheetId="10">'تجهیز کارگاه مستمر'!$A$1:$T$18</definedName>
    <definedName name="_xlnm.Print_Area" localSheetId="6">'جمع بندي صورت وضعیت'!$A$1:$O$29</definedName>
    <definedName name="_xlnm.Print_Area" localSheetId="15">'خدمات اجرایی '!$A$1:$T$216</definedName>
    <definedName name="_xlnm.Print_Area" localSheetId="14">'خدمات تامین'!$A$1:$T$27</definedName>
    <definedName name="_xlnm.Print_Area" localSheetId="11">'خدمات طراحي  مهندسي پیش از اجرا'!$A$1:$T$51</definedName>
    <definedName name="_xlnm.Print_Area" localSheetId="12">'خدمات طراحي و مهندسي حین اجرا'!$A$1:$T$15</definedName>
    <definedName name="_xlnm.Print_Area" localSheetId="13">'خدمات مهندسي حين اجرا'!$A$1:$O$33</definedName>
    <definedName name="_xlnm.Print_Area" localSheetId="5">'خلاصه مالي صورت وضعیت'!$A$1:$I$33</definedName>
    <definedName name="_xlnm.Print_Area" localSheetId="4">'خلاصه متره کارکرد'!$A$1:$M$18</definedName>
    <definedName name="_xlnm.Print_Area" localSheetId="7">'سازمان دهی و برنامه ریزی پروژه'!$A$1:$T$17</definedName>
    <definedName name="_xlnm.Print_Titles" localSheetId="17">CBS!$1:$5</definedName>
    <definedName name="_xlnm.Print_Titles" localSheetId="16">اختتامیه!$1:$7</definedName>
    <definedName name="_xlnm.Print_Titles" localSheetId="8">'بیمه نامه ها'!$1:$7</definedName>
    <definedName name="_xlnm.Print_Titles" localSheetId="9">'تجهیز کارگاه اولیه'!$1:$7</definedName>
    <definedName name="_xlnm.Print_Titles" localSheetId="10">'تجهیز کارگاه مستمر'!$1:$7</definedName>
    <definedName name="_xlnm.Print_Titles" localSheetId="15">'خدمات اجرایی '!$1:$7</definedName>
    <definedName name="_xlnm.Print_Titles" localSheetId="14">'خدمات تامین'!$1:$7</definedName>
    <definedName name="_xlnm.Print_Titles" localSheetId="11">'خدمات طراحي  مهندسي پیش از اجرا'!$1:$7</definedName>
    <definedName name="_xlnm.Print_Titles" localSheetId="5">'خلاصه مالي صورت وضعیت'!$1:$7</definedName>
    <definedName name="_xlnm.Print_Titles" localSheetId="4">'خلاصه متره کارکرد'!$1:$7</definedName>
    <definedName name="_xlnm.Print_Titles" localSheetId="7">'سازمان دهی و برنامه ریزی پروژه'!$1:$7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7" l="1"/>
  <c r="F32" i="17"/>
  <c r="F31" i="17"/>
  <c r="F29" i="17"/>
  <c r="F28" i="17"/>
  <c r="F27" i="17"/>
  <c r="F26" i="17"/>
  <c r="F25" i="17"/>
  <c r="F24" i="17"/>
  <c r="F23" i="17"/>
  <c r="F21" i="17"/>
  <c r="F20" i="17"/>
  <c r="F19" i="17"/>
  <c r="F18" i="17"/>
  <c r="F16" i="17"/>
  <c r="F15" i="17"/>
  <c r="F14" i="17" s="1"/>
  <c r="F13" i="17"/>
  <c r="F12" i="17"/>
  <c r="F10" i="17"/>
  <c r="F30" i="17"/>
  <c r="F17" i="17"/>
  <c r="I12" i="2"/>
  <c r="H12" i="2"/>
  <c r="G12" i="2"/>
  <c r="I11" i="2"/>
  <c r="H11" i="2"/>
  <c r="G11" i="2"/>
  <c r="I10" i="2"/>
  <c r="H10" i="2"/>
  <c r="G10" i="2"/>
  <c r="I9" i="2"/>
  <c r="H9" i="2"/>
  <c r="G9" i="2"/>
  <c r="I8" i="2"/>
  <c r="F11" i="17" s="1"/>
  <c r="H8" i="2"/>
  <c r="G8" i="2"/>
  <c r="F38" i="17"/>
  <c r="F22" i="17" l="1"/>
  <c r="F9" i="17"/>
  <c r="F8" i="17"/>
  <c r="P9" i="15" l="1"/>
  <c r="P10" i="15"/>
  <c r="P11" i="15"/>
  <c r="P8" i="15" l="1"/>
  <c r="G81" i="26"/>
  <c r="M23" i="26"/>
  <c r="J23" i="26" s="1"/>
  <c r="H15" i="33"/>
  <c r="C15" i="33"/>
  <c r="J203" i="23"/>
  <c r="J202" i="23"/>
  <c r="J137" i="23"/>
  <c r="J108" i="23"/>
  <c r="J43" i="23"/>
  <c r="J42" i="23"/>
  <c r="J39" i="23"/>
  <c r="I12" i="33"/>
  <c r="I13" i="33"/>
  <c r="C14" i="33"/>
  <c r="E14" i="33" s="1"/>
  <c r="L14" i="33" s="1"/>
  <c r="C13" i="33"/>
  <c r="E13" i="33" s="1"/>
  <c r="G13" i="33" s="1"/>
  <c r="C12" i="33"/>
  <c r="E12" i="33" s="1"/>
  <c r="C11" i="33"/>
  <c r="C10" i="33"/>
  <c r="E11" i="33"/>
  <c r="L11" i="33" s="1"/>
  <c r="E10" i="33"/>
  <c r="L10" i="33" s="1"/>
  <c r="E9" i="33"/>
  <c r="F9" i="33" s="1"/>
  <c r="K9" i="33" s="1"/>
  <c r="E15" i="33" l="1"/>
  <c r="I15" i="33"/>
  <c r="L15" i="33" s="1"/>
  <c r="F15" i="33"/>
  <c r="K15" i="33" s="1"/>
  <c r="L13" i="33"/>
  <c r="L9" i="33"/>
  <c r="G9" i="33"/>
  <c r="G11" i="33"/>
  <c r="J11" i="33" s="1"/>
  <c r="G10" i="33"/>
  <c r="J10" i="33" s="1"/>
  <c r="L12" i="33"/>
  <c r="J13" i="33"/>
  <c r="F13" i="33"/>
  <c r="K13" i="33" s="1"/>
  <c r="G12" i="33"/>
  <c r="J12" i="33" s="1"/>
  <c r="G14" i="33"/>
  <c r="J14" i="33" s="1"/>
  <c r="F12" i="33"/>
  <c r="K12" i="33" s="1"/>
  <c r="F14" i="33"/>
  <c r="K14" i="33" s="1"/>
  <c r="F10" i="33"/>
  <c r="K10" i="33" s="1"/>
  <c r="F11" i="33"/>
  <c r="K11" i="33" s="1"/>
  <c r="L216" i="23"/>
  <c r="J9" i="33" l="1"/>
  <c r="G15" i="33"/>
  <c r="J15" i="33" s="1"/>
  <c r="V83" i="26"/>
  <c r="G38" i="17" l="1"/>
  <c r="E43" i="23" l="1"/>
  <c r="K43" i="23" s="1"/>
  <c r="L43" i="23" s="1"/>
  <c r="G67" i="27"/>
  <c r="G64" i="27"/>
  <c r="G61" i="27"/>
  <c r="G58" i="27"/>
  <c r="G52" i="27"/>
  <c r="G49" i="27"/>
  <c r="G46" i="27"/>
  <c r="G43" i="27"/>
  <c r="G40" i="27"/>
  <c r="G37" i="27"/>
  <c r="G34" i="27"/>
  <c r="G31" i="27"/>
  <c r="G28" i="27"/>
  <c r="G19" i="27"/>
  <c r="G16" i="27"/>
  <c r="G82" i="26"/>
  <c r="R11" i="26"/>
  <c r="R11" i="27"/>
  <c r="E4" i="23"/>
  <c r="E4" i="12"/>
  <c r="E4" i="9"/>
  <c r="E4" i="2"/>
  <c r="E4" i="19"/>
  <c r="E4" i="20"/>
  <c r="P43" i="23" l="1"/>
  <c r="Q43" i="23" s="1"/>
  <c r="L169" i="23" l="1"/>
  <c r="Q21" i="23"/>
  <c r="Q22" i="23"/>
  <c r="K100" i="23"/>
  <c r="L100" i="23" s="1"/>
  <c r="K31" i="23"/>
  <c r="L31" i="23" s="1"/>
  <c r="G15" i="27"/>
  <c r="G18" i="27"/>
  <c r="M92" i="26" l="1"/>
  <c r="G92" i="26"/>
  <c r="J92" i="26"/>
  <c r="G90" i="26"/>
  <c r="J90" i="26"/>
  <c r="M90" i="26"/>
  <c r="G93" i="26" l="1"/>
  <c r="M93" i="26"/>
  <c r="J93" i="26"/>
  <c r="G66" i="27"/>
  <c r="G63" i="27"/>
  <c r="G60" i="27"/>
  <c r="G57" i="27"/>
  <c r="G51" i="27"/>
  <c r="G48" i="27"/>
  <c r="G45" i="27"/>
  <c r="G42" i="27"/>
  <c r="G39" i="27"/>
  <c r="G36" i="27"/>
  <c r="G33" i="27"/>
  <c r="G30" i="27"/>
  <c r="G27" i="27"/>
  <c r="M67" i="26" l="1"/>
  <c r="M66" i="26"/>
  <c r="M37" i="26"/>
  <c r="M36" i="26"/>
  <c r="M34" i="26"/>
  <c r="M33" i="26"/>
  <c r="M68" i="27" l="1"/>
  <c r="J68" i="27" s="1"/>
  <c r="M65" i="27"/>
  <c r="J65" i="27" s="1"/>
  <c r="M62" i="27"/>
  <c r="J62" i="27" s="1"/>
  <c r="M59" i="27"/>
  <c r="J59" i="27" s="1"/>
  <c r="M56" i="27"/>
  <c r="J56" i="27" s="1"/>
  <c r="M53" i="27"/>
  <c r="J53" i="27" s="1"/>
  <c r="M50" i="27"/>
  <c r="J50" i="27" s="1"/>
  <c r="M47" i="27"/>
  <c r="J47" i="27" s="1"/>
  <c r="M44" i="27"/>
  <c r="J44" i="27" s="1"/>
  <c r="M41" i="27"/>
  <c r="J41" i="27" s="1"/>
  <c r="M38" i="27"/>
  <c r="J38" i="27" s="1"/>
  <c r="M35" i="27"/>
  <c r="J35" i="27" s="1"/>
  <c r="M32" i="27"/>
  <c r="J32" i="27" s="1"/>
  <c r="M29" i="27"/>
  <c r="J29" i="27" s="1"/>
  <c r="M26" i="27"/>
  <c r="J26" i="27" s="1"/>
  <c r="M23" i="27"/>
  <c r="J23" i="27" s="1"/>
  <c r="J20" i="27"/>
  <c r="J17" i="27"/>
  <c r="Q5" i="27"/>
  <c r="O5" i="27"/>
  <c r="M5" i="27"/>
  <c r="K5" i="27"/>
  <c r="I5" i="27"/>
  <c r="F5" i="27"/>
  <c r="D5" i="27"/>
  <c r="A5" i="27"/>
  <c r="J83" i="26"/>
  <c r="J80" i="26"/>
  <c r="J77" i="26"/>
  <c r="J74" i="26"/>
  <c r="J71" i="26"/>
  <c r="J68" i="26"/>
  <c r="J66" i="26"/>
  <c r="J65" i="26"/>
  <c r="J62" i="26"/>
  <c r="J59" i="26"/>
  <c r="J56" i="26"/>
  <c r="J53" i="26"/>
  <c r="J50" i="26"/>
  <c r="J47" i="26"/>
  <c r="J44" i="26"/>
  <c r="J41" i="26"/>
  <c r="J38" i="26"/>
  <c r="M25" i="27"/>
  <c r="J25" i="27" s="1"/>
  <c r="J36" i="26"/>
  <c r="J35" i="26"/>
  <c r="M22" i="27"/>
  <c r="J22" i="27" s="1"/>
  <c r="J34" i="26"/>
  <c r="M21" i="27"/>
  <c r="J21" i="27" s="1"/>
  <c r="J26" i="26"/>
  <c r="J20" i="26"/>
  <c r="J17" i="26"/>
  <c r="J33" i="26" l="1"/>
  <c r="M24" i="27"/>
  <c r="J24" i="27" s="1"/>
  <c r="M54" i="27"/>
  <c r="J54" i="27" s="1"/>
  <c r="J37" i="26"/>
  <c r="D190" i="23" l="1"/>
  <c r="D101" i="23"/>
  <c r="D79" i="23"/>
  <c r="D62" i="23"/>
  <c r="D52" i="23"/>
  <c r="D32" i="23"/>
  <c r="D10" i="23"/>
  <c r="E123" i="23"/>
  <c r="K123" i="23" s="1"/>
  <c r="L123" i="23" s="1"/>
  <c r="E124" i="23"/>
  <c r="K124" i="23" s="1"/>
  <c r="L124" i="23" s="1"/>
  <c r="E125" i="23"/>
  <c r="K125" i="23" s="1"/>
  <c r="L125" i="23" s="1"/>
  <c r="E126" i="23"/>
  <c r="K126" i="23" s="1"/>
  <c r="L126" i="23" s="1"/>
  <c r="E127" i="23"/>
  <c r="K127" i="23" s="1"/>
  <c r="L127" i="23" s="1"/>
  <c r="E128" i="23"/>
  <c r="K128" i="23" s="1"/>
  <c r="L128" i="23" s="1"/>
  <c r="E129" i="23"/>
  <c r="K129" i="23" s="1"/>
  <c r="L129" i="23" s="1"/>
  <c r="E130" i="23"/>
  <c r="K130" i="23" s="1"/>
  <c r="L130" i="23" s="1"/>
  <c r="E122" i="23"/>
  <c r="K122" i="23" s="1"/>
  <c r="E103" i="23"/>
  <c r="K103" i="23" s="1"/>
  <c r="L103" i="23" s="1"/>
  <c r="E104" i="23"/>
  <c r="K104" i="23" s="1"/>
  <c r="L104" i="23" s="1"/>
  <c r="E105" i="23"/>
  <c r="K105" i="23" s="1"/>
  <c r="L105" i="23" s="1"/>
  <c r="E106" i="23"/>
  <c r="K106" i="23" s="1"/>
  <c r="L106" i="23" s="1"/>
  <c r="E107" i="23"/>
  <c r="K107" i="23" s="1"/>
  <c r="L107" i="23" s="1"/>
  <c r="E108" i="23"/>
  <c r="K108" i="23" s="1"/>
  <c r="L108" i="23" s="1"/>
  <c r="E109" i="23"/>
  <c r="K109" i="23" s="1"/>
  <c r="L109" i="23" s="1"/>
  <c r="E110" i="23"/>
  <c r="K110" i="23" s="1"/>
  <c r="L110" i="23" s="1"/>
  <c r="E111" i="23"/>
  <c r="K111" i="23" s="1"/>
  <c r="L111" i="23" s="1"/>
  <c r="E112" i="23"/>
  <c r="K112" i="23" s="1"/>
  <c r="L112" i="23" s="1"/>
  <c r="E113" i="23"/>
  <c r="K113" i="23" s="1"/>
  <c r="L113" i="23" s="1"/>
  <c r="E114" i="23"/>
  <c r="K114" i="23" s="1"/>
  <c r="L114" i="23" s="1"/>
  <c r="E115" i="23"/>
  <c r="K115" i="23" s="1"/>
  <c r="L115" i="23" s="1"/>
  <c r="E116" i="23"/>
  <c r="K116" i="23" s="1"/>
  <c r="L116" i="23" s="1"/>
  <c r="E117" i="23"/>
  <c r="K117" i="23" s="1"/>
  <c r="L117" i="23" s="1"/>
  <c r="E118" i="23"/>
  <c r="K118" i="23" s="1"/>
  <c r="L118" i="23" s="1"/>
  <c r="E119" i="23"/>
  <c r="K119" i="23" s="1"/>
  <c r="L119" i="23" s="1"/>
  <c r="E102" i="23"/>
  <c r="K102" i="23" s="1"/>
  <c r="E81" i="23"/>
  <c r="K81" i="23" s="1"/>
  <c r="L81" i="23" s="1"/>
  <c r="E82" i="23"/>
  <c r="K82" i="23" s="1"/>
  <c r="L82" i="23" s="1"/>
  <c r="E83" i="23"/>
  <c r="K83" i="23" s="1"/>
  <c r="L83" i="23" s="1"/>
  <c r="E84" i="23"/>
  <c r="K84" i="23" s="1"/>
  <c r="L84" i="23" s="1"/>
  <c r="E85" i="23"/>
  <c r="K85" i="23" s="1"/>
  <c r="L85" i="23" s="1"/>
  <c r="E86" i="23"/>
  <c r="K86" i="23" s="1"/>
  <c r="L86" i="23" s="1"/>
  <c r="E87" i="23"/>
  <c r="K87" i="23" s="1"/>
  <c r="L87" i="23" s="1"/>
  <c r="E88" i="23"/>
  <c r="K88" i="23" s="1"/>
  <c r="L88" i="23" s="1"/>
  <c r="E80" i="23"/>
  <c r="K80" i="23" s="1"/>
  <c r="E64" i="23"/>
  <c r="K64" i="23" s="1"/>
  <c r="L64" i="23" s="1"/>
  <c r="E65" i="23"/>
  <c r="K65" i="23" s="1"/>
  <c r="L65" i="23" s="1"/>
  <c r="E66" i="23"/>
  <c r="K66" i="23" s="1"/>
  <c r="L66" i="23" s="1"/>
  <c r="E67" i="23"/>
  <c r="K67" i="23" s="1"/>
  <c r="L67" i="23" s="1"/>
  <c r="E68" i="23"/>
  <c r="K68" i="23" s="1"/>
  <c r="L68" i="23" s="1"/>
  <c r="E69" i="23"/>
  <c r="K69" i="23" s="1"/>
  <c r="L69" i="23" s="1"/>
  <c r="E70" i="23"/>
  <c r="K70" i="23" s="1"/>
  <c r="L70" i="23" s="1"/>
  <c r="E71" i="23"/>
  <c r="K71" i="23" s="1"/>
  <c r="L71" i="23" s="1"/>
  <c r="E72" i="23"/>
  <c r="K72" i="23" s="1"/>
  <c r="L72" i="23" s="1"/>
  <c r="E73" i="23"/>
  <c r="K73" i="23" s="1"/>
  <c r="L73" i="23" s="1"/>
  <c r="E74" i="23"/>
  <c r="K74" i="23" s="1"/>
  <c r="L74" i="23" s="1"/>
  <c r="E75" i="23"/>
  <c r="K75" i="23" s="1"/>
  <c r="L75" i="23" s="1"/>
  <c r="E76" i="23"/>
  <c r="K76" i="23" s="1"/>
  <c r="L76" i="23" s="1"/>
  <c r="E77" i="23"/>
  <c r="K77" i="23" s="1"/>
  <c r="L77" i="23" s="1"/>
  <c r="E63" i="23"/>
  <c r="K63" i="23" s="1"/>
  <c r="E54" i="23"/>
  <c r="K54" i="23" s="1"/>
  <c r="L54" i="23" s="1"/>
  <c r="E55" i="23"/>
  <c r="K55" i="23" s="1"/>
  <c r="L55" i="23" s="1"/>
  <c r="E56" i="23"/>
  <c r="K56" i="23" s="1"/>
  <c r="L56" i="23" s="1"/>
  <c r="E57" i="23"/>
  <c r="K57" i="23" s="1"/>
  <c r="L57" i="23" s="1"/>
  <c r="E58" i="23"/>
  <c r="K58" i="23" s="1"/>
  <c r="L58" i="23" s="1"/>
  <c r="E59" i="23"/>
  <c r="K59" i="23" s="1"/>
  <c r="L59" i="23" s="1"/>
  <c r="E60" i="23"/>
  <c r="K60" i="23" s="1"/>
  <c r="L60" i="23" s="1"/>
  <c r="E61" i="23"/>
  <c r="K61" i="23" s="1"/>
  <c r="L61" i="23" s="1"/>
  <c r="E53" i="23"/>
  <c r="K53" i="23" s="1"/>
  <c r="E34" i="23"/>
  <c r="K34" i="23" s="1"/>
  <c r="L34" i="23" s="1"/>
  <c r="E35" i="23"/>
  <c r="K35" i="23" s="1"/>
  <c r="L35" i="23" s="1"/>
  <c r="E36" i="23"/>
  <c r="K36" i="23" s="1"/>
  <c r="L36" i="23" s="1"/>
  <c r="E37" i="23"/>
  <c r="K37" i="23" s="1"/>
  <c r="L37" i="23" s="1"/>
  <c r="E38" i="23"/>
  <c r="K38" i="23" s="1"/>
  <c r="L38" i="23" s="1"/>
  <c r="E39" i="23"/>
  <c r="K39" i="23" s="1"/>
  <c r="L39" i="23" s="1"/>
  <c r="E40" i="23"/>
  <c r="K40" i="23" s="1"/>
  <c r="L40" i="23" s="1"/>
  <c r="E41" i="23"/>
  <c r="K41" i="23" s="1"/>
  <c r="L41" i="23" s="1"/>
  <c r="E42" i="23"/>
  <c r="K42" i="23" s="1"/>
  <c r="L42" i="23" s="1"/>
  <c r="E44" i="23"/>
  <c r="E45" i="23"/>
  <c r="K45" i="23" s="1"/>
  <c r="L45" i="23" s="1"/>
  <c r="E46" i="23"/>
  <c r="K46" i="23" s="1"/>
  <c r="L46" i="23" s="1"/>
  <c r="E47" i="23"/>
  <c r="K47" i="23" s="1"/>
  <c r="L47" i="23" s="1"/>
  <c r="E48" i="23"/>
  <c r="K48" i="23" s="1"/>
  <c r="L48" i="23" s="1"/>
  <c r="E49" i="23"/>
  <c r="K49" i="23" s="1"/>
  <c r="L49" i="23" s="1"/>
  <c r="E50" i="23"/>
  <c r="K50" i="23" s="1"/>
  <c r="L50" i="23" s="1"/>
  <c r="E33" i="23"/>
  <c r="K33" i="23" s="1"/>
  <c r="E12" i="23"/>
  <c r="K12" i="23" s="1"/>
  <c r="L12" i="23" s="1"/>
  <c r="E13" i="23"/>
  <c r="K13" i="23" s="1"/>
  <c r="L13" i="23" s="1"/>
  <c r="E14" i="23"/>
  <c r="K14" i="23" s="1"/>
  <c r="L14" i="23" s="1"/>
  <c r="E15" i="23"/>
  <c r="E16" i="23"/>
  <c r="K16" i="23" s="1"/>
  <c r="L16" i="23" s="1"/>
  <c r="E17" i="23"/>
  <c r="K17" i="23" s="1"/>
  <c r="L17" i="23" s="1"/>
  <c r="E18" i="23"/>
  <c r="K18" i="23" s="1"/>
  <c r="L18" i="23" s="1"/>
  <c r="E19" i="23"/>
  <c r="K19" i="23" s="1"/>
  <c r="L19" i="23" s="1"/>
  <c r="E11" i="23"/>
  <c r="E216" i="23"/>
  <c r="Q202" i="23"/>
  <c r="Q203" i="23"/>
  <c r="Q204" i="23"/>
  <c r="Q205" i="23"/>
  <c r="Q206" i="23"/>
  <c r="Q207" i="23"/>
  <c r="Q208" i="23"/>
  <c r="Q209" i="23"/>
  <c r="Q210" i="23"/>
  <c r="Q211" i="23"/>
  <c r="Q212" i="23"/>
  <c r="Q213" i="23"/>
  <c r="Q214" i="23"/>
  <c r="Q215" i="23"/>
  <c r="Q201" i="23"/>
  <c r="D200" i="23"/>
  <c r="E202" i="23"/>
  <c r="K202" i="23" s="1"/>
  <c r="L202" i="23" s="1"/>
  <c r="E203" i="23"/>
  <c r="K203" i="23" s="1"/>
  <c r="L203" i="23" s="1"/>
  <c r="E204" i="23"/>
  <c r="K204" i="23" s="1"/>
  <c r="L204" i="23" s="1"/>
  <c r="E205" i="23"/>
  <c r="K205" i="23" s="1"/>
  <c r="L205" i="23" s="1"/>
  <c r="E206" i="23"/>
  <c r="K206" i="23" s="1"/>
  <c r="L206" i="23" s="1"/>
  <c r="E207" i="23"/>
  <c r="K207" i="23" s="1"/>
  <c r="L207" i="23" s="1"/>
  <c r="E208" i="23"/>
  <c r="K208" i="23" s="1"/>
  <c r="L208" i="23" s="1"/>
  <c r="E209" i="23"/>
  <c r="K209" i="23" s="1"/>
  <c r="L209" i="23" s="1"/>
  <c r="E210" i="23"/>
  <c r="K210" i="23" s="1"/>
  <c r="L210" i="23" s="1"/>
  <c r="E211" i="23"/>
  <c r="K211" i="23" s="1"/>
  <c r="L211" i="23" s="1"/>
  <c r="E212" i="23"/>
  <c r="K212" i="23" s="1"/>
  <c r="L212" i="23" s="1"/>
  <c r="E213" i="23"/>
  <c r="K213" i="23" s="1"/>
  <c r="L213" i="23" s="1"/>
  <c r="E214" i="23"/>
  <c r="K214" i="23" s="1"/>
  <c r="L214" i="23" s="1"/>
  <c r="E215" i="23"/>
  <c r="K215" i="23" s="1"/>
  <c r="L215" i="23" s="1"/>
  <c r="E201" i="23"/>
  <c r="K201" i="23" s="1"/>
  <c r="Q192" i="23"/>
  <c r="Q193" i="23"/>
  <c r="Q194" i="23"/>
  <c r="Q195" i="23"/>
  <c r="Q196" i="23"/>
  <c r="Q197" i="23"/>
  <c r="Q198" i="23"/>
  <c r="Q199" i="23"/>
  <c r="Q191" i="23"/>
  <c r="E192" i="23"/>
  <c r="K192" i="23" s="1"/>
  <c r="L192" i="23" s="1"/>
  <c r="E193" i="23"/>
  <c r="K193" i="23" s="1"/>
  <c r="L193" i="23" s="1"/>
  <c r="E194" i="23"/>
  <c r="K194" i="23" s="1"/>
  <c r="L194" i="23" s="1"/>
  <c r="E195" i="23"/>
  <c r="K195" i="23" s="1"/>
  <c r="L195" i="23" s="1"/>
  <c r="E196" i="23"/>
  <c r="K196" i="23" s="1"/>
  <c r="L196" i="23" s="1"/>
  <c r="E197" i="23"/>
  <c r="K197" i="23" s="1"/>
  <c r="L197" i="23" s="1"/>
  <c r="E198" i="23"/>
  <c r="K198" i="23" s="1"/>
  <c r="L198" i="23" s="1"/>
  <c r="E199" i="23"/>
  <c r="K199" i="23" s="1"/>
  <c r="L199" i="23" s="1"/>
  <c r="E191" i="23"/>
  <c r="K191" i="23" s="1"/>
  <c r="Q172" i="23"/>
  <c r="Q173" i="23"/>
  <c r="Q174" i="23"/>
  <c r="Q175" i="23"/>
  <c r="Q176" i="23"/>
  <c r="Q177" i="23"/>
  <c r="Q178" i="23"/>
  <c r="Q179" i="23"/>
  <c r="Q180" i="23"/>
  <c r="Q181" i="23"/>
  <c r="Q182" i="23"/>
  <c r="Q183" i="23"/>
  <c r="Q184" i="23"/>
  <c r="Q185" i="23"/>
  <c r="Q186" i="23"/>
  <c r="Q187" i="23"/>
  <c r="Q188" i="23"/>
  <c r="Q171" i="23"/>
  <c r="E172" i="23"/>
  <c r="K172" i="23" s="1"/>
  <c r="L172" i="23" s="1"/>
  <c r="E173" i="23"/>
  <c r="K173" i="23" s="1"/>
  <c r="L173" i="23" s="1"/>
  <c r="E174" i="23"/>
  <c r="K174" i="23" s="1"/>
  <c r="L174" i="23" s="1"/>
  <c r="E175" i="23"/>
  <c r="K175" i="23" s="1"/>
  <c r="L175" i="23" s="1"/>
  <c r="E176" i="23"/>
  <c r="K176" i="23" s="1"/>
  <c r="L176" i="23" s="1"/>
  <c r="E177" i="23"/>
  <c r="K177" i="23" s="1"/>
  <c r="L177" i="23" s="1"/>
  <c r="E178" i="23"/>
  <c r="K178" i="23" s="1"/>
  <c r="L178" i="23" s="1"/>
  <c r="E179" i="23"/>
  <c r="K179" i="23" s="1"/>
  <c r="L179" i="23" s="1"/>
  <c r="E180" i="23"/>
  <c r="K180" i="23" s="1"/>
  <c r="L180" i="23" s="1"/>
  <c r="E181" i="23"/>
  <c r="K181" i="23" s="1"/>
  <c r="L181" i="23" s="1"/>
  <c r="E182" i="23"/>
  <c r="K182" i="23" s="1"/>
  <c r="L182" i="23" s="1"/>
  <c r="E183" i="23"/>
  <c r="K183" i="23" s="1"/>
  <c r="L183" i="23" s="1"/>
  <c r="E184" i="23"/>
  <c r="K184" i="23" s="1"/>
  <c r="L184" i="23" s="1"/>
  <c r="E185" i="23"/>
  <c r="K185" i="23" s="1"/>
  <c r="L185" i="23" s="1"/>
  <c r="E186" i="23"/>
  <c r="K186" i="23" s="1"/>
  <c r="L186" i="23" s="1"/>
  <c r="E187" i="23"/>
  <c r="K187" i="23" s="1"/>
  <c r="L187" i="23" s="1"/>
  <c r="E188" i="23"/>
  <c r="K188" i="23" s="1"/>
  <c r="L188" i="23" s="1"/>
  <c r="E171" i="23"/>
  <c r="K171" i="23" s="1"/>
  <c r="D170" i="23"/>
  <c r="Q160" i="23"/>
  <c r="Q161" i="23"/>
  <c r="Q162" i="23"/>
  <c r="Q163" i="23"/>
  <c r="Q164" i="23"/>
  <c r="Q165" i="23"/>
  <c r="Q166" i="23"/>
  <c r="Q167" i="23"/>
  <c r="Q168" i="23"/>
  <c r="Q159" i="23"/>
  <c r="D158" i="23"/>
  <c r="E160" i="23"/>
  <c r="E161" i="23"/>
  <c r="E162" i="23"/>
  <c r="E163" i="23"/>
  <c r="K163" i="23" s="1"/>
  <c r="L163" i="23" s="1"/>
  <c r="E164" i="23"/>
  <c r="E165" i="23"/>
  <c r="K165" i="23" s="1"/>
  <c r="L165" i="23" s="1"/>
  <c r="E166" i="23"/>
  <c r="E167" i="23"/>
  <c r="E168" i="23"/>
  <c r="K168" i="23" s="1"/>
  <c r="L168" i="23" s="1"/>
  <c r="Q150" i="23"/>
  <c r="Q151" i="23"/>
  <c r="Q152" i="23"/>
  <c r="Q153" i="23"/>
  <c r="Q154" i="23"/>
  <c r="Q155" i="23"/>
  <c r="Q156" i="23"/>
  <c r="Q157" i="23"/>
  <c r="Q149" i="23"/>
  <c r="E150" i="23"/>
  <c r="K150" i="23" s="1"/>
  <c r="L150" i="23" s="1"/>
  <c r="E151" i="23"/>
  <c r="K151" i="23" s="1"/>
  <c r="L151" i="23" s="1"/>
  <c r="E152" i="23"/>
  <c r="K152" i="23" s="1"/>
  <c r="L152" i="23" s="1"/>
  <c r="E153" i="23"/>
  <c r="K153" i="23" s="1"/>
  <c r="L153" i="23" s="1"/>
  <c r="E154" i="23"/>
  <c r="K154" i="23" s="1"/>
  <c r="L154" i="23" s="1"/>
  <c r="E155" i="23"/>
  <c r="K155" i="23" s="1"/>
  <c r="L155" i="23" s="1"/>
  <c r="E156" i="23"/>
  <c r="K156" i="23" s="1"/>
  <c r="L156" i="23" s="1"/>
  <c r="E157" i="23"/>
  <c r="K157" i="23" s="1"/>
  <c r="L157" i="23" s="1"/>
  <c r="E149" i="23"/>
  <c r="K149" i="23" s="1"/>
  <c r="E159" i="23"/>
  <c r="K159" i="23" s="1"/>
  <c r="K44" i="23" l="1"/>
  <c r="L44" i="23" s="1"/>
  <c r="L53" i="23"/>
  <c r="L52" i="23" s="1"/>
  <c r="K52" i="23"/>
  <c r="L159" i="23"/>
  <c r="K161" i="23"/>
  <c r="L161" i="23" s="1"/>
  <c r="L201" i="23"/>
  <c r="L200" i="23" s="1"/>
  <c r="K200" i="23"/>
  <c r="K11" i="23"/>
  <c r="P11" i="23"/>
  <c r="L63" i="23"/>
  <c r="K62" i="23"/>
  <c r="L102" i="23"/>
  <c r="L101" i="23" s="1"/>
  <c r="K101" i="23"/>
  <c r="K162" i="23"/>
  <c r="L162" i="23" s="1"/>
  <c r="L80" i="23"/>
  <c r="L79" i="23" s="1"/>
  <c r="K79" i="23"/>
  <c r="L149" i="23"/>
  <c r="L148" i="23" s="1"/>
  <c r="K148" i="23"/>
  <c r="K164" i="23"/>
  <c r="L164" i="23" s="1"/>
  <c r="K160" i="23"/>
  <c r="L160" i="23" s="1"/>
  <c r="K15" i="23"/>
  <c r="L15" i="23" s="1"/>
  <c r="P15" i="23"/>
  <c r="L33" i="23"/>
  <c r="L32" i="23" s="1"/>
  <c r="K166" i="23"/>
  <c r="L166" i="23" s="1"/>
  <c r="K167" i="23"/>
  <c r="L167" i="23" s="1"/>
  <c r="L171" i="23"/>
  <c r="L170" i="23" s="1"/>
  <c r="K170" i="23"/>
  <c r="L191" i="23"/>
  <c r="L190" i="23" s="1"/>
  <c r="K190" i="23"/>
  <c r="L122" i="23"/>
  <c r="L121" i="23" s="1"/>
  <c r="K121" i="23"/>
  <c r="E158" i="23"/>
  <c r="D51" i="23"/>
  <c r="Q158" i="23"/>
  <c r="O158" i="23" s="1"/>
  <c r="P168" i="23"/>
  <c r="P167" i="23"/>
  <c r="P165" i="23"/>
  <c r="P163" i="23"/>
  <c r="P161" i="23"/>
  <c r="D189" i="23"/>
  <c r="P166" i="23"/>
  <c r="P164" i="23"/>
  <c r="P162" i="23"/>
  <c r="P160" i="23"/>
  <c r="E134" i="23"/>
  <c r="K134" i="23" s="1"/>
  <c r="L134" i="23" s="1"/>
  <c r="E135" i="23"/>
  <c r="K135" i="23" s="1"/>
  <c r="L135" i="23" s="1"/>
  <c r="E136" i="23"/>
  <c r="K136" i="23" s="1"/>
  <c r="L136" i="23" s="1"/>
  <c r="E137" i="23"/>
  <c r="K137" i="23" s="1"/>
  <c r="L137" i="23" s="1"/>
  <c r="E138" i="23"/>
  <c r="K138" i="23" s="1"/>
  <c r="L138" i="23" s="1"/>
  <c r="E139" i="23"/>
  <c r="K139" i="23" s="1"/>
  <c r="L139" i="23" s="1"/>
  <c r="E140" i="23"/>
  <c r="K140" i="23" s="1"/>
  <c r="L140" i="23" s="1"/>
  <c r="E141" i="23"/>
  <c r="K141" i="23" s="1"/>
  <c r="L141" i="23" s="1"/>
  <c r="E142" i="23"/>
  <c r="K142" i="23" s="1"/>
  <c r="L142" i="23" s="1"/>
  <c r="E143" i="23"/>
  <c r="K143" i="23" s="1"/>
  <c r="L143" i="23" s="1"/>
  <c r="E144" i="23"/>
  <c r="K144" i="23" s="1"/>
  <c r="L144" i="23" s="1"/>
  <c r="E145" i="23"/>
  <c r="K145" i="23" s="1"/>
  <c r="L145" i="23" s="1"/>
  <c r="E146" i="23"/>
  <c r="K146" i="23" s="1"/>
  <c r="L146" i="23" s="1"/>
  <c r="E132" i="23"/>
  <c r="K132" i="23" s="1"/>
  <c r="L189" i="23" l="1"/>
  <c r="K189" i="23"/>
  <c r="J32" i="23"/>
  <c r="K32" i="23"/>
  <c r="K51" i="23"/>
  <c r="L62" i="23"/>
  <c r="L158" i="23"/>
  <c r="K158" i="23"/>
  <c r="K147" i="23" s="1"/>
  <c r="L132" i="23"/>
  <c r="K10" i="23"/>
  <c r="L11" i="23"/>
  <c r="L10" i="23" s="1"/>
  <c r="D121" i="23"/>
  <c r="Q91" i="23"/>
  <c r="Q92" i="23"/>
  <c r="Q93" i="23"/>
  <c r="Q94" i="23"/>
  <c r="Q95" i="23"/>
  <c r="Q96" i="23"/>
  <c r="Q97" i="23"/>
  <c r="Q98" i="23"/>
  <c r="Q99" i="23"/>
  <c r="Q100" i="23"/>
  <c r="P100" i="23"/>
  <c r="Q90" i="23"/>
  <c r="D89" i="23"/>
  <c r="D78" i="23" s="1"/>
  <c r="L147" i="23" l="1"/>
  <c r="L51" i="23"/>
  <c r="J10" i="23"/>
  <c r="M46" i="26"/>
  <c r="Q23" i="23"/>
  <c r="M49" i="26" s="1"/>
  <c r="J49" i="26" s="1"/>
  <c r="Q24" i="23"/>
  <c r="M55" i="26" s="1"/>
  <c r="Q25" i="23"/>
  <c r="M64" i="26" s="1"/>
  <c r="Q26" i="23"/>
  <c r="M43" i="26" s="1"/>
  <c r="Q27" i="23"/>
  <c r="M52" i="26" s="1"/>
  <c r="Q28" i="23"/>
  <c r="Q29" i="23"/>
  <c r="M70" i="26" s="1"/>
  <c r="Q30" i="23"/>
  <c r="Q217" i="23" l="1"/>
  <c r="M31" i="27"/>
  <c r="J31" i="27" s="1"/>
  <c r="J43" i="26"/>
  <c r="M34" i="27"/>
  <c r="J34" i="27" s="1"/>
  <c r="J46" i="26"/>
  <c r="M52" i="27"/>
  <c r="J52" i="27" s="1"/>
  <c r="J64" i="26"/>
  <c r="M37" i="27"/>
  <c r="J37" i="27" s="1"/>
  <c r="Q20" i="23"/>
  <c r="D20" i="23"/>
  <c r="O20" i="23" l="1"/>
  <c r="M55" i="27"/>
  <c r="J55" i="27" s="1"/>
  <c r="J67" i="26"/>
  <c r="M43" i="27"/>
  <c r="J43" i="27" s="1"/>
  <c r="J55" i="26"/>
  <c r="J70" i="26"/>
  <c r="M58" i="27"/>
  <c r="J58" i="27" s="1"/>
  <c r="J52" i="26"/>
  <c r="M40" i="27"/>
  <c r="J40" i="27" s="1"/>
  <c r="D20" i="12"/>
  <c r="Q20" i="12" s="1"/>
  <c r="D19" i="12"/>
  <c r="D18" i="12"/>
  <c r="Q18" i="12" s="1"/>
  <c r="D17" i="12"/>
  <c r="L17" i="12" l="1"/>
  <c r="L19" i="12"/>
  <c r="Q17" i="12"/>
  <c r="Q19" i="12"/>
  <c r="L20" i="12"/>
  <c r="L18" i="12"/>
  <c r="Q16" i="12" l="1"/>
  <c r="L16" i="12"/>
  <c r="P159" i="23"/>
  <c r="P158" i="23" s="1"/>
  <c r="E5" i="23" l="1"/>
  <c r="P215" i="23" l="1"/>
  <c r="P214" i="23"/>
  <c r="P213" i="23"/>
  <c r="P212" i="23"/>
  <c r="P211" i="23"/>
  <c r="P210" i="23"/>
  <c r="P209" i="23"/>
  <c r="P208" i="23"/>
  <c r="P207" i="23"/>
  <c r="P206" i="23"/>
  <c r="P205" i="23"/>
  <c r="P203" i="23"/>
  <c r="P201" i="23"/>
  <c r="P199" i="23"/>
  <c r="P198" i="23"/>
  <c r="P197" i="23"/>
  <c r="P196" i="23"/>
  <c r="P195" i="23"/>
  <c r="P194" i="23"/>
  <c r="P193" i="23"/>
  <c r="P192" i="23"/>
  <c r="P191" i="23"/>
  <c r="P188" i="23"/>
  <c r="P187" i="23"/>
  <c r="P186" i="23"/>
  <c r="P185" i="23"/>
  <c r="P184" i="23"/>
  <c r="P183" i="23"/>
  <c r="P182" i="23"/>
  <c r="P181" i="23"/>
  <c r="P180" i="23"/>
  <c r="P179" i="23"/>
  <c r="P178" i="23"/>
  <c r="P177" i="23"/>
  <c r="P176" i="23"/>
  <c r="P175" i="23"/>
  <c r="P174" i="23"/>
  <c r="P173" i="23"/>
  <c r="P172" i="23"/>
  <c r="P171" i="23"/>
  <c r="P157" i="23"/>
  <c r="P156" i="23"/>
  <c r="P155" i="23"/>
  <c r="P154" i="23"/>
  <c r="P153" i="23"/>
  <c r="P152" i="23"/>
  <c r="P151" i="23"/>
  <c r="P150" i="23"/>
  <c r="P146" i="23"/>
  <c r="P145" i="23"/>
  <c r="P144" i="23"/>
  <c r="P143" i="23"/>
  <c r="P142" i="23"/>
  <c r="P141" i="23"/>
  <c r="P140" i="23"/>
  <c r="P139" i="23"/>
  <c r="P137" i="23"/>
  <c r="P136" i="23"/>
  <c r="P134" i="23"/>
  <c r="P130" i="23"/>
  <c r="P129" i="23"/>
  <c r="P128" i="23"/>
  <c r="P127" i="23"/>
  <c r="P126" i="23"/>
  <c r="P125" i="23"/>
  <c r="P124" i="23"/>
  <c r="P123" i="23"/>
  <c r="P119" i="23"/>
  <c r="P118" i="23"/>
  <c r="P117" i="23"/>
  <c r="P116" i="23"/>
  <c r="P115" i="23"/>
  <c r="P114" i="23"/>
  <c r="P113" i="23"/>
  <c r="P112" i="23"/>
  <c r="P111" i="23"/>
  <c r="P110" i="23"/>
  <c r="P109" i="23"/>
  <c r="P108" i="23"/>
  <c r="P107" i="23"/>
  <c r="P106" i="23"/>
  <c r="P105" i="23"/>
  <c r="P104" i="23"/>
  <c r="P103" i="23"/>
  <c r="P102" i="23"/>
  <c r="P88" i="23"/>
  <c r="P86" i="23"/>
  <c r="P85" i="23"/>
  <c r="P84" i="23"/>
  <c r="P83" i="23"/>
  <c r="P82" i="23"/>
  <c r="P81" i="23"/>
  <c r="P80" i="23"/>
  <c r="P77" i="23"/>
  <c r="P76" i="23"/>
  <c r="P75" i="23"/>
  <c r="P74" i="23"/>
  <c r="P73" i="23"/>
  <c r="P72" i="23"/>
  <c r="P71" i="23"/>
  <c r="P70" i="23"/>
  <c r="P67" i="23"/>
  <c r="P63" i="23"/>
  <c r="P61" i="23"/>
  <c r="P60" i="23"/>
  <c r="P59" i="23"/>
  <c r="P58" i="23"/>
  <c r="P57" i="23"/>
  <c r="P56" i="23"/>
  <c r="P55" i="23"/>
  <c r="P54" i="23"/>
  <c r="P53" i="23"/>
  <c r="P50" i="23"/>
  <c r="P49" i="23"/>
  <c r="P48" i="23"/>
  <c r="P47" i="23"/>
  <c r="P46" i="23"/>
  <c r="P45" i="23"/>
  <c r="P44" i="23"/>
  <c r="P42" i="23"/>
  <c r="P41" i="23"/>
  <c r="P40" i="23"/>
  <c r="P39" i="23"/>
  <c r="P38" i="23"/>
  <c r="P37" i="23"/>
  <c r="P36" i="23"/>
  <c r="P35" i="23"/>
  <c r="P34" i="23"/>
  <c r="P33" i="23"/>
  <c r="P19" i="23"/>
  <c r="Q19" i="23" s="1"/>
  <c r="P18" i="23"/>
  <c r="P17" i="23"/>
  <c r="P16" i="23"/>
  <c r="P14" i="23"/>
  <c r="P13" i="23"/>
  <c r="P12" i="23"/>
  <c r="E92" i="23" l="1"/>
  <c r="K92" i="23" s="1"/>
  <c r="L92" i="23" s="1"/>
  <c r="E94" i="23"/>
  <c r="K94" i="23" s="1"/>
  <c r="L94" i="23" s="1"/>
  <c r="E96" i="23"/>
  <c r="K96" i="23" s="1"/>
  <c r="L96" i="23" s="1"/>
  <c r="E98" i="23"/>
  <c r="K98" i="23" s="1"/>
  <c r="L98" i="23" s="1"/>
  <c r="E90" i="23"/>
  <c r="K90" i="23" s="1"/>
  <c r="P122" i="23"/>
  <c r="Q122" i="23" s="1"/>
  <c r="E91" i="23"/>
  <c r="K91" i="23" s="1"/>
  <c r="L91" i="23" s="1"/>
  <c r="E93" i="23"/>
  <c r="K93" i="23" s="1"/>
  <c r="L93" i="23" s="1"/>
  <c r="E95" i="23"/>
  <c r="K95" i="23" s="1"/>
  <c r="L95" i="23" s="1"/>
  <c r="E97" i="23"/>
  <c r="K97" i="23" s="1"/>
  <c r="L97" i="23" s="1"/>
  <c r="E99" i="23"/>
  <c r="K99" i="23" s="1"/>
  <c r="L99" i="23" s="1"/>
  <c r="P87" i="23"/>
  <c r="P79" i="23" s="1"/>
  <c r="P65" i="23"/>
  <c r="P68" i="23"/>
  <c r="Q68" i="23" s="1"/>
  <c r="P64" i="23"/>
  <c r="Q64" i="23" s="1"/>
  <c r="E23" i="23"/>
  <c r="K23" i="23" s="1"/>
  <c r="L23" i="23" s="1"/>
  <c r="M48" i="26" s="1"/>
  <c r="E25" i="23"/>
  <c r="K25" i="23" s="1"/>
  <c r="L25" i="23" s="1"/>
  <c r="E27" i="23"/>
  <c r="K27" i="23" s="1"/>
  <c r="L27" i="23" s="1"/>
  <c r="M51" i="26" s="1"/>
  <c r="E29" i="23"/>
  <c r="K29" i="23" s="1"/>
  <c r="L29" i="23" s="1"/>
  <c r="E21" i="23"/>
  <c r="K21" i="23" s="1"/>
  <c r="E22" i="23"/>
  <c r="K22" i="23" s="1"/>
  <c r="L22" i="23" s="1"/>
  <c r="M45" i="26" s="1"/>
  <c r="E24" i="23"/>
  <c r="K24" i="23" s="1"/>
  <c r="L24" i="23" s="1"/>
  <c r="E26" i="23"/>
  <c r="K26" i="23" s="1"/>
  <c r="L26" i="23" s="1"/>
  <c r="M42" i="26" s="1"/>
  <c r="E28" i="23"/>
  <c r="K28" i="23" s="1"/>
  <c r="L28" i="23" s="1"/>
  <c r="E30" i="23"/>
  <c r="K30" i="23" s="1"/>
  <c r="L30" i="23" s="1"/>
  <c r="E20" i="23"/>
  <c r="Q61" i="23"/>
  <c r="Q12" i="23"/>
  <c r="Q16" i="23"/>
  <c r="Q35" i="23"/>
  <c r="Q39" i="23"/>
  <c r="Q47" i="23"/>
  <c r="Q53" i="23"/>
  <c r="P52" i="23"/>
  <c r="Q57" i="23"/>
  <c r="Q65" i="23"/>
  <c r="Q70" i="23"/>
  <c r="Q74" i="23"/>
  <c r="Q80" i="23"/>
  <c r="Q84" i="23"/>
  <c r="Q103" i="23"/>
  <c r="Q107" i="23"/>
  <c r="Q111" i="23"/>
  <c r="Q115" i="23"/>
  <c r="Q119" i="23"/>
  <c r="Q125" i="23"/>
  <c r="Q129" i="23"/>
  <c r="Q142" i="23"/>
  <c r="Q146" i="23"/>
  <c r="P170" i="23"/>
  <c r="Q13" i="23"/>
  <c r="Q17" i="23"/>
  <c r="Q36" i="23"/>
  <c r="Q40" i="23"/>
  <c r="Q44" i="23"/>
  <c r="Q48" i="23"/>
  <c r="Q54" i="23"/>
  <c r="Q58" i="23"/>
  <c r="Q67" i="23"/>
  <c r="Q71" i="23"/>
  <c r="Q75" i="23"/>
  <c r="Q81" i="23"/>
  <c r="Q85" i="23"/>
  <c r="Q88" i="23"/>
  <c r="Q104" i="23"/>
  <c r="Q108" i="23"/>
  <c r="Q112" i="23"/>
  <c r="Q116" i="23"/>
  <c r="Q126" i="23"/>
  <c r="Q134" i="23"/>
  <c r="Q139" i="23"/>
  <c r="Q143" i="23"/>
  <c r="Q14" i="23"/>
  <c r="Q18" i="23"/>
  <c r="Q33" i="23"/>
  <c r="P32" i="23"/>
  <c r="Q37" i="23"/>
  <c r="Q41" i="23"/>
  <c r="Q45" i="23"/>
  <c r="Q49" i="23"/>
  <c r="Q55" i="23"/>
  <c r="Q59" i="23"/>
  <c r="Q63" i="23"/>
  <c r="Q72" i="23"/>
  <c r="Q76" i="23"/>
  <c r="Q82" i="23"/>
  <c r="Q86" i="23"/>
  <c r="Q105" i="23"/>
  <c r="Q109" i="23"/>
  <c r="Q113" i="23"/>
  <c r="Q117" i="23"/>
  <c r="Q123" i="23"/>
  <c r="Q127" i="23"/>
  <c r="Q130" i="23"/>
  <c r="Q136" i="23"/>
  <c r="Q140" i="23"/>
  <c r="Q144" i="23"/>
  <c r="P190" i="23"/>
  <c r="H29" i="17"/>
  <c r="M22" i="26" s="1"/>
  <c r="Q11" i="23"/>
  <c r="P10" i="23"/>
  <c r="Q15" i="23"/>
  <c r="Q34" i="23"/>
  <c r="Q38" i="23"/>
  <c r="Q42" i="23"/>
  <c r="Q46" i="23"/>
  <c r="Q50" i="23"/>
  <c r="Q56" i="23"/>
  <c r="Q60" i="23"/>
  <c r="Q73" i="23"/>
  <c r="Q77" i="23"/>
  <c r="Q83" i="23"/>
  <c r="Q102" i="23"/>
  <c r="P101" i="23"/>
  <c r="Q106" i="23"/>
  <c r="Q110" i="23"/>
  <c r="Q114" i="23"/>
  <c r="Q118" i="23"/>
  <c r="Q124" i="23"/>
  <c r="Q128" i="23"/>
  <c r="Q137" i="23"/>
  <c r="Q141" i="23"/>
  <c r="Q145" i="23"/>
  <c r="P204" i="23"/>
  <c r="P69" i="23"/>
  <c r="Q69" i="23" s="1"/>
  <c r="E32" i="23"/>
  <c r="E190" i="23"/>
  <c r="P202" i="23"/>
  <c r="E10" i="23"/>
  <c r="E170" i="23"/>
  <c r="E101" i="23"/>
  <c r="E121" i="23"/>
  <c r="E52" i="23"/>
  <c r="E79" i="23"/>
  <c r="P135" i="23"/>
  <c r="Q135" i="23" s="1"/>
  <c r="P138" i="23"/>
  <c r="Q138" i="23" s="1"/>
  <c r="J22" i="26" l="1"/>
  <c r="Q10" i="23"/>
  <c r="O10" i="23" s="1"/>
  <c r="M63" i="26"/>
  <c r="M51" i="27" s="1"/>
  <c r="J51" i="27" s="1"/>
  <c r="M36" i="27"/>
  <c r="J36" i="27" s="1"/>
  <c r="J48" i="26"/>
  <c r="M30" i="27"/>
  <c r="J30" i="27" s="1"/>
  <c r="J42" i="26"/>
  <c r="M69" i="26"/>
  <c r="K20" i="23"/>
  <c r="K9" i="23" s="1"/>
  <c r="L21" i="23"/>
  <c r="L20" i="23" s="1"/>
  <c r="L9" i="23" s="1"/>
  <c r="M54" i="26"/>
  <c r="M39" i="27"/>
  <c r="J39" i="27" s="1"/>
  <c r="J51" i="26"/>
  <c r="J45" i="26"/>
  <c r="M33" i="27"/>
  <c r="J33" i="27" s="1"/>
  <c r="L90" i="23"/>
  <c r="K89" i="23"/>
  <c r="M40" i="26"/>
  <c r="P121" i="23"/>
  <c r="Q87" i="23"/>
  <c r="Q79" i="23" s="1"/>
  <c r="O79" i="23" s="1"/>
  <c r="P99" i="23"/>
  <c r="P95" i="23"/>
  <c r="P91" i="23"/>
  <c r="E89" i="23"/>
  <c r="E78" i="23" s="1"/>
  <c r="P90" i="23"/>
  <c r="P96" i="23"/>
  <c r="P92" i="23"/>
  <c r="P97" i="23"/>
  <c r="P93" i="23"/>
  <c r="P98" i="23"/>
  <c r="P94" i="23"/>
  <c r="P28" i="23"/>
  <c r="P24" i="23"/>
  <c r="P21" i="23"/>
  <c r="P27" i="23"/>
  <c r="P23" i="23"/>
  <c r="P30" i="23"/>
  <c r="P26" i="23"/>
  <c r="P22" i="23"/>
  <c r="P29" i="23"/>
  <c r="P25" i="23"/>
  <c r="Q101" i="23"/>
  <c r="O101" i="23" s="1"/>
  <c r="Q190" i="23"/>
  <c r="O190" i="23" s="1"/>
  <c r="Q121" i="23"/>
  <c r="O121" i="23" s="1"/>
  <c r="Q170" i="23"/>
  <c r="O170" i="23" s="1"/>
  <c r="Q52" i="23"/>
  <c r="O52" i="23" s="1"/>
  <c r="Q32" i="23"/>
  <c r="O32" i="23" s="1"/>
  <c r="G29" i="17"/>
  <c r="M21" i="26" s="1"/>
  <c r="J21" i="26" l="1"/>
  <c r="J63" i="26"/>
  <c r="L89" i="23"/>
  <c r="K78" i="23"/>
  <c r="J54" i="26"/>
  <c r="M42" i="27"/>
  <c r="J42" i="27" s="1"/>
  <c r="J69" i="26"/>
  <c r="M57" i="27"/>
  <c r="J57" i="27" s="1"/>
  <c r="M78" i="26"/>
  <c r="J78" i="26" s="1"/>
  <c r="M28" i="27"/>
  <c r="J28" i="27" s="1"/>
  <c r="J40" i="26"/>
  <c r="P89" i="23"/>
  <c r="P66" i="23"/>
  <c r="Q66" i="23" s="1"/>
  <c r="M79" i="26" s="1"/>
  <c r="E62" i="23"/>
  <c r="E51" i="23" s="1"/>
  <c r="P20" i="23"/>
  <c r="P9" i="23" s="1"/>
  <c r="Q200" i="23"/>
  <c r="O200" i="23" s="1"/>
  <c r="Q9" i="23"/>
  <c r="P200" i="23"/>
  <c r="P189" i="23" s="1"/>
  <c r="E200" i="23"/>
  <c r="E189" i="23" s="1"/>
  <c r="L78" i="23" l="1"/>
  <c r="G25" i="17" s="1"/>
  <c r="Q189" i="23"/>
  <c r="O189" i="23" s="1"/>
  <c r="M66" i="27"/>
  <c r="J66" i="27" s="1"/>
  <c r="M67" i="27"/>
  <c r="J67" i="27" s="1"/>
  <c r="Q89" i="23"/>
  <c r="P78" i="23"/>
  <c r="Q62" i="23"/>
  <c r="P62" i="23"/>
  <c r="P51" i="23" s="1"/>
  <c r="J79" i="26" l="1"/>
  <c r="Q51" i="23"/>
  <c r="O51" i="23" s="1"/>
  <c r="O62" i="23"/>
  <c r="Q78" i="23"/>
  <c r="O78" i="23" s="1"/>
  <c r="G23" i="17"/>
  <c r="H23" i="17"/>
  <c r="G24" i="17"/>
  <c r="G28" i="17"/>
  <c r="H24" i="17" l="1"/>
  <c r="H28" i="17"/>
  <c r="H25" i="17"/>
  <c r="E12" i="2" l="1"/>
  <c r="P12" i="2" s="1"/>
  <c r="E11" i="2"/>
  <c r="P11" i="2" s="1"/>
  <c r="E10" i="2"/>
  <c r="P10" i="2" s="1"/>
  <c r="E9" i="2"/>
  <c r="E19" i="19"/>
  <c r="P19" i="19" s="1"/>
  <c r="E20" i="19"/>
  <c r="P20" i="19" s="1"/>
  <c r="E10" i="19"/>
  <c r="P10" i="19" s="1"/>
  <c r="E11" i="19"/>
  <c r="P11" i="19" s="1"/>
  <c r="E12" i="19"/>
  <c r="P12" i="19" s="1"/>
  <c r="E13" i="19"/>
  <c r="P13" i="19" s="1"/>
  <c r="E14" i="19"/>
  <c r="P14" i="19" s="1"/>
  <c r="E15" i="19"/>
  <c r="P15" i="19" s="1"/>
  <c r="E16" i="19"/>
  <c r="P16" i="19" s="1"/>
  <c r="E17" i="19"/>
  <c r="P17" i="19" s="1"/>
  <c r="E18" i="19"/>
  <c r="P18" i="19" s="1"/>
  <c r="E9" i="19"/>
  <c r="P9" i="19" s="1"/>
  <c r="D38" i="22"/>
  <c r="D57" i="22"/>
  <c r="D63" i="22"/>
  <c r="D75" i="22"/>
  <c r="D81" i="22"/>
  <c r="D94" i="22"/>
  <c r="D104" i="22"/>
  <c r="D107" i="22"/>
  <c r="D110" i="22"/>
  <c r="D112" i="22"/>
  <c r="D120" i="22"/>
  <c r="D131" i="22"/>
  <c r="D148" i="22"/>
  <c r="D159" i="22"/>
  <c r="D170" i="22"/>
  <c r="D190" i="22"/>
  <c r="D201" i="22"/>
  <c r="D218" i="22"/>
  <c r="D229" i="22"/>
  <c r="D240" i="22"/>
  <c r="D260" i="22"/>
  <c r="D271" i="22"/>
  <c r="D288" i="22"/>
  <c r="D299" i="22"/>
  <c r="D310" i="22"/>
  <c r="D330" i="22"/>
  <c r="E9" i="9"/>
  <c r="P9" i="9" s="1"/>
  <c r="E13" i="9"/>
  <c r="P13" i="9" s="1"/>
  <c r="E17" i="9"/>
  <c r="P17" i="9" s="1"/>
  <c r="E18" i="9"/>
  <c r="P18" i="9" s="1"/>
  <c r="E16" i="9"/>
  <c r="P16" i="9" s="1"/>
  <c r="E15" i="9"/>
  <c r="P15" i="9" s="1"/>
  <c r="E14" i="9"/>
  <c r="P14" i="9" s="1"/>
  <c r="E12" i="9"/>
  <c r="P12" i="9" s="1"/>
  <c r="E11" i="9"/>
  <c r="P11" i="9" s="1"/>
  <c r="E10" i="9"/>
  <c r="P10" i="9" s="1"/>
  <c r="P8" i="9" l="1"/>
  <c r="P9" i="2"/>
  <c r="P8" i="2" s="1"/>
  <c r="K9" i="19"/>
  <c r="K9" i="9"/>
  <c r="K10" i="19"/>
  <c r="D50" i="22"/>
  <c r="D49" i="22" s="1"/>
  <c r="D103" i="22"/>
  <c r="D102" i="22" s="1"/>
  <c r="D259" i="22"/>
  <c r="D147" i="22"/>
  <c r="D119" i="22"/>
  <c r="D217" i="22"/>
  <c r="D287" i="22"/>
  <c r="D189" i="22"/>
  <c r="D118" i="22" l="1"/>
  <c r="K11" i="15"/>
  <c r="K10" i="15"/>
  <c r="K9" i="15"/>
  <c r="E17" i="20" l="1"/>
  <c r="P17" i="20" s="1"/>
  <c r="E16" i="20"/>
  <c r="P16" i="20" s="1"/>
  <c r="E15" i="20"/>
  <c r="P15" i="20" s="1"/>
  <c r="E14" i="20"/>
  <c r="P14" i="20" s="1"/>
  <c r="E13" i="20"/>
  <c r="P13" i="20" s="1"/>
  <c r="E12" i="20"/>
  <c r="P12" i="20" s="1"/>
  <c r="E11" i="20"/>
  <c r="P11" i="20" s="1"/>
  <c r="E10" i="20"/>
  <c r="P10" i="20" s="1"/>
  <c r="E9" i="20"/>
  <c r="E8" i="2"/>
  <c r="O8" i="2" s="1"/>
  <c r="K12" i="2"/>
  <c r="K11" i="2"/>
  <c r="K10" i="2"/>
  <c r="K11" i="19"/>
  <c r="K12" i="19"/>
  <c r="K13" i="19"/>
  <c r="K14" i="19"/>
  <c r="K15" i="19"/>
  <c r="K16" i="19"/>
  <c r="K17" i="19"/>
  <c r="K18" i="19"/>
  <c r="K19" i="19"/>
  <c r="K20" i="19"/>
  <c r="K17" i="9"/>
  <c r="K13" i="9"/>
  <c r="K18" i="9"/>
  <c r="K16" i="9"/>
  <c r="K15" i="9"/>
  <c r="K14" i="9"/>
  <c r="K12" i="9"/>
  <c r="K11" i="9"/>
  <c r="K10" i="9"/>
  <c r="P9" i="20" l="1"/>
  <c r="E8" i="20"/>
  <c r="K8" i="9"/>
  <c r="K17" i="20"/>
  <c r="K12" i="20"/>
  <c r="K16" i="20"/>
  <c r="K13" i="20"/>
  <c r="K10" i="20"/>
  <c r="K14" i="20"/>
  <c r="K9" i="20"/>
  <c r="K11" i="20"/>
  <c r="K15" i="20"/>
  <c r="K8" i="19"/>
  <c r="K9" i="2"/>
  <c r="E8" i="19"/>
  <c r="K8" i="20" l="1"/>
  <c r="K8" i="2"/>
  <c r="E8" i="9" l="1"/>
  <c r="E51" i="18"/>
  <c r="P51" i="18" s="1"/>
  <c r="E50" i="18"/>
  <c r="P50" i="18" s="1"/>
  <c r="E49" i="18"/>
  <c r="P49" i="18" s="1"/>
  <c r="E48" i="18"/>
  <c r="P48" i="18" s="1"/>
  <c r="E47" i="18"/>
  <c r="P47" i="18" s="1"/>
  <c r="E46" i="18"/>
  <c r="P46" i="18" s="1"/>
  <c r="E45" i="18"/>
  <c r="P45" i="18" s="1"/>
  <c r="E44" i="18"/>
  <c r="P44" i="18" s="1"/>
  <c r="E43" i="18"/>
  <c r="P43" i="18" s="1"/>
  <c r="E42" i="18"/>
  <c r="P42" i="18" s="1"/>
  <c r="E41" i="18"/>
  <c r="P41" i="18" s="1"/>
  <c r="E40" i="18"/>
  <c r="P40" i="18" s="1"/>
  <c r="E38" i="18"/>
  <c r="P38" i="18" s="1"/>
  <c r="E37" i="18"/>
  <c r="P37" i="18" s="1"/>
  <c r="E36" i="18"/>
  <c r="P36" i="18" s="1"/>
  <c r="E35" i="18"/>
  <c r="P35" i="18" s="1"/>
  <c r="E34" i="18"/>
  <c r="P34" i="18" s="1"/>
  <c r="E32" i="18"/>
  <c r="P32" i="18" s="1"/>
  <c r="E31" i="18"/>
  <c r="P31" i="18" s="1"/>
  <c r="E30" i="18"/>
  <c r="P30" i="18" s="1"/>
  <c r="E29" i="18"/>
  <c r="P29" i="18" s="1"/>
  <c r="E28" i="18"/>
  <c r="P28" i="18" s="1"/>
  <c r="E27" i="18"/>
  <c r="P27" i="18" s="1"/>
  <c r="E26" i="18"/>
  <c r="P26" i="18" s="1"/>
  <c r="E25" i="18"/>
  <c r="P25" i="18" s="1"/>
  <c r="E24" i="18"/>
  <c r="P24" i="18" s="1"/>
  <c r="E23" i="18"/>
  <c r="P23" i="18" s="1"/>
  <c r="E22" i="18"/>
  <c r="P22" i="18" s="1"/>
  <c r="E20" i="18"/>
  <c r="P20" i="18" s="1"/>
  <c r="E19" i="18"/>
  <c r="P19" i="18" s="1"/>
  <c r="E18" i="18"/>
  <c r="P18" i="18" s="1"/>
  <c r="E17" i="18"/>
  <c r="P17" i="18" s="1"/>
  <c r="E16" i="18"/>
  <c r="P16" i="18" s="1"/>
  <c r="E14" i="18"/>
  <c r="P14" i="18" s="1"/>
  <c r="E13" i="18"/>
  <c r="P13" i="18" s="1"/>
  <c r="E12" i="18"/>
  <c r="P12" i="18" s="1"/>
  <c r="E11" i="18"/>
  <c r="E10" i="18"/>
  <c r="E9" i="18"/>
  <c r="E39" i="18"/>
  <c r="E33" i="18"/>
  <c r="P10" i="18" l="1"/>
  <c r="K10" i="18"/>
  <c r="K11" i="18"/>
  <c r="P11" i="18"/>
  <c r="P9" i="18"/>
  <c r="K46" i="18"/>
  <c r="K9" i="18"/>
  <c r="E15" i="18"/>
  <c r="E21" i="18" l="1"/>
  <c r="E8" i="18" s="1"/>
  <c r="P8" i="18" l="1"/>
  <c r="K19" i="18"/>
  <c r="K24" i="18"/>
  <c r="K27" i="18"/>
  <c r="K31" i="18"/>
  <c r="K35" i="18"/>
  <c r="K43" i="18"/>
  <c r="K47" i="18"/>
  <c r="K51" i="18"/>
  <c r="K16" i="18"/>
  <c r="K20" i="18"/>
  <c r="K28" i="18"/>
  <c r="K32" i="18"/>
  <c r="K36" i="18"/>
  <c r="K50" i="18"/>
  <c r="K49" i="18"/>
  <c r="K48" i="18"/>
  <c r="K45" i="18"/>
  <c r="K44" i="18"/>
  <c r="K42" i="18"/>
  <c r="K41" i="18"/>
  <c r="K40" i="18"/>
  <c r="K38" i="18"/>
  <c r="K37" i="18"/>
  <c r="K34" i="18"/>
  <c r="K30" i="18"/>
  <c r="K29" i="18"/>
  <c r="K26" i="18"/>
  <c r="K25" i="18"/>
  <c r="K23" i="18"/>
  <c r="K22" i="18"/>
  <c r="K18" i="18"/>
  <c r="K17" i="18"/>
  <c r="K14" i="18"/>
  <c r="K13" i="18"/>
  <c r="K12" i="18"/>
  <c r="K15" i="18" l="1"/>
  <c r="K33" i="18"/>
  <c r="K21" i="18"/>
  <c r="K39" i="18"/>
  <c r="E15" i="10"/>
  <c r="P15" i="10" s="1"/>
  <c r="E14" i="10"/>
  <c r="P14" i="10" s="1"/>
  <c r="E13" i="10"/>
  <c r="P13" i="10" s="1"/>
  <c r="E12" i="10"/>
  <c r="P12" i="10" s="1"/>
  <c r="E11" i="10"/>
  <c r="P11" i="10" s="1"/>
  <c r="E10" i="10"/>
  <c r="P10" i="10" s="1"/>
  <c r="E9" i="10"/>
  <c r="E27" i="12"/>
  <c r="P9" i="10" l="1"/>
  <c r="P8" i="10" s="1"/>
  <c r="K8" i="18"/>
  <c r="E8" i="10"/>
  <c r="O8" i="10" s="1"/>
  <c r="K27" i="12"/>
  <c r="K13" i="10"/>
  <c r="K10" i="10"/>
  <c r="K14" i="10"/>
  <c r="K11" i="10"/>
  <c r="K15" i="10"/>
  <c r="K12" i="10"/>
  <c r="K9" i="10"/>
  <c r="K8" i="10" l="1"/>
  <c r="E15" i="12"/>
  <c r="P15" i="12" s="1"/>
  <c r="E14" i="12"/>
  <c r="P14" i="12" s="1"/>
  <c r="E12" i="12"/>
  <c r="P12" i="12" s="1"/>
  <c r="E11" i="12"/>
  <c r="P11" i="12" s="1"/>
  <c r="P10" i="12" l="1"/>
  <c r="P9" i="12" s="1"/>
  <c r="K15" i="12"/>
  <c r="K11" i="12"/>
  <c r="K14" i="12"/>
  <c r="K12" i="12"/>
  <c r="E13" i="12"/>
  <c r="E10" i="12"/>
  <c r="K10" i="12" l="1"/>
  <c r="E9" i="12"/>
  <c r="K13" i="12"/>
  <c r="K9" i="12" l="1"/>
  <c r="E333" i="22"/>
  <c r="E332" i="22"/>
  <c r="E331" i="22"/>
  <c r="E330" i="22"/>
  <c r="E329" i="22"/>
  <c r="E328" i="22"/>
  <c r="E327" i="22"/>
  <c r="E326" i="22"/>
  <c r="E325" i="22"/>
  <c r="E324" i="22"/>
  <c r="E323" i="22"/>
  <c r="E322" i="22"/>
  <c r="E321" i="22"/>
  <c r="E320" i="22"/>
  <c r="E319" i="22"/>
  <c r="E318" i="22"/>
  <c r="E317" i="22"/>
  <c r="E316" i="22"/>
  <c r="E315" i="22"/>
  <c r="E314" i="22"/>
  <c r="E313" i="22"/>
  <c r="E312" i="22"/>
  <c r="E311" i="22"/>
  <c r="E310" i="22"/>
  <c r="E309" i="22"/>
  <c r="E308" i="22"/>
  <c r="E307" i="22"/>
  <c r="E306" i="22"/>
  <c r="E305" i="22"/>
  <c r="E304" i="22"/>
  <c r="E303" i="22"/>
  <c r="E302" i="22"/>
  <c r="E301" i="22"/>
  <c r="E300" i="22"/>
  <c r="E299" i="22"/>
  <c r="E297" i="22"/>
  <c r="E296" i="22"/>
  <c r="E295" i="22"/>
  <c r="E294" i="22"/>
  <c r="E293" i="22"/>
  <c r="E292" i="22"/>
  <c r="E291" i="22"/>
  <c r="E290" i="22"/>
  <c r="E289" i="22"/>
  <c r="E287" i="22"/>
  <c r="E286" i="22"/>
  <c r="E285" i="22"/>
  <c r="E284" i="22"/>
  <c r="E283" i="22"/>
  <c r="E282" i="22"/>
  <c r="E281" i="22"/>
  <c r="E280" i="22"/>
  <c r="E279" i="22"/>
  <c r="E278" i="22"/>
  <c r="E277" i="22"/>
  <c r="E276" i="22"/>
  <c r="E275" i="22"/>
  <c r="E274" i="22"/>
  <c r="E273" i="22"/>
  <c r="E272" i="22"/>
  <c r="E271" i="22"/>
  <c r="E270" i="22"/>
  <c r="E269" i="22"/>
  <c r="E268" i="22"/>
  <c r="E267" i="22"/>
  <c r="E266" i="22"/>
  <c r="E265" i="22"/>
  <c r="E264" i="22"/>
  <c r="E263" i="22"/>
  <c r="E262" i="22"/>
  <c r="E261" i="22"/>
  <c r="E259" i="22"/>
  <c r="E258" i="22"/>
  <c r="E257" i="22"/>
  <c r="E256" i="22"/>
  <c r="E255" i="22"/>
  <c r="E254"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E229" i="22"/>
  <c r="E228" i="22"/>
  <c r="E227" i="22"/>
  <c r="E226" i="22"/>
  <c r="E225" i="22"/>
  <c r="E224" i="22"/>
  <c r="E223" i="22"/>
  <c r="E222" i="22"/>
  <c r="E221" i="22"/>
  <c r="E220" i="22"/>
  <c r="E219" i="22"/>
  <c r="E218" i="22"/>
  <c r="E216" i="22"/>
  <c r="E215" i="22"/>
  <c r="E214" i="22"/>
  <c r="E213" i="22"/>
  <c r="E212" i="22"/>
  <c r="E211" i="22"/>
  <c r="E210" i="22"/>
  <c r="E209" i="22"/>
  <c r="E208" i="22"/>
  <c r="E207" i="22"/>
  <c r="E205" i="22"/>
  <c r="E204" i="22"/>
  <c r="E203" i="22"/>
  <c r="E202" i="22"/>
  <c r="E200" i="22"/>
  <c r="E199" i="22"/>
  <c r="E198" i="22"/>
  <c r="E197" i="22"/>
  <c r="E196" i="22"/>
  <c r="E195" i="22"/>
  <c r="E194" i="22"/>
  <c r="E193" i="22"/>
  <c r="E192" i="22"/>
  <c r="E191" i="22"/>
  <c r="E190"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7" i="22"/>
  <c r="E116" i="22"/>
  <c r="E115" i="22"/>
  <c r="E114" i="22"/>
  <c r="E113" i="22"/>
  <c r="E111" i="22"/>
  <c r="E109" i="22"/>
  <c r="E108" i="22"/>
  <c r="E107" i="22"/>
  <c r="E106" i="22"/>
  <c r="E105" i="22"/>
  <c r="E104"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E62" i="22"/>
  <c r="E61" i="22"/>
  <c r="E60" i="22"/>
  <c r="E59" i="22"/>
  <c r="E58" i="22"/>
  <c r="E57" i="22"/>
  <c r="E56" i="22"/>
  <c r="E55" i="22"/>
  <c r="E54" i="22"/>
  <c r="E53" i="22"/>
  <c r="E52" i="22"/>
  <c r="E51" i="22"/>
  <c r="E49" i="22"/>
  <c r="E48" i="22"/>
  <c r="E47" i="22"/>
  <c r="E46" i="22"/>
  <c r="E45" i="22"/>
  <c r="E44" i="22"/>
  <c r="E43" i="22"/>
  <c r="E42" i="22"/>
  <c r="E41" i="22"/>
  <c r="E40" i="22"/>
  <c r="E39" i="22"/>
  <c r="E38" i="22"/>
  <c r="E37" i="22"/>
  <c r="E36" i="22"/>
  <c r="E35" i="22"/>
  <c r="E34" i="22"/>
  <c r="E33" i="22"/>
  <c r="E32" i="22"/>
  <c r="E31" i="22"/>
  <c r="E30" i="22"/>
  <c r="E29" i="22"/>
  <c r="E28" i="22"/>
  <c r="E27" i="22"/>
  <c r="D26" i="22"/>
  <c r="E26" i="22" s="1"/>
  <c r="E25" i="22"/>
  <c r="E24" i="22"/>
  <c r="E23" i="22"/>
  <c r="E22" i="22"/>
  <c r="E21" i="22"/>
  <c r="D20" i="22"/>
  <c r="E20" i="22" s="1"/>
  <c r="E19" i="22"/>
  <c r="E18" i="22"/>
  <c r="E17" i="22"/>
  <c r="E16" i="22"/>
  <c r="E15" i="22"/>
  <c r="E14" i="22"/>
  <c r="E13" i="22"/>
  <c r="E12" i="22"/>
  <c r="E11" i="22"/>
  <c r="D10" i="22"/>
  <c r="E8" i="22"/>
  <c r="E7" i="22"/>
  <c r="E102" i="22" l="1"/>
  <c r="E22" i="12"/>
  <c r="P22" i="12" s="1"/>
  <c r="E288" i="22"/>
  <c r="E112" i="22"/>
  <c r="E110" i="22"/>
  <c r="E119" i="22"/>
  <c r="E217" i="22"/>
  <c r="E260" i="22"/>
  <c r="D9" i="22"/>
  <c r="E9" i="22" s="1"/>
  <c r="E147" i="22"/>
  <c r="E148" i="22"/>
  <c r="E10" i="22"/>
  <c r="E50" i="22"/>
  <c r="E103" i="22"/>
  <c r="K22" i="12" l="1"/>
  <c r="E23" i="12"/>
  <c r="P23" i="12" s="1"/>
  <c r="E8" i="15"/>
  <c r="E24" i="12" l="1"/>
  <c r="P24" i="12" s="1"/>
  <c r="K23" i="12"/>
  <c r="E25" i="12" l="1"/>
  <c r="P25" i="12" s="1"/>
  <c r="K24" i="12"/>
  <c r="K25" i="12" l="1"/>
  <c r="E26" i="12"/>
  <c r="P26" i="12" s="1"/>
  <c r="F298" i="22"/>
  <c r="E21" i="12" l="1"/>
  <c r="E298" i="22"/>
  <c r="K26" i="12"/>
  <c r="K21" i="12" s="1"/>
  <c r="Q4" i="15" l="1"/>
  <c r="E5" i="15"/>
  <c r="L9" i="15" l="1"/>
  <c r="L11" i="15"/>
  <c r="L10" i="15"/>
  <c r="D11" i="15"/>
  <c r="Q11" i="15" s="1"/>
  <c r="H33" i="17" s="1"/>
  <c r="D9" i="15"/>
  <c r="Q9" i="15" s="1"/>
  <c r="D10" i="15"/>
  <c r="Q10" i="15" s="1"/>
  <c r="H32" i="17" s="1"/>
  <c r="Q4" i="12"/>
  <c r="E5" i="12"/>
  <c r="Q4" i="10"/>
  <c r="E5" i="10"/>
  <c r="L12" i="12" l="1"/>
  <c r="L11" i="12"/>
  <c r="E16" i="12"/>
  <c r="E8" i="12" s="1"/>
  <c r="E19" i="12"/>
  <c r="E20" i="12"/>
  <c r="E17" i="12"/>
  <c r="E18" i="12"/>
  <c r="Q8" i="15"/>
  <c r="H31" i="17"/>
  <c r="M28" i="26" s="1"/>
  <c r="L8" i="15"/>
  <c r="Q12" i="12"/>
  <c r="Q11" i="12"/>
  <c r="Q14" i="12"/>
  <c r="Q22" i="12"/>
  <c r="Q15" i="12"/>
  <c r="Q26" i="12"/>
  <c r="Q23" i="12"/>
  <c r="Q24" i="12"/>
  <c r="Q25" i="12"/>
  <c r="L14" i="12"/>
  <c r="D10" i="10"/>
  <c r="Q10" i="10" s="1"/>
  <c r="D11" i="10"/>
  <c r="Q11" i="10" s="1"/>
  <c r="D12" i="10"/>
  <c r="Q12" i="10" s="1"/>
  <c r="D13" i="10"/>
  <c r="Q13" i="10" s="1"/>
  <c r="D14" i="10"/>
  <c r="Q14" i="10" s="1"/>
  <c r="D15" i="10"/>
  <c r="Q15" i="10" s="1"/>
  <c r="D9" i="10"/>
  <c r="Q9" i="10" s="1"/>
  <c r="L14" i="10"/>
  <c r="L10" i="10"/>
  <c r="L13" i="10"/>
  <c r="L12" i="10"/>
  <c r="D8" i="10"/>
  <c r="L15" i="10"/>
  <c r="L11" i="10"/>
  <c r="L9" i="10"/>
  <c r="D27" i="12"/>
  <c r="L27" i="12"/>
  <c r="L15" i="12"/>
  <c r="D22" i="12"/>
  <c r="D23" i="12"/>
  <c r="L22" i="12"/>
  <c r="D24" i="12"/>
  <c r="L23" i="12"/>
  <c r="L24" i="12"/>
  <c r="D25" i="12"/>
  <c r="L25" i="12"/>
  <c r="D26" i="12"/>
  <c r="L26" i="12"/>
  <c r="D8" i="15"/>
  <c r="D14" i="12"/>
  <c r="D15" i="12"/>
  <c r="D12" i="12"/>
  <c r="D11" i="12"/>
  <c r="O8" i="15" l="1"/>
  <c r="M76" i="26"/>
  <c r="M64" i="27" s="1"/>
  <c r="J64" i="27" s="1"/>
  <c r="L10" i="12"/>
  <c r="H21" i="17"/>
  <c r="D29" i="12"/>
  <c r="D30" i="12" s="1"/>
  <c r="Q21" i="12"/>
  <c r="Q28" i="12"/>
  <c r="Q29" i="12" s="1"/>
  <c r="M58" i="26"/>
  <c r="M75" i="26"/>
  <c r="M63" i="27" s="1"/>
  <c r="J63" i="27" s="1"/>
  <c r="D21" i="12"/>
  <c r="P17" i="12"/>
  <c r="K17" i="12"/>
  <c r="P19" i="12"/>
  <c r="K19" i="12"/>
  <c r="H30" i="17"/>
  <c r="P18" i="12"/>
  <c r="K18" i="12"/>
  <c r="P20" i="12"/>
  <c r="K20" i="12"/>
  <c r="M57" i="26"/>
  <c r="Q13" i="12"/>
  <c r="Q10" i="12"/>
  <c r="H19" i="17"/>
  <c r="Q8" i="10"/>
  <c r="H16" i="17" s="1"/>
  <c r="G21" i="17"/>
  <c r="L21" i="12"/>
  <c r="L13" i="12"/>
  <c r="D10" i="12"/>
  <c r="D13" i="12"/>
  <c r="Q4" i="18"/>
  <c r="E5" i="18"/>
  <c r="Q4" i="9"/>
  <c r="E5" i="9"/>
  <c r="E5" i="19"/>
  <c r="Q4" i="19"/>
  <c r="E5" i="2"/>
  <c r="Q4" i="2"/>
  <c r="E5" i="20"/>
  <c r="Q4" i="20"/>
  <c r="G20" i="17" l="1"/>
  <c r="E32" i="12"/>
  <c r="E33" i="12" s="1"/>
  <c r="D31" i="12"/>
  <c r="D32" i="12" s="1"/>
  <c r="D33" i="12" s="1"/>
  <c r="Q9" i="12"/>
  <c r="J57" i="26"/>
  <c r="J76" i="26"/>
  <c r="J75" i="26"/>
  <c r="D9" i="12"/>
  <c r="K16" i="12"/>
  <c r="P16" i="12"/>
  <c r="M45" i="27"/>
  <c r="J45" i="27" s="1"/>
  <c r="M46" i="27"/>
  <c r="J46" i="27" s="1"/>
  <c r="J58" i="26"/>
  <c r="L9" i="12"/>
  <c r="Q10" i="9"/>
  <c r="Q9" i="9"/>
  <c r="Q18" i="9"/>
  <c r="Q11" i="9"/>
  <c r="Q14" i="9"/>
  <c r="Q15" i="9"/>
  <c r="Q12" i="9"/>
  <c r="Q13" i="9"/>
  <c r="Q16" i="9"/>
  <c r="Q17" i="9"/>
  <c r="L9" i="20"/>
  <c r="Q10" i="20"/>
  <c r="Q16" i="20"/>
  <c r="Q13" i="20"/>
  <c r="Q17" i="20"/>
  <c r="Q12" i="20"/>
  <c r="Q9" i="20"/>
  <c r="Q11" i="20"/>
  <c r="Q14" i="20"/>
  <c r="Q15" i="20"/>
  <c r="Q13" i="19"/>
  <c r="Q10" i="19"/>
  <c r="Q11" i="19"/>
  <c r="Q14" i="19"/>
  <c r="Q15" i="19"/>
  <c r="Q17" i="19"/>
  <c r="Q20" i="19"/>
  <c r="Q12" i="19"/>
  <c r="Q18" i="19"/>
  <c r="Q19" i="19"/>
  <c r="Q9" i="19"/>
  <c r="Q16" i="19"/>
  <c r="Q32" i="18"/>
  <c r="Q24" i="18"/>
  <c r="Q38" i="18"/>
  <c r="Q36" i="18"/>
  <c r="Q34" i="18"/>
  <c r="Q26" i="18"/>
  <c r="Q20" i="18"/>
  <c r="Q18" i="18"/>
  <c r="Q16" i="18"/>
  <c r="Q19" i="18"/>
  <c r="Q28" i="18"/>
  <c r="Q37" i="18"/>
  <c r="Q35" i="18"/>
  <c r="Q30" i="18"/>
  <c r="Q22" i="18"/>
  <c r="Q17" i="18"/>
  <c r="Q23" i="18"/>
  <c r="Q50" i="18"/>
  <c r="Q49" i="18"/>
  <c r="Q8" i="18"/>
  <c r="H15" i="17" s="1"/>
  <c r="Q47" i="18"/>
  <c r="Q9" i="18"/>
  <c r="Q44" i="18"/>
  <c r="Q51" i="18"/>
  <c r="Q13" i="18"/>
  <c r="Q48" i="18"/>
  <c r="Q40" i="18"/>
  <c r="Q31" i="18"/>
  <c r="Q14" i="18"/>
  <c r="Q12" i="18"/>
  <c r="Q10" i="18"/>
  <c r="Q42" i="18"/>
  <c r="Q25" i="18"/>
  <c r="Q29" i="18"/>
  <c r="Q27" i="18"/>
  <c r="Q45" i="18"/>
  <c r="Q11" i="18"/>
  <c r="Q46" i="18"/>
  <c r="Q41" i="18"/>
  <c r="Q43" i="18"/>
  <c r="O21" i="12"/>
  <c r="P21" i="12" s="1"/>
  <c r="L9" i="19"/>
  <c r="L10" i="19"/>
  <c r="L13" i="19"/>
  <c r="L15" i="19"/>
  <c r="L17" i="19"/>
  <c r="L11" i="19"/>
  <c r="L9" i="18"/>
  <c r="H20" i="17"/>
  <c r="O16" i="12"/>
  <c r="D17" i="19"/>
  <c r="D13" i="19"/>
  <c r="D9" i="19"/>
  <c r="D10" i="19"/>
  <c r="D20" i="19"/>
  <c r="D16" i="19"/>
  <c r="D12" i="19"/>
  <c r="D18" i="19"/>
  <c r="D19" i="19"/>
  <c r="D15" i="19"/>
  <c r="D11" i="19"/>
  <c r="D14" i="19"/>
  <c r="L16" i="19"/>
  <c r="L19" i="19"/>
  <c r="L12" i="19"/>
  <c r="L18" i="19"/>
  <c r="L20" i="19"/>
  <c r="L14" i="19"/>
  <c r="D8" i="19"/>
  <c r="D41" i="18"/>
  <c r="D20" i="18"/>
  <c r="D38" i="18"/>
  <c r="D12" i="18"/>
  <c r="D30" i="18"/>
  <c r="D48" i="18"/>
  <c r="D13" i="18"/>
  <c r="D36" i="18"/>
  <c r="D14" i="18"/>
  <c r="D32" i="18"/>
  <c r="D50" i="18"/>
  <c r="D25" i="18"/>
  <c r="D47" i="18"/>
  <c r="D17" i="18"/>
  <c r="D35" i="18"/>
  <c r="D9" i="18"/>
  <c r="D18" i="18"/>
  <c r="D45" i="18"/>
  <c r="D19" i="18"/>
  <c r="D37" i="18"/>
  <c r="D16" i="18"/>
  <c r="D29" i="18"/>
  <c r="D51" i="18"/>
  <c r="D22" i="18"/>
  <c r="D40" i="18"/>
  <c r="D31" i="18"/>
  <c r="D23" i="18"/>
  <c r="D49" i="18"/>
  <c r="D24" i="18"/>
  <c r="D42" i="18"/>
  <c r="D43" i="18"/>
  <c r="D11" i="18"/>
  <c r="D34" i="18"/>
  <c r="D39" i="18"/>
  <c r="D26" i="18"/>
  <c r="D44" i="18"/>
  <c r="D33" i="18"/>
  <c r="D27" i="18"/>
  <c r="D10" i="18"/>
  <c r="D28" i="18"/>
  <c r="D46" i="18"/>
  <c r="D15" i="18"/>
  <c r="D21" i="18"/>
  <c r="L22" i="18"/>
  <c r="L49" i="18"/>
  <c r="L40" i="18"/>
  <c r="L43" i="18"/>
  <c r="L25" i="18"/>
  <c r="L36" i="18"/>
  <c r="L12" i="18"/>
  <c r="L42" i="18"/>
  <c r="L31" i="18"/>
  <c r="L29" i="18"/>
  <c r="L28" i="18"/>
  <c r="L14" i="18"/>
  <c r="L45" i="18"/>
  <c r="L24" i="18"/>
  <c r="L34" i="18"/>
  <c r="L16" i="18"/>
  <c r="L18" i="18"/>
  <c r="L48" i="18"/>
  <c r="D8" i="18"/>
  <c r="L19" i="18"/>
  <c r="L51" i="18"/>
  <c r="L38" i="18"/>
  <c r="L47" i="18"/>
  <c r="L23" i="18"/>
  <c r="L50" i="18"/>
  <c r="L11" i="18"/>
  <c r="L41" i="18"/>
  <c r="L35" i="18"/>
  <c r="L26" i="18"/>
  <c r="L32" i="18"/>
  <c r="L13" i="18"/>
  <c r="L44" i="18"/>
  <c r="L27" i="18"/>
  <c r="L30" i="18"/>
  <c r="L20" i="18"/>
  <c r="L17" i="18"/>
  <c r="L46" i="18"/>
  <c r="L37" i="18"/>
  <c r="L10" i="18"/>
  <c r="D10" i="2"/>
  <c r="Q10" i="2" s="1"/>
  <c r="D12" i="2"/>
  <c r="Q12" i="2" s="1"/>
  <c r="D11" i="2"/>
  <c r="Q11" i="2" s="1"/>
  <c r="D8" i="2"/>
  <c r="L11" i="2"/>
  <c r="D9" i="2"/>
  <c r="Q9" i="2" s="1"/>
  <c r="L10" i="2"/>
  <c r="L12" i="2"/>
  <c r="L9" i="2"/>
  <c r="L14" i="9"/>
  <c r="L9" i="9"/>
  <c r="L16" i="9"/>
  <c r="L12" i="9"/>
  <c r="L11" i="9"/>
  <c r="L13" i="9"/>
  <c r="L17" i="9"/>
  <c r="L18" i="9"/>
  <c r="L10" i="9"/>
  <c r="L15" i="9"/>
  <c r="D17" i="9"/>
  <c r="D13" i="9"/>
  <c r="D9" i="9"/>
  <c r="D16" i="9"/>
  <c r="D12" i="9"/>
  <c r="D15" i="9"/>
  <c r="D11" i="9"/>
  <c r="D18" i="9"/>
  <c r="D14" i="9"/>
  <c r="D10" i="9"/>
  <c r="D8" i="9"/>
  <c r="D10" i="20"/>
  <c r="D14" i="20"/>
  <c r="L10" i="20"/>
  <c r="L15" i="20"/>
  <c r="L16" i="20"/>
  <c r="D11" i="20"/>
  <c r="D12" i="20"/>
  <c r="D16" i="20"/>
  <c r="D17" i="20"/>
  <c r="L14" i="20"/>
  <c r="L13" i="20"/>
  <c r="D9" i="20"/>
  <c r="D15" i="20"/>
  <c r="L12" i="20"/>
  <c r="D13" i="20"/>
  <c r="L11" i="20"/>
  <c r="L17" i="20"/>
  <c r="K8" i="12" l="1"/>
  <c r="F39" i="17"/>
  <c r="L8" i="12"/>
  <c r="Q8" i="12"/>
  <c r="O9" i="12"/>
  <c r="P8" i="12"/>
  <c r="Q21" i="18"/>
  <c r="Q8" i="19"/>
  <c r="P8" i="19" s="1"/>
  <c r="Q8" i="9"/>
  <c r="O8" i="9" s="1"/>
  <c r="Q39" i="18"/>
  <c r="Q15" i="18"/>
  <c r="Q33" i="18"/>
  <c r="Q8" i="20"/>
  <c r="Q8" i="2"/>
  <c r="H11" i="17" s="1"/>
  <c r="M19" i="26" s="1"/>
  <c r="L8" i="19"/>
  <c r="J8" i="19" s="1"/>
  <c r="G19" i="17"/>
  <c r="D8" i="12"/>
  <c r="L8" i="9"/>
  <c r="J8" i="9" s="1"/>
  <c r="H14" i="17"/>
  <c r="M16" i="26" s="1"/>
  <c r="H18" i="17"/>
  <c r="H17" i="17" s="1"/>
  <c r="L15" i="18"/>
  <c r="L33" i="18"/>
  <c r="L39" i="18"/>
  <c r="L21" i="18"/>
  <c r="D8" i="20"/>
  <c r="G8" i="20" s="1"/>
  <c r="J8" i="12" l="1"/>
  <c r="O8" i="12"/>
  <c r="J16" i="26"/>
  <c r="J19" i="26"/>
  <c r="O8" i="19"/>
  <c r="P8" i="20"/>
  <c r="O8" i="20"/>
  <c r="H13" i="17"/>
  <c r="L8" i="18"/>
  <c r="J8" i="18" s="1"/>
  <c r="H12" i="17"/>
  <c r="H10" i="17"/>
  <c r="G18" i="17"/>
  <c r="G17" i="17" l="1"/>
  <c r="M31" i="26"/>
  <c r="J31" i="26" s="1"/>
  <c r="H9" i="17"/>
  <c r="M25" i="26"/>
  <c r="J25" i="26" s="1"/>
  <c r="D12" i="8"/>
  <c r="D13" i="8"/>
  <c r="D14" i="8"/>
  <c r="D15" i="8"/>
  <c r="D17" i="8"/>
  <c r="D18" i="8"/>
  <c r="D19" i="8"/>
  <c r="D20" i="8"/>
  <c r="D22" i="8"/>
  <c r="D23" i="8"/>
  <c r="D24" i="8"/>
  <c r="D25" i="8"/>
  <c r="M12" i="8"/>
  <c r="M16" i="27" l="1"/>
  <c r="J16" i="27" s="1"/>
  <c r="M19" i="27"/>
  <c r="J19" i="27" s="1"/>
  <c r="L8" i="2"/>
  <c r="J8" i="2" s="1"/>
  <c r="N12" i="8"/>
  <c r="K12" i="8"/>
  <c r="J12" i="8"/>
  <c r="H12" i="8" l="1"/>
  <c r="L8" i="20" l="1"/>
  <c r="J8" i="20" s="1"/>
  <c r="G12" i="8" s="1"/>
  <c r="N14" i="8"/>
  <c r="M14" i="8"/>
  <c r="G10" i="17" l="1"/>
  <c r="O14" i="8"/>
  <c r="K14" i="8"/>
  <c r="O12" i="8"/>
  <c r="L12" i="8"/>
  <c r="I12" i="8"/>
  <c r="N17" i="8"/>
  <c r="H14" i="8"/>
  <c r="G14" i="8"/>
  <c r="J14" i="8"/>
  <c r="M30" i="26" l="1"/>
  <c r="J30" i="26" s="1"/>
  <c r="M15" i="27"/>
  <c r="O17" i="8"/>
  <c r="K17" i="8"/>
  <c r="H17" i="8"/>
  <c r="M17" i="8"/>
  <c r="J17" i="8"/>
  <c r="G17" i="8"/>
  <c r="I14" i="8" l="1"/>
  <c r="G12" i="17"/>
  <c r="L14" i="8"/>
  <c r="L17" i="8"/>
  <c r="M22" i="8"/>
  <c r="M23" i="8"/>
  <c r="M24" i="8"/>
  <c r="J22" i="8"/>
  <c r="J23" i="8"/>
  <c r="J24" i="8"/>
  <c r="G22" i="8"/>
  <c r="G23" i="8"/>
  <c r="G24" i="8"/>
  <c r="I17" i="8" l="1"/>
  <c r="G15" i="17"/>
  <c r="E21" i="8"/>
  <c r="D21" i="8" s="1"/>
  <c r="E7" i="16"/>
  <c r="D7" i="16" s="1"/>
  <c r="O29" i="16"/>
  <c r="N29" i="16"/>
  <c r="L29" i="16"/>
  <c r="K29" i="16"/>
  <c r="I29" i="16"/>
  <c r="H29" i="16"/>
  <c r="O28" i="16"/>
  <c r="N28" i="16"/>
  <c r="L28" i="16"/>
  <c r="K28" i="16"/>
  <c r="I28" i="16"/>
  <c r="H28" i="16"/>
  <c r="O27" i="16"/>
  <c r="N27" i="16"/>
  <c r="L27" i="16"/>
  <c r="K27" i="16"/>
  <c r="I27" i="16"/>
  <c r="H27" i="16"/>
  <c r="O26" i="16"/>
  <c r="N26" i="16"/>
  <c r="L26" i="16"/>
  <c r="K26" i="16"/>
  <c r="I26" i="16"/>
  <c r="H26" i="16"/>
  <c r="O25" i="16"/>
  <c r="N25" i="16"/>
  <c r="L25" i="16"/>
  <c r="K25" i="16"/>
  <c r="I25" i="16"/>
  <c r="H25" i="16"/>
  <c r="O24" i="16"/>
  <c r="N24" i="16"/>
  <c r="L24" i="16"/>
  <c r="K24" i="16"/>
  <c r="I24" i="16"/>
  <c r="H24" i="16"/>
  <c r="O23" i="16"/>
  <c r="N23" i="16"/>
  <c r="L23" i="16"/>
  <c r="K23" i="16"/>
  <c r="I23" i="16"/>
  <c r="H23" i="16"/>
  <c r="O22" i="16"/>
  <c r="N22" i="16"/>
  <c r="L22" i="16"/>
  <c r="K22" i="16"/>
  <c r="I22" i="16"/>
  <c r="H22" i="16"/>
  <c r="O21" i="16"/>
  <c r="N21" i="16"/>
  <c r="L21" i="16"/>
  <c r="K21" i="16"/>
  <c r="I21" i="16"/>
  <c r="H21" i="16"/>
  <c r="O20" i="16"/>
  <c r="N20" i="16"/>
  <c r="L20" i="16"/>
  <c r="K20" i="16"/>
  <c r="I20" i="16"/>
  <c r="H20" i="16"/>
  <c r="O19" i="16"/>
  <c r="N19" i="16"/>
  <c r="L19" i="16"/>
  <c r="K19" i="16"/>
  <c r="I19" i="16"/>
  <c r="H19" i="16"/>
  <c r="O18" i="16"/>
  <c r="N18" i="16"/>
  <c r="L18" i="16"/>
  <c r="K18" i="16"/>
  <c r="I18" i="16"/>
  <c r="H18" i="16"/>
  <c r="O17" i="16"/>
  <c r="N17" i="16"/>
  <c r="L17" i="16"/>
  <c r="K17" i="16"/>
  <c r="I17" i="16"/>
  <c r="H17" i="16"/>
  <c r="O16" i="16"/>
  <c r="N16" i="16"/>
  <c r="L16" i="16"/>
  <c r="K16" i="16"/>
  <c r="I16" i="16"/>
  <c r="H16" i="16"/>
  <c r="O15" i="16"/>
  <c r="N15" i="16"/>
  <c r="L15" i="16"/>
  <c r="K15" i="16"/>
  <c r="I15" i="16"/>
  <c r="H15" i="16"/>
  <c r="N14" i="16"/>
  <c r="K14" i="16"/>
  <c r="H14" i="16"/>
  <c r="D14" i="16"/>
  <c r="O14" i="16" s="1"/>
  <c r="N13" i="16"/>
  <c r="K13" i="16"/>
  <c r="H13" i="16"/>
  <c r="D13" i="16"/>
  <c r="O13" i="16" s="1"/>
  <c r="N12" i="16"/>
  <c r="K12" i="16"/>
  <c r="H12" i="16"/>
  <c r="D12" i="16"/>
  <c r="O12" i="16" s="1"/>
  <c r="N11" i="16"/>
  <c r="K11" i="16"/>
  <c r="H11" i="16"/>
  <c r="D11" i="16"/>
  <c r="O11" i="16" s="1"/>
  <c r="N10" i="16"/>
  <c r="K10" i="16"/>
  <c r="H10" i="16"/>
  <c r="D10" i="16"/>
  <c r="O10" i="16" s="1"/>
  <c r="N9" i="16"/>
  <c r="K9" i="16"/>
  <c r="H9" i="16"/>
  <c r="D9" i="16"/>
  <c r="O9" i="16" s="1"/>
  <c r="N8" i="16"/>
  <c r="K8" i="16"/>
  <c r="K7" i="16" s="1"/>
  <c r="H8" i="16"/>
  <c r="D8" i="16"/>
  <c r="O8" i="16" s="1"/>
  <c r="E11" i="8"/>
  <c r="O7" i="16" l="1"/>
  <c r="G7" i="16"/>
  <c r="J7" i="16"/>
  <c r="M7" i="16"/>
  <c r="H7" i="16"/>
  <c r="N7" i="16"/>
  <c r="D11" i="8"/>
  <c r="I9" i="16"/>
  <c r="L9" i="16"/>
  <c r="I11" i="16"/>
  <c r="L11" i="16"/>
  <c r="I13" i="16"/>
  <c r="L13" i="16"/>
  <c r="I8" i="16"/>
  <c r="L8" i="16"/>
  <c r="I10" i="16"/>
  <c r="L10" i="16"/>
  <c r="I12" i="16"/>
  <c r="L12" i="16"/>
  <c r="I14" i="16"/>
  <c r="L14" i="16"/>
  <c r="L7" i="16" l="1"/>
  <c r="I7" i="16"/>
  <c r="M19" i="8"/>
  <c r="J19" i="8"/>
  <c r="G20" i="8"/>
  <c r="K18" i="8" l="1"/>
  <c r="N18" i="8"/>
  <c r="N15" i="8"/>
  <c r="M15" i="8"/>
  <c r="M21" i="8"/>
  <c r="J21" i="8"/>
  <c r="M18" i="8"/>
  <c r="J18" i="8"/>
  <c r="K15" i="8"/>
  <c r="H15" i="8"/>
  <c r="G15" i="8"/>
  <c r="J15" i="8" l="1"/>
  <c r="M13" i="8"/>
  <c r="J13" i="8"/>
  <c r="G13" i="8"/>
  <c r="H18" i="8" l="1"/>
  <c r="E16" i="8"/>
  <c r="N24" i="8"/>
  <c r="K24" i="8"/>
  <c r="H24" i="8"/>
  <c r="N23" i="8"/>
  <c r="K23" i="8"/>
  <c r="H23" i="8"/>
  <c r="N22" i="8"/>
  <c r="K22" i="8"/>
  <c r="H22" i="8"/>
  <c r="N21" i="8"/>
  <c r="K21" i="8"/>
  <c r="O21" i="8"/>
  <c r="O19" i="8"/>
  <c r="O22" i="8" l="1"/>
  <c r="O23" i="8"/>
  <c r="O24" i="8"/>
  <c r="D16" i="8"/>
  <c r="D8" i="8" s="1"/>
  <c r="E8" i="8"/>
  <c r="J16" i="8"/>
  <c r="K16" i="8" s="1"/>
  <c r="M16" i="8"/>
  <c r="N16" i="8" s="1"/>
  <c r="L21" i="8"/>
  <c r="L19" i="8"/>
  <c r="I23" i="8" l="1"/>
  <c r="G32" i="17"/>
  <c r="I24" i="8"/>
  <c r="G33" i="17"/>
  <c r="I22" i="8"/>
  <c r="G31" i="17"/>
  <c r="M27" i="26" s="1"/>
  <c r="L23" i="8"/>
  <c r="L24" i="8"/>
  <c r="L22" i="8"/>
  <c r="O16" i="8"/>
  <c r="L16" i="8"/>
  <c r="G30" i="17" l="1"/>
  <c r="N13" i="8"/>
  <c r="K13" i="8"/>
  <c r="L8" i="10"/>
  <c r="J8" i="10" s="1"/>
  <c r="G18" i="8" s="1"/>
  <c r="G16" i="8" s="1"/>
  <c r="H13" i="8"/>
  <c r="H16" i="8" l="1"/>
  <c r="I16" i="8"/>
  <c r="O18" i="8"/>
  <c r="O13" i="8"/>
  <c r="O15" i="8"/>
  <c r="L18" i="8"/>
  <c r="L15" i="8"/>
  <c r="L13" i="8"/>
  <c r="I13" i="8"/>
  <c r="G11" i="17"/>
  <c r="I15" i="8"/>
  <c r="G13" i="17"/>
  <c r="I18" i="8"/>
  <c r="G16" i="17"/>
  <c r="G14" i="17" s="1"/>
  <c r="M73" i="27" s="1"/>
  <c r="G11" i="8"/>
  <c r="M24" i="26" l="1"/>
  <c r="M18" i="27"/>
  <c r="M18" i="26"/>
  <c r="M74" i="27"/>
  <c r="M15" i="26"/>
  <c r="G9" i="17"/>
  <c r="M11" i="8"/>
  <c r="J11" i="8"/>
  <c r="O11" i="8" l="1"/>
  <c r="N11" i="8"/>
  <c r="L11" i="8"/>
  <c r="K11" i="8"/>
  <c r="I11" i="8" l="1"/>
  <c r="H11" i="8"/>
  <c r="I19" i="8" l="1"/>
  <c r="G19" i="8"/>
  <c r="M20" i="8" l="1"/>
  <c r="J20" i="8"/>
  <c r="K20" i="8"/>
  <c r="N20" i="8" l="1"/>
  <c r="K19" i="8" l="1"/>
  <c r="N19" i="8"/>
  <c r="H19" i="8"/>
  <c r="E206" i="22"/>
  <c r="E201" i="22"/>
  <c r="O20" i="8" l="1"/>
  <c r="O8" i="8" s="1"/>
  <c r="E189" i="22"/>
  <c r="H20" i="8"/>
  <c r="D6" i="22" l="1"/>
  <c r="E118" i="22"/>
  <c r="E6" i="22" s="1"/>
  <c r="G6" i="22" s="1"/>
  <c r="L20" i="8"/>
  <c r="L8" i="8" s="1"/>
  <c r="I20" i="8" l="1"/>
  <c r="I8" i="8" s="1"/>
  <c r="D9" i="23"/>
  <c r="E9" i="23"/>
  <c r="O9" i="23" l="1"/>
  <c r="J9" i="23"/>
  <c r="P132" i="23"/>
  <c r="Q132" i="23" s="1"/>
  <c r="M73" i="26" s="1"/>
  <c r="J73" i="26" l="1"/>
  <c r="M61" i="27"/>
  <c r="J61" i="27" s="1"/>
  <c r="M72" i="26"/>
  <c r="J72" i="26" l="1"/>
  <c r="M60" i="27"/>
  <c r="J60" i="27" s="1"/>
  <c r="E148" i="23"/>
  <c r="E147" i="23" s="1"/>
  <c r="P149" i="23"/>
  <c r="P148" i="23" s="1"/>
  <c r="P147" i="23" s="1"/>
  <c r="D148" i="23"/>
  <c r="D147" i="23" s="1"/>
  <c r="Q148" i="23" l="1"/>
  <c r="M39" i="26"/>
  <c r="J39" i="26" l="1"/>
  <c r="M27" i="27"/>
  <c r="Q147" i="23"/>
  <c r="O147" i="23" s="1"/>
  <c r="O148" i="23"/>
  <c r="J27" i="27" l="1"/>
  <c r="H27" i="17"/>
  <c r="G27" i="17"/>
  <c r="E133" i="23"/>
  <c r="K133" i="23" s="1"/>
  <c r="L133" i="23" l="1"/>
  <c r="K131" i="23"/>
  <c r="K120" i="23" s="1"/>
  <c r="K8" i="23" s="1"/>
  <c r="E131" i="23"/>
  <c r="E120" i="23" s="1"/>
  <c r="E8" i="23" s="1"/>
  <c r="P133" i="23"/>
  <c r="D131" i="23"/>
  <c r="D120" i="23" s="1"/>
  <c r="D8" i="23" s="1"/>
  <c r="L131" i="23" l="1"/>
  <c r="Q133" i="23"/>
  <c r="P131" i="23"/>
  <c r="P120" i="23" s="1"/>
  <c r="P8" i="23" s="1"/>
  <c r="M60" i="26"/>
  <c r="M81" i="26" s="1"/>
  <c r="V81" i="26" l="1"/>
  <c r="L120" i="23"/>
  <c r="M61" i="26"/>
  <c r="W20" i="28"/>
  <c r="I20" i="28"/>
  <c r="J60" i="26"/>
  <c r="M48" i="27"/>
  <c r="Q131" i="23"/>
  <c r="J48" i="27" l="1"/>
  <c r="L8" i="23"/>
  <c r="J8" i="23" s="1"/>
  <c r="J82" i="26"/>
  <c r="M49" i="27"/>
  <c r="J49" i="27" s="1"/>
  <c r="J61" i="26"/>
  <c r="AA20" i="28"/>
  <c r="Q120" i="23"/>
  <c r="O120" i="23" s="1"/>
  <c r="O131" i="23"/>
  <c r="M75" i="27" l="1"/>
  <c r="M76" i="27" s="1"/>
  <c r="H26" i="17"/>
  <c r="H22" i="17" s="1"/>
  <c r="H8" i="17" s="1"/>
  <c r="Q8" i="23"/>
  <c r="O8" i="23" s="1"/>
  <c r="G26" i="17"/>
  <c r="J18" i="27"/>
  <c r="J18" i="26"/>
  <c r="J15" i="26"/>
  <c r="J15" i="27"/>
  <c r="J24" i="26"/>
  <c r="G22" i="17" l="1"/>
  <c r="G8" i="17" s="1"/>
  <c r="J81" i="26"/>
  <c r="I21" i="8"/>
  <c r="J8" i="15"/>
  <c r="G21" i="8" s="1"/>
  <c r="G39" i="17" l="1"/>
  <c r="K8" i="15"/>
  <c r="H21" i="8" s="1"/>
</calcChain>
</file>

<file path=xl/sharedStrings.xml><?xml version="1.0" encoding="utf-8"?>
<sst xmlns="http://schemas.openxmlformats.org/spreadsheetml/2006/main" count="2261" uniqueCount="957">
  <si>
    <t>ردیف</t>
  </si>
  <si>
    <t>W.B.S</t>
  </si>
  <si>
    <t>هزینه کامل (ريال)</t>
  </si>
  <si>
    <t>گروه مشارکت</t>
  </si>
  <si>
    <t>مشاور زیر بنایی</t>
  </si>
  <si>
    <t>کارفرما</t>
  </si>
  <si>
    <t>مهر و امضا مشاور زیر بنایی
مهندسین مشاور صحن بوستان</t>
  </si>
  <si>
    <t>مهر و امضإ گروه مشارکت
شرکت
مشاور
مشاور</t>
  </si>
  <si>
    <t>عنوان قرارداد:</t>
  </si>
  <si>
    <t>تاریخ قرارداد:</t>
  </si>
  <si>
    <t>شماره قرارداد:</t>
  </si>
  <si>
    <t>صورت وضعبت شماره:</t>
  </si>
  <si>
    <t>تاریخ صورت وضعیت:</t>
  </si>
  <si>
    <t>کارفرما:</t>
  </si>
  <si>
    <t>مشاور طرح:</t>
  </si>
  <si>
    <t>پیمانکار:</t>
  </si>
  <si>
    <t>راه آهن جمهوری اسلامی ایران</t>
  </si>
  <si>
    <t>مهندسین مشاور صحن بوستان</t>
  </si>
  <si>
    <t xml:space="preserve">عنوان فعالیت </t>
  </si>
  <si>
    <t>وزن کامل
 (%)</t>
  </si>
  <si>
    <t xml:space="preserve">واحد </t>
  </si>
  <si>
    <t>1.3.1</t>
  </si>
  <si>
    <t>1.3.1.1</t>
  </si>
  <si>
    <t>1.3.1.2</t>
  </si>
  <si>
    <t>1.3.1.3</t>
  </si>
  <si>
    <t>1.3.1.4</t>
  </si>
  <si>
    <t>1.3.1.5</t>
  </si>
  <si>
    <t>1.3.1.6</t>
  </si>
  <si>
    <t>1.3.1.7</t>
  </si>
  <si>
    <t>1.3.1.8</t>
  </si>
  <si>
    <t>1.3.1.9</t>
  </si>
  <si>
    <t>تشکیل دفتر و سازمان کلیدی پروژه</t>
  </si>
  <si>
    <t>درصد پیشرفت
(از 100)</t>
  </si>
  <si>
    <t>درصد پیشرفت وزنی</t>
  </si>
  <si>
    <t>مبلغ
(ریال)</t>
  </si>
  <si>
    <t>تهیه و ارسال لیست کامل مدارک پیمانکار</t>
  </si>
  <si>
    <t>مبلغ قرارداد:</t>
  </si>
  <si>
    <t>بيمه‌نامه‌ها</t>
  </si>
  <si>
    <t>1.3.2</t>
  </si>
  <si>
    <t>1.3.2.1</t>
  </si>
  <si>
    <t>1.3.2.2</t>
  </si>
  <si>
    <t>1.3.2.3</t>
  </si>
  <si>
    <t>1.3.2.4</t>
  </si>
  <si>
    <t>پيگيري تا صدور بيمه‌نامه‌هاي فوق</t>
  </si>
  <si>
    <t>1.3.3</t>
  </si>
  <si>
    <t>1.3.3.1</t>
  </si>
  <si>
    <t>1.3.3.2</t>
  </si>
  <si>
    <t>1.3.3.3</t>
  </si>
  <si>
    <t>1.3.3.4</t>
  </si>
  <si>
    <t>1.3.3.5</t>
  </si>
  <si>
    <t>1.3.3.6</t>
  </si>
  <si>
    <t>1.3.3.7</t>
  </si>
  <si>
    <t>1.3.3.8</t>
  </si>
  <si>
    <t>1.3.3.9</t>
  </si>
  <si>
    <t>1.3.3.10</t>
  </si>
  <si>
    <t>1.3.3.11</t>
  </si>
  <si>
    <t>1.3.3.12</t>
  </si>
  <si>
    <t>تجهیز اوليه کارگاه</t>
  </si>
  <si>
    <t>محوطه‌سازي كارگاه عمومي و كارگاه روسازي</t>
  </si>
  <si>
    <t>اقدامات اجرايي براي تامين و نصب ماشين‌الات و تجهيزات و راه‌اندازي آنها</t>
  </si>
  <si>
    <t>پايان تجهيز اوليه كارگاه</t>
  </si>
  <si>
    <t xml:space="preserve">محوطه‌سازي و تامين راه‌هاي دسترسي، سرويس و ارتباطي </t>
  </si>
  <si>
    <t>تامين و تجهيز ساختمان‌هاي موقت اداري و دفاتر كار عوامل پيمانكار، مشاور و كارفرما و تجهيز آنها</t>
  </si>
  <si>
    <t>تامين آب، برق، سيستم مخابراتي، اينترنت و سوخت كارگاه</t>
  </si>
  <si>
    <t>اقدامات ايجاد و تامين و تجهيز ساختمان‌هاي پشتيباني، انبار و تعميرگاه</t>
  </si>
  <si>
    <t xml:space="preserve">تامين و تجهيز آزمايشگاه </t>
  </si>
  <si>
    <t xml:space="preserve">اقدامات اوليه براي بهداشت، ايمني و حفاظت كار و محيط زيست </t>
  </si>
  <si>
    <t>بيمه تجهيز كارگاه</t>
  </si>
  <si>
    <t>تجهیز مستمر کارگاه</t>
  </si>
  <si>
    <t>تامين و سرو خوراك عوامل پيمانكار، مشاور و كارفرما</t>
  </si>
  <si>
    <t>برقراري سرويس اياب و ذهاب كارگاه</t>
  </si>
  <si>
    <t>بكاربستن مفاد نظام ايمني و حفاظت كار</t>
  </si>
  <si>
    <t>بكاربستن مفاد نظام بهداشت و حفظ محيط زيست</t>
  </si>
  <si>
    <t>تداوم فعاليت‌هاي انبارداري و مديريت و حفاظت اقلام</t>
  </si>
  <si>
    <t>تداوم حفظ و نگهداري دفاتر، محيط‌هاي اداري و پشتيباني در سطح استاندارد نور و تهويه و  ...</t>
  </si>
  <si>
    <t>1.3.4</t>
  </si>
  <si>
    <t>1.3.4.1</t>
  </si>
  <si>
    <t>1.3.4.2</t>
  </si>
  <si>
    <t>1.3.4.3</t>
  </si>
  <si>
    <t>1.3.4.4</t>
  </si>
  <si>
    <t>1.3.4.5</t>
  </si>
  <si>
    <t>1.3.4.6</t>
  </si>
  <si>
    <t>1.3.4.7</t>
  </si>
  <si>
    <t>1.3.4.8</t>
  </si>
  <si>
    <t>1.3.4.9</t>
  </si>
  <si>
    <t>1.3.4.10</t>
  </si>
  <si>
    <t>خدمات طراحي و مهندسی پيش از اجرا</t>
  </si>
  <si>
    <t>1.4.1</t>
  </si>
  <si>
    <t>1.4.1.1</t>
  </si>
  <si>
    <t>1.4.1.2</t>
  </si>
  <si>
    <t>1.4.1.3</t>
  </si>
  <si>
    <t>1.4.1.4</t>
  </si>
  <si>
    <t>1.4.1.5</t>
  </si>
  <si>
    <t>1.4.1.6</t>
  </si>
  <si>
    <t>1.4.1.7</t>
  </si>
  <si>
    <t>1.4.1.8</t>
  </si>
  <si>
    <t>1.4.1.9</t>
  </si>
  <si>
    <t>1.4.1.10</t>
  </si>
  <si>
    <t>1.4.1.11</t>
  </si>
  <si>
    <t>1.4.1.12</t>
  </si>
  <si>
    <t>1.4.1.7.1</t>
  </si>
  <si>
    <t>1.4.1.7.2</t>
  </si>
  <si>
    <t>1.4.1.7.3</t>
  </si>
  <si>
    <t>1.4.1.7.4</t>
  </si>
  <si>
    <t>1.4.1.7.5</t>
  </si>
  <si>
    <t>سوزن</t>
  </si>
  <si>
    <t>1.4.1.8.1</t>
  </si>
  <si>
    <t>1.4.1.8.2</t>
  </si>
  <si>
    <t>1.4.1.8.3</t>
  </si>
  <si>
    <t>1.4.1.8.4</t>
  </si>
  <si>
    <t>1.4.1.8.5</t>
  </si>
  <si>
    <t>1.4.1.13</t>
  </si>
  <si>
    <t>1.4.1.14</t>
  </si>
  <si>
    <t>1.4.1.15</t>
  </si>
  <si>
    <t>1.4.1.15.1</t>
  </si>
  <si>
    <t>1.4.1.15.2</t>
  </si>
  <si>
    <t>1.4.1.15.3</t>
  </si>
  <si>
    <t>1.4.1.15.4</t>
  </si>
  <si>
    <t>1.4.1.15.5</t>
  </si>
  <si>
    <t>1.4.1.16</t>
  </si>
  <si>
    <t>1.4.1.16.1</t>
  </si>
  <si>
    <t>1.4.1.16.2</t>
  </si>
  <si>
    <t>1.4.1.16.3</t>
  </si>
  <si>
    <t>1.4.1.16.4</t>
  </si>
  <si>
    <t>1.4.1.16.5</t>
  </si>
  <si>
    <t>1.4.1.17</t>
  </si>
  <si>
    <t>1.4.1.18</t>
  </si>
  <si>
    <t>1.4.1.19</t>
  </si>
  <si>
    <t>1.4.1.20</t>
  </si>
  <si>
    <t>1.4.1.21</t>
  </si>
  <si>
    <t>1.4.1.22</t>
  </si>
  <si>
    <t>1.4.1.23</t>
  </si>
  <si>
    <t>1.4.1.2.1</t>
  </si>
  <si>
    <t>1.4.1.2.2</t>
  </si>
  <si>
    <t>1.4.1.2.3</t>
  </si>
  <si>
    <t>1.4.1.2.4</t>
  </si>
  <si>
    <t>1.4.1.2.5</t>
  </si>
  <si>
    <t>1.4.1.2.6</t>
  </si>
  <si>
    <t>1.4.1.2.7</t>
  </si>
  <si>
    <t>1.4.1.2.11</t>
  </si>
  <si>
    <t>1.4.1.2.12</t>
  </si>
  <si>
    <t>1.4.1.2.13</t>
  </si>
  <si>
    <t>1.4.1.2.14</t>
  </si>
  <si>
    <t>1.4.1.2.15</t>
  </si>
  <si>
    <t>1.4.1.2.16</t>
  </si>
  <si>
    <t>1.4.1.2.17</t>
  </si>
  <si>
    <t>1.4.1.2.18</t>
  </si>
  <si>
    <t>1.4.1.2.19</t>
  </si>
  <si>
    <t>1.4.1.2.20</t>
  </si>
  <si>
    <t>1.4.1.2.21</t>
  </si>
  <si>
    <t>1.4.1.2.22</t>
  </si>
  <si>
    <t>1.4.1.2.23</t>
  </si>
  <si>
    <t>1.4.1.2.24</t>
  </si>
  <si>
    <t>1.4.1.2.25</t>
  </si>
  <si>
    <t xml:space="preserve">   كاليبراسيون ادواري تجهيزات پايش و اندازه‌ گيري</t>
  </si>
  <si>
    <t xml:space="preserve">   تهيه دستورالعمل‌ها و نقشه‌هاي فني كارگاهي</t>
  </si>
  <si>
    <t xml:space="preserve">   تهيه نقشه هاي چون ساخت</t>
  </si>
  <si>
    <t xml:space="preserve">   تهيه كتابچه‌هاي بهره‌برداري، نگهداري و تعميرات</t>
  </si>
  <si>
    <t>خدمات مهندسی حین اجرا</t>
  </si>
  <si>
    <t xml:space="preserve">   انجام تعهدات برنامه‌ريزي و مديريت محدوده، زمان و هزينه
 براساس نظام مديريت پروژه، ارائه گزارشات عملكرد پروژه، برپايي و شركت در جلسات كنترل پروژه و پيگيري مصوبات جلسه</t>
  </si>
  <si>
    <t xml:space="preserve">   استقرار عوامل نظارت كيفي كارگاه در انطباق با بند
 2-3 پيوست شماره 1 قرارداد</t>
  </si>
  <si>
    <t xml:space="preserve">   انجام آزمايشات مورد لزوم حين اجرا و ارائه نتايج و
 گزارشات تحليلي</t>
  </si>
  <si>
    <t>خدمات تامین</t>
  </si>
  <si>
    <t>خدمات اجرایی</t>
  </si>
  <si>
    <t>اختتاميه پروژه</t>
  </si>
  <si>
    <t>1.7.1</t>
  </si>
  <si>
    <t>تحويل موقت كل پروژه</t>
  </si>
  <si>
    <t>1.7.2</t>
  </si>
  <si>
    <t>برچيدن كارگاه</t>
  </si>
  <si>
    <t>1.7.3</t>
  </si>
  <si>
    <t>بيمه مهندسي سازه‌هاي تكميل شده</t>
  </si>
  <si>
    <t>پروژه طراحی، تامین و اجرای دو خطه کردن راه آهن محور ساسان –  شبنم</t>
  </si>
  <si>
    <t>آغاز</t>
  </si>
  <si>
    <t>تحویل زمین</t>
  </si>
  <si>
    <t>1.4.2</t>
  </si>
  <si>
    <t>فعالیت‌های مقدماتی، برنامه ریزی و تجهيز كارگاه</t>
  </si>
  <si>
    <t xml:space="preserve">      بيمه‌نامه‌ها</t>
  </si>
  <si>
    <t xml:space="preserve">      تجهیز اوليه کارگاه</t>
  </si>
  <si>
    <t xml:space="preserve">      تجهيز مستمر كارگاه</t>
  </si>
  <si>
    <t xml:space="preserve">   خدمات طراحي و مهندسی</t>
  </si>
  <si>
    <t xml:space="preserve">      خدمات طراحي و مهندسی پيش از اجرا</t>
  </si>
  <si>
    <t xml:space="preserve">      خدمات مهندسی حین اجرا</t>
  </si>
  <si>
    <t xml:space="preserve">   خدمات تامین</t>
  </si>
  <si>
    <t xml:space="preserve">   عملیات اجرایی</t>
  </si>
  <si>
    <t xml:space="preserve">   اختتامیه پروژه</t>
  </si>
  <si>
    <t xml:space="preserve">   پایان</t>
  </si>
  <si>
    <t xml:space="preserve">      سازماندهي و برنامه ریزی پروژه</t>
  </si>
  <si>
    <t>مبلغ(ریال)</t>
  </si>
  <si>
    <t>درصد پیشرفت از
(کل)</t>
  </si>
  <si>
    <t>درصد پیشرفت از
 (کل)</t>
  </si>
  <si>
    <t xml:space="preserve">       تحويل موقت كل پروژه</t>
  </si>
  <si>
    <t xml:space="preserve">        بيمه مهندسي سازه‌هاي تكميل شده</t>
  </si>
  <si>
    <t xml:space="preserve">       برچيدن كارگاه</t>
  </si>
  <si>
    <t>مدارك پشتيبان</t>
  </si>
  <si>
    <t>فصل فهرست بها</t>
  </si>
  <si>
    <t>مشارکت:</t>
  </si>
  <si>
    <t>400/71523/ي
مورخ 93/12/10</t>
  </si>
  <si>
    <t>اهورامهرگستران-جهادنصرحمزه طرح نوانديشان-گمانه كاو</t>
  </si>
  <si>
    <t>94/0.5/17</t>
  </si>
  <si>
    <t>طراحی،تامین و اجرای دوخطه کردن راه آهن(زیرسازی،پل سازی و روسازی)محور ساسان شبنم</t>
  </si>
  <si>
    <t>شماره و تاریخ
 ابلاغ قرارداد:</t>
  </si>
  <si>
    <t>تایید کارفرما</t>
  </si>
  <si>
    <t>مهر و امضا گروه مشارکت اهورا مهر گستران</t>
  </si>
  <si>
    <t>درصد پیشرفت از سرفصل (کل)</t>
  </si>
  <si>
    <t>درصد پیشرفت از صد (کل)</t>
  </si>
  <si>
    <t>فصل مرتبط از فهرست بها</t>
  </si>
  <si>
    <t>1.6.1</t>
  </si>
  <si>
    <t>1.6.2</t>
  </si>
  <si>
    <t>1.6.3</t>
  </si>
  <si>
    <t>1.6.4</t>
  </si>
  <si>
    <t>1.5.1</t>
  </si>
  <si>
    <t>1.5.2</t>
  </si>
  <si>
    <t>1.5.3</t>
  </si>
  <si>
    <t>1.5.4</t>
  </si>
  <si>
    <t>1.6.5</t>
  </si>
  <si>
    <t>1.5.1.1</t>
  </si>
  <si>
    <t>1.5.1.1.1</t>
  </si>
  <si>
    <t>1.5.1.1.2</t>
  </si>
  <si>
    <t>1.5.1.2</t>
  </si>
  <si>
    <t>1.5.1.2.1</t>
  </si>
  <si>
    <t>1.5.1.2.2</t>
  </si>
  <si>
    <t>1.5.3.1</t>
  </si>
  <si>
    <t>1.5.3.2</t>
  </si>
  <si>
    <t>1.5.3.3</t>
  </si>
  <si>
    <t>1.5.3.4</t>
  </si>
  <si>
    <t>1.5.3.5</t>
  </si>
  <si>
    <t>1.6.1.1</t>
  </si>
  <si>
    <t>1.6.1.1.1</t>
  </si>
  <si>
    <t>1.6.1.1.2</t>
  </si>
  <si>
    <t>1.6.1.1.3</t>
  </si>
  <si>
    <t>1.6.1.1.4</t>
  </si>
  <si>
    <t>1.6.1.1.5</t>
  </si>
  <si>
    <t>1.6.1.1.6</t>
  </si>
  <si>
    <t>1.6.1.1.7</t>
  </si>
  <si>
    <t>1.6.1.1.8</t>
  </si>
  <si>
    <t>1.6.1.1.9</t>
  </si>
  <si>
    <t>1.6.1.2</t>
  </si>
  <si>
    <t>1.6.1.2.1</t>
  </si>
  <si>
    <t>1.6.1.2.2</t>
  </si>
  <si>
    <t>1.6.1.2.3</t>
  </si>
  <si>
    <t>1.6.1.2.4</t>
  </si>
  <si>
    <t>1.6.1.2.5</t>
  </si>
  <si>
    <t>1.6.1.2.6</t>
  </si>
  <si>
    <t>1.6.1.2.7</t>
  </si>
  <si>
    <t>1.6.1.2.8</t>
  </si>
  <si>
    <t>1.6.1.3</t>
  </si>
  <si>
    <t>1.6.1.3.1</t>
  </si>
  <si>
    <t>1.6.1.3.2</t>
  </si>
  <si>
    <t>1.6.1.3.3</t>
  </si>
  <si>
    <t>1.6.1.3.4</t>
  </si>
  <si>
    <t>1.6.1.3.5</t>
  </si>
  <si>
    <t>1.6.1.3.6</t>
  </si>
  <si>
    <t>1.6.1.3.7</t>
  </si>
  <si>
    <t>1.6.1.3.8</t>
  </si>
  <si>
    <t>1.6.1.3.9</t>
  </si>
  <si>
    <t>1.6.1.3.10</t>
  </si>
  <si>
    <t>1.6.1.3.11</t>
  </si>
  <si>
    <t>1.6.1.3.12</t>
  </si>
  <si>
    <t>1.6.1.3.13</t>
  </si>
  <si>
    <t>1.6.1.3.14</t>
  </si>
  <si>
    <t>1.6.1.3.15</t>
  </si>
  <si>
    <t>1.6.1.3.16</t>
  </si>
  <si>
    <t>1.6.1.3.17</t>
  </si>
  <si>
    <t>1.6.1.3.18</t>
  </si>
  <si>
    <t>1.6.2.1</t>
  </si>
  <si>
    <t>1.6.2.1.1</t>
  </si>
  <si>
    <t>1.6.2.1.2</t>
  </si>
  <si>
    <t>1.6.2.1.3</t>
  </si>
  <si>
    <t>1.6.2.1.4</t>
  </si>
  <si>
    <t>1.6.2.1.5</t>
  </si>
  <si>
    <t>1.6.2.1.6</t>
  </si>
  <si>
    <t>1.6.2.1.7</t>
  </si>
  <si>
    <t>1.6.2.1.8</t>
  </si>
  <si>
    <t>1.6.2.1.9</t>
  </si>
  <si>
    <t>1.6.2.3</t>
  </si>
  <si>
    <t>1.6.2.3.1</t>
  </si>
  <si>
    <t>1.6.2.3.2</t>
  </si>
  <si>
    <t>1.6.2.3.3</t>
  </si>
  <si>
    <t>1.6.2.3.4</t>
  </si>
  <si>
    <t>1.6.2.3.5</t>
  </si>
  <si>
    <t>1.6.2.3.6</t>
  </si>
  <si>
    <t>1.6.2.3.7</t>
  </si>
  <si>
    <t>1.6.2.3.8</t>
  </si>
  <si>
    <t>1.6.2.3.9</t>
  </si>
  <si>
    <t>1.6.2.3.10</t>
  </si>
  <si>
    <t>1.6.2.3.11</t>
  </si>
  <si>
    <t>1.6.2.3.12</t>
  </si>
  <si>
    <t>1.6.2.3.13</t>
  </si>
  <si>
    <t>1.6.2.3.14</t>
  </si>
  <si>
    <t>1.6.2.3.15</t>
  </si>
  <si>
    <t>1.6.2.3.16</t>
  </si>
  <si>
    <t>1.6.2.3.17</t>
  </si>
  <si>
    <t>1.6.2.3.18</t>
  </si>
  <si>
    <t>1.6.3.1</t>
  </si>
  <si>
    <t>1.6.3.1.1</t>
  </si>
  <si>
    <t>1.6.3.1.2</t>
  </si>
  <si>
    <t>1.6.3.1.3</t>
  </si>
  <si>
    <t>1.6.3.1.4</t>
  </si>
  <si>
    <t>1.6.3.1.5</t>
  </si>
  <si>
    <t>1.6.3.1.6</t>
  </si>
  <si>
    <t>1.6.3.1.7</t>
  </si>
  <si>
    <t>1.6.3.1.8</t>
  </si>
  <si>
    <t>1.6.3.1.9</t>
  </si>
  <si>
    <t>1.6.3.2</t>
  </si>
  <si>
    <t>16.3.2.1</t>
  </si>
  <si>
    <t>1.6.3.2.2</t>
  </si>
  <si>
    <t>1.6.3.2.3</t>
  </si>
  <si>
    <t>1.6.3.2.4</t>
  </si>
  <si>
    <t>1.6.3.2.5</t>
  </si>
  <si>
    <t>1.6.3.2.6</t>
  </si>
  <si>
    <t>1.6.3.2.7</t>
  </si>
  <si>
    <t>1.6.3.3</t>
  </si>
  <si>
    <t>1.6.3.3.1</t>
  </si>
  <si>
    <t>1.6.3.3.2</t>
  </si>
  <si>
    <t>1.6.3.3.3</t>
  </si>
  <si>
    <t>1.6.3.3.4</t>
  </si>
  <si>
    <t>1.6.3.3.5</t>
  </si>
  <si>
    <t>1.6.3.3.6</t>
  </si>
  <si>
    <t>1.6.3.3.7</t>
  </si>
  <si>
    <t>1.6.3.3.8</t>
  </si>
  <si>
    <t>1.6.3.3.9</t>
  </si>
  <si>
    <t>1.6.3.3.10</t>
  </si>
  <si>
    <t>1.6.3.3.11</t>
  </si>
  <si>
    <t>1.6.3.3.12</t>
  </si>
  <si>
    <t>1.6.3.3.13</t>
  </si>
  <si>
    <t>1.6.3.3.14</t>
  </si>
  <si>
    <t>1.6.3.3.15</t>
  </si>
  <si>
    <t>1.6.3.3.16</t>
  </si>
  <si>
    <t>1.6.3.3.17</t>
  </si>
  <si>
    <t>1.6.3.3.18</t>
  </si>
  <si>
    <t>1.6.4.1</t>
  </si>
  <si>
    <t>1.6.4.1.1</t>
  </si>
  <si>
    <t>1.6.4.1.2</t>
  </si>
  <si>
    <t>1.6.4.1.3</t>
  </si>
  <si>
    <t>1.6.4.1.4</t>
  </si>
  <si>
    <t>1.6.4.1.5</t>
  </si>
  <si>
    <t>1.6.4.1.6</t>
  </si>
  <si>
    <t>1.6.4.1.7</t>
  </si>
  <si>
    <t>1.6.4.1.8</t>
  </si>
  <si>
    <t>1.6.4.1.9</t>
  </si>
  <si>
    <t>1.6.4.3</t>
  </si>
  <si>
    <t>1.6.4.3.1</t>
  </si>
  <si>
    <t>1.6.4.3.2</t>
  </si>
  <si>
    <t>1.6.4.3.3</t>
  </si>
  <si>
    <t>1.6.4.3.4</t>
  </si>
  <si>
    <t>1.6.4.3.5</t>
  </si>
  <si>
    <t>1.6.4.3.6</t>
  </si>
  <si>
    <t>1.6.4.3.7</t>
  </si>
  <si>
    <t>1.6.4.3.8</t>
  </si>
  <si>
    <t>1.6.4.3.9</t>
  </si>
  <si>
    <t>1.6.4.3.10</t>
  </si>
  <si>
    <t>1.6.4.3.11</t>
  </si>
  <si>
    <t>1.6.4.3.12</t>
  </si>
  <si>
    <t>1.6.4.3.13</t>
  </si>
  <si>
    <t>1.6.4.3.14</t>
  </si>
  <si>
    <t>1.6.4.3.15</t>
  </si>
  <si>
    <t>1.6.4.3.16</t>
  </si>
  <si>
    <t>1.6.4.3.17</t>
  </si>
  <si>
    <t>1.6.4.3.18</t>
  </si>
  <si>
    <t>1.6.5.1</t>
  </si>
  <si>
    <t>1.6.5.1.1</t>
  </si>
  <si>
    <t>1.6.5.1.2</t>
  </si>
  <si>
    <t>1.6.5.1.3</t>
  </si>
  <si>
    <t>1.6.5.1.4</t>
  </si>
  <si>
    <t>1.6.5.1.5</t>
  </si>
  <si>
    <t>1.6.5.1.6</t>
  </si>
  <si>
    <t>1.6.5.1.7</t>
  </si>
  <si>
    <t>1.6.5.1.8</t>
  </si>
  <si>
    <t>1.6.5.1.9</t>
  </si>
  <si>
    <t>1.6.5.2</t>
  </si>
  <si>
    <t>1.6.5.2.1</t>
  </si>
  <si>
    <t>1.6.5.2.2</t>
  </si>
  <si>
    <t>1.6.5.2.3</t>
  </si>
  <si>
    <t>1.6.5.2.4</t>
  </si>
  <si>
    <t>1.6.5.2.5</t>
  </si>
  <si>
    <t>1.6.5.2.6</t>
  </si>
  <si>
    <t>1.6.5.2.7</t>
  </si>
  <si>
    <t>1.6.5.2.8</t>
  </si>
  <si>
    <t>1.6.5.3</t>
  </si>
  <si>
    <t>1.6.5.3.1</t>
  </si>
  <si>
    <t>1.6.5.3.2</t>
  </si>
  <si>
    <t>1.6.5.3.3</t>
  </si>
  <si>
    <t>1.6.5.3.4</t>
  </si>
  <si>
    <t>1.6.5.3.5</t>
  </si>
  <si>
    <t>1.6.5.3.6</t>
  </si>
  <si>
    <t>1.6.5.3.7</t>
  </si>
  <si>
    <t>1.6.5.3.8</t>
  </si>
  <si>
    <t>1.6.5.3.9</t>
  </si>
  <si>
    <t>1.6.5.3.10</t>
  </si>
  <si>
    <t>1.6.5.3.11</t>
  </si>
  <si>
    <t>1.6.5.3.12</t>
  </si>
  <si>
    <t>1.6.5.3.13</t>
  </si>
  <si>
    <t>1.6.5.3.14</t>
  </si>
  <si>
    <t>1.6.5.3.15</t>
  </si>
  <si>
    <t>1.6.5.3.16</t>
  </si>
  <si>
    <t>1.6.5.3.17</t>
  </si>
  <si>
    <t>1.6.5.3.18</t>
  </si>
  <si>
    <t>1.6.6</t>
  </si>
  <si>
    <t>1.6.6.1</t>
  </si>
  <si>
    <t>1.6.6.1.1</t>
  </si>
  <si>
    <t>1.6.6.1.2</t>
  </si>
  <si>
    <t>1.6.6.1.3</t>
  </si>
  <si>
    <t>1.6.6.1.4</t>
  </si>
  <si>
    <t>1.6.6.1.5</t>
  </si>
  <si>
    <t>1.6.6.1.6</t>
  </si>
  <si>
    <t>1.6.6.1.7</t>
  </si>
  <si>
    <t>1.6.6.1.8</t>
  </si>
  <si>
    <t>1.6.6.1.9</t>
  </si>
  <si>
    <t>1.6.6.3</t>
  </si>
  <si>
    <t>1.6.6.3.1</t>
  </si>
  <si>
    <t>1.6.6.3.2</t>
  </si>
  <si>
    <t>1.6.6.3.3</t>
  </si>
  <si>
    <t>1.6.6.3.4</t>
  </si>
  <si>
    <t>1.6.6.3.5</t>
  </si>
  <si>
    <t>1.6.6.3.6</t>
  </si>
  <si>
    <t>1.6.6.3.7</t>
  </si>
  <si>
    <t>1.6.6.3.8</t>
  </si>
  <si>
    <t>1.6.6.3.9</t>
  </si>
  <si>
    <t>1.6.6.3.10</t>
  </si>
  <si>
    <t>1.6.6.3.11</t>
  </si>
  <si>
    <t>1.6.6.3.12</t>
  </si>
  <si>
    <t>1.6.6.3.13</t>
  </si>
  <si>
    <t>1.6.6.3.14</t>
  </si>
  <si>
    <t>1.6.6.3.15</t>
  </si>
  <si>
    <t>1.6.6.3.16</t>
  </si>
  <si>
    <t>1.6.6.3.17</t>
  </si>
  <si>
    <t>1.6.6.3.18</t>
  </si>
  <si>
    <t>پلهای با دهانه 1 متر</t>
  </si>
  <si>
    <t>پلهای با دهانه 2 متر</t>
  </si>
  <si>
    <t>پلهای با دهانه 3 متر</t>
  </si>
  <si>
    <t>پلهای با دهانه بیش از 3 متر</t>
  </si>
  <si>
    <t>نقشه‌های اجرایی پل‌های مسیر</t>
  </si>
  <si>
    <t>مطالعات طراحي رعايت سرعت طرح در طول محور و برآورد مقايسه‌اي مسير حركت در حريم</t>
  </si>
  <si>
    <t>تداوم فعاليت‌هاي نت از طريق سنجش ميزان آماده بكار بودن ماشين‌آلات و تجهيزات</t>
  </si>
  <si>
    <t>تداوم بهره‌مندي كارگاه از آب، برق، گاز، سوخت، تلفن و اينترنت</t>
  </si>
  <si>
    <t>راه‏آهن جمهوری اسلامی ایران</t>
  </si>
  <si>
    <t>پروژه طراحی، تامین و اجرای دو خطه کردن راه‏آهن محور مشک–سیستان</t>
  </si>
  <si>
    <t>صورت‏وضعیت شماره:</t>
  </si>
  <si>
    <t>تاریخ صورت‏وضعیت:</t>
  </si>
  <si>
    <t>طراحی، تأمین و اجرای دو خطه کردن راه‏آهن (زیرسازی، پل‏سازی، روسازی) محور مشك-سيستان</t>
  </si>
  <si>
    <t>مبلغ قرارداد (ریال):</t>
  </si>
  <si>
    <t>شماره و تاریخ ابلاغ قرارداد:</t>
  </si>
  <si>
    <t xml:space="preserve"> 400/66891/ی
مورخ 93/11/20</t>
  </si>
  <si>
    <t>مشاركت تكنيك-پل‏رود-کنکاوان معدن شیراز</t>
  </si>
  <si>
    <t>تجهيز مستمر كارگاه</t>
  </si>
  <si>
    <t>خدمات طراحي و مهندسی</t>
  </si>
  <si>
    <t>ريل</t>
  </si>
  <si>
    <t>تراورس</t>
  </si>
  <si>
    <t>ملحقات</t>
  </si>
  <si>
    <t>عملیات اجرایی</t>
  </si>
  <si>
    <t>بلوک مشک-هرند</t>
  </si>
  <si>
    <t>ایستگاه مشک</t>
  </si>
  <si>
    <t>ایستگاه هرند</t>
  </si>
  <si>
    <t>ایستگاه خیرآباد</t>
  </si>
  <si>
    <t>اختتامیه پروژه</t>
  </si>
  <si>
    <t>فعالیت‌های مقدماتی، برنامه‏ریزی و تجهيز كارگاه</t>
  </si>
  <si>
    <t>سازماندهي و برنامه‏ریزی پروژه</t>
  </si>
  <si>
    <t>بلوک هرند-خیرآباد</t>
  </si>
  <si>
    <t>بلوک خیرآباد-سیستان</t>
  </si>
  <si>
    <t>انتصاب و معرفی نماینده مشارکت (مدیر پروژه)</t>
  </si>
  <si>
    <t>تهیه و اعلام چارت سازمانی، شرح وظایف و حدود اختیارات و مسئولیت‏ها و شرایط احراز تیم پروژه</t>
  </si>
  <si>
    <t>تشکیل و تعریف نظام مدیریت پروژه، تهیه و ارسال ویرایش اول برنامه زمان‏بندی و ساختار شکست هزینه و سایر مدارک مرتبط برنامه‏ریزی</t>
  </si>
  <si>
    <t>پایان سازمان‏دهی و برنامه‏ریزی مقدماتی پروژه</t>
  </si>
  <si>
    <t>برنامه‏ریزی و تعیین مشخصات و فهرست کامل اقدامات تجهیز کارگاه به همراه نقشه جانمایی</t>
  </si>
  <si>
    <t>ارائه بيمه تمام خطر پيمانكاري و اخذ تاييد مشاور</t>
  </si>
  <si>
    <t>ارائه بيمه مسئوليت و اخذ تاييد مشاور</t>
  </si>
  <si>
    <t>تاييد بيمه‌هاي تمام خطر و مسئوليت توسط كارفرما</t>
  </si>
  <si>
    <t>تامين و تجهيز كامل محل سكونت عوامل پيمانكار، مشاور و كارفرما</t>
  </si>
  <si>
    <t>تداوم تامين و نگهداري اقامت‌گاه عوامل پيمانكار، مشاور و كارفرما</t>
  </si>
  <si>
    <t>آغاز مطالعات مهندسي و طراحي</t>
  </si>
  <si>
    <t>مطالعات اولیه شناخت و تحلیل وضع موجود</t>
  </si>
  <si>
    <t>مطالعات اولیه ژئوتکنیک و برداشت وضع موجود</t>
  </si>
  <si>
    <t>گزارش مطالعات تکمیلی ژئوتکنیک (صحرایی و آزمایشگاهی)</t>
  </si>
  <si>
    <t>گزارش طراحی روسازی</t>
  </si>
  <si>
    <t>بالاست</t>
  </si>
  <si>
    <t>پابند</t>
  </si>
  <si>
    <t>ریل</t>
  </si>
  <si>
    <t>گزارش روش اجرای روسازی (خطوط و سوز‌ن‌ها)</t>
  </si>
  <si>
    <t>گزارش طرح هندسی مسیر</t>
  </si>
  <si>
    <t>گزارش محاسباتی پل‌های مسیر</t>
  </si>
  <si>
    <t>گزارش زیرسازی مسیر</t>
  </si>
  <si>
    <t>گزارش زمین شناسی مسیر</t>
  </si>
  <si>
    <t>گزارش هیدرولوژی مسیر</t>
  </si>
  <si>
    <t>پايان خدمات طراحي و مهندسي پيش از اجرا</t>
  </si>
  <si>
    <t>نقشه‌هاي توپوگرافی براساس برداشت مستقیم زمینی (1:2000 و1:500)</t>
  </si>
  <si>
    <t>نقشه‏های اجرایی روسازی</t>
  </si>
  <si>
    <t>نقشه‏های پلان طرح هندسی مسیر</t>
  </si>
  <si>
    <t>نقشه‏های پروفیل طولی</t>
  </si>
  <si>
    <t>نقشه‏های مقاطع عرضی</t>
  </si>
  <si>
    <t>ارائه احجام عملیات خاکی براساس میخکوبی</t>
  </si>
  <si>
    <t>قطعات پیش‏ساخته دیوار برگشتی</t>
  </si>
  <si>
    <t>نقشه‏های قطعات پیش ساخته دیوار برگشتی</t>
  </si>
  <si>
    <t>نقشه‏های تیپ مقاطع عرضی</t>
  </si>
  <si>
    <t>نقشه‏های تیپ زیرسازی</t>
  </si>
  <si>
    <t>پلان هیدرولوژی حوضه‏های آبریز مسیر</t>
  </si>
  <si>
    <t>شماره و تاریخ
ابلاغ قرارداد:</t>
  </si>
  <si>
    <t>استقرار عوامل نظارت كيفي كارگاه در انطباق با بند 2-3 پيوست شماره 1 قرارداد</t>
  </si>
  <si>
    <t>انجام آزمايشات مورد لزوم حين اجرا و ارائه نتايج و گزارشات تحليلي</t>
  </si>
  <si>
    <t>كاليبراسيون ادواري تجهيزات پايش و اندازه‌ گيري</t>
  </si>
  <si>
    <t>تهيه دستورالعمل‌ها و نقشه‌هاي فني كارگاهي</t>
  </si>
  <si>
    <t>انجام تعهدات برنامه‌ريزي و مديريت محدوده، زمان و هزينه براساس نظام مديريت پروژه، ارائه گزارشات عملكرد پروژه، برپايي و شركت در جلسات كنترل پروژه و پيگيري مصوبات جلسه</t>
  </si>
  <si>
    <t>تهيه كتابچه‌هاي بهره‌برداري، نگهداري و تعميرات</t>
  </si>
  <si>
    <t>تهيه نقشه‏هاي چون ساخت</t>
  </si>
  <si>
    <t>ريل (هر 170 تن 0.494%)</t>
  </si>
  <si>
    <t xml:space="preserve">تشریفات تامین ریل </t>
  </si>
  <si>
    <t>عقد قرارداد یا گشایش LC یا هر دو</t>
  </si>
  <si>
    <t>پرداخت پیش پرداخت</t>
  </si>
  <si>
    <t>حمل و تخلیه ریل در محل کارگاه</t>
  </si>
  <si>
    <t>ارائه اسناد حمل خارجی</t>
  </si>
  <si>
    <t>ارائه اسناد حمل یا بارنامه حمل داخلی بنام کارفرما</t>
  </si>
  <si>
    <t>تخلیه و دپوی ریل در کارگاه</t>
  </si>
  <si>
    <t>سوزن  (هر سوزن 0.222%)</t>
  </si>
  <si>
    <t xml:space="preserve">تراورس </t>
  </si>
  <si>
    <t>مشخص کردن نوع تراورس مصرفی با قابلیت بار محوری 30 تن</t>
  </si>
  <si>
    <t>اخذ تاییدیه از مشاور</t>
  </si>
  <si>
    <t>عقد قرارداد با سازنده</t>
  </si>
  <si>
    <t>تهیه و حمل تراورس از کیلومتر 1 تا 49 هر 3 کیلومتر 0.5 درصد</t>
  </si>
  <si>
    <t>تهیه و حمل ادوات و ملحقات (هر 5 کیلومتر 0.472%)</t>
  </si>
  <si>
    <t>1.4.2.1</t>
  </si>
  <si>
    <t>1.4.2.2</t>
  </si>
  <si>
    <t>1.4.2.3</t>
  </si>
  <si>
    <t>1.4.2.4</t>
  </si>
  <si>
    <t>1.4.2.5</t>
  </si>
  <si>
    <t>1.4.2.6</t>
  </si>
  <si>
    <t>1.4.2.7</t>
  </si>
  <si>
    <t>پرداخت پیش‏پرداخت</t>
  </si>
  <si>
    <t>زیر سازی</t>
  </si>
  <si>
    <t>برداشت خاک نباتی</t>
  </si>
  <si>
    <t>آب پاشی و کوبیدن بستر</t>
  </si>
  <si>
    <t>تهیه و اجرای خاکریز با90% کوبیدگی</t>
  </si>
  <si>
    <t>تهیه مصالح سابگرید با 95% کوبیدگی</t>
  </si>
  <si>
    <t>اجرای سابگرید با 95% کوبیدگی</t>
  </si>
  <si>
    <t>تهیه سابگرید با 100% کوبیدگی</t>
  </si>
  <si>
    <t>اجرای سابگرید با 100% کوبیدگی</t>
  </si>
  <si>
    <t>تهیه زیر بالاست</t>
  </si>
  <si>
    <t>اجرای زیر بالاست</t>
  </si>
  <si>
    <t>حمل آب</t>
  </si>
  <si>
    <t>قالب بندی</t>
  </si>
  <si>
    <t xml:space="preserve"> تهیه و اجرای خاکریز با90% کوبیدگی</t>
  </si>
  <si>
    <t>عمليات ابنيه فني</t>
  </si>
  <si>
    <t>عمليات روسازي و نصب ریل</t>
  </si>
  <si>
    <t>نصب سوزن</t>
  </si>
  <si>
    <t>نقشه برداری خط (میخ کوبی)</t>
  </si>
  <si>
    <t>تهیه بالاست لایه اول</t>
  </si>
  <si>
    <t>تهیه بالاست لایه دوم</t>
  </si>
  <si>
    <t>حمل بالاست مرحله دوم به دپو</t>
  </si>
  <si>
    <t>تهیه بالاست لایه سوم</t>
  </si>
  <si>
    <t>حمل بالاست مرحله سوم به دپو</t>
  </si>
  <si>
    <t>حمل و پخش بالاست مرحله اول</t>
  </si>
  <si>
    <t>حمل ریل</t>
  </si>
  <si>
    <t>حمل تراورس</t>
  </si>
  <si>
    <t xml:space="preserve">نصب تراورس </t>
  </si>
  <si>
    <t>نصب ریل</t>
  </si>
  <si>
    <t>جوشکاری ریل</t>
  </si>
  <si>
    <t>بالاست ریزی مرحله دوم</t>
  </si>
  <si>
    <t>رگلاژ و رلواژ مرحله اول</t>
  </si>
  <si>
    <t>بالاست ریزی مرحله سوم</t>
  </si>
  <si>
    <t>رلواژ مرحله دوم</t>
  </si>
  <si>
    <t>رلواژ نهایی و تثبیت</t>
  </si>
  <si>
    <t>ترمیم قرنیز آبروها و پلهای موجود</t>
  </si>
  <si>
    <t>عملیات تکمیلی و نصب علائم</t>
  </si>
  <si>
    <t>پی کنی</t>
  </si>
  <si>
    <t xml:space="preserve">عمليات روسازي </t>
  </si>
  <si>
    <t>بلوک هرند - خیرآباد</t>
  </si>
  <si>
    <t xml:space="preserve"> بلوک خیرآباد - سیستان</t>
  </si>
  <si>
    <t>کارهای اضافی</t>
  </si>
  <si>
    <t>زیرسازی</t>
  </si>
  <si>
    <r>
      <t xml:space="preserve">طرح رفع گلوگاه‌های ظرفیتی در امور زیربنایی راه‏آهن ج.ا.ا
</t>
    </r>
    <r>
      <rPr>
        <b/>
        <sz val="13"/>
        <color theme="1"/>
        <rFont val="B Nazanin"/>
        <charset val="178"/>
      </rPr>
      <t>پروژه طراحی، تامین و اجرای دو خطه کردن راه‏آهن محور مشك-سيستان</t>
    </r>
    <r>
      <rPr>
        <b/>
        <sz val="14"/>
        <color theme="1"/>
        <rFont val="B Nazanin"/>
        <charset val="178"/>
      </rPr>
      <t xml:space="preserve">
کاربرگ تعریف فعالیت‏ها و ساختار شکست هزینه‏ها </t>
    </r>
  </si>
  <si>
    <t>راه‌آهن ج.ا.ا</t>
  </si>
  <si>
    <t>ویرایش سوم</t>
  </si>
  <si>
    <t>تاريخ: خرداد ماه 1395</t>
  </si>
  <si>
    <t>ارزش ريالي قراردادي CBS پيشنهادي پيمانكار</t>
  </si>
  <si>
    <t>رقم قرارداد</t>
  </si>
  <si>
    <r>
      <t>پروژه دو خطه کردن راه‏آهن محور مشك-سيستان</t>
    </r>
    <r>
      <rPr>
        <b/>
        <sz val="14"/>
        <color theme="1"/>
        <rFont val="Arial"/>
        <family val="2"/>
        <scheme val="minor"/>
      </rPr>
      <t xml:space="preserve"> (EPC)</t>
    </r>
  </si>
  <si>
    <t>تحويل زمين</t>
  </si>
  <si>
    <t>انتصاب و معرفي نماينده مشاركت (مدير پروژه)</t>
  </si>
  <si>
    <t>تشكيل دفتر و سازمان كليدي پروژه</t>
  </si>
  <si>
    <t>تهيه و اعلام چارت سازماني، شرح وظايف و حدود اختيارات و مسئوليت‌ها و شرايط احراز تيم پروژه</t>
  </si>
  <si>
    <t>تشكيل و تعريف نظام مديريت پروژه، تهيه و ارسال ويرايش اول برنامه زمان‌بندي و ساختار شكست هزينه و ساير مدارك مرتبط برنامه‌ريزي</t>
  </si>
  <si>
    <t>برنامه‌ريزي و تعين مشخصات و فهرست كامل اقدامات تجهيز كارگاه به همراه نقشه جانمايي</t>
  </si>
  <si>
    <r>
      <t xml:space="preserve">تهيه و ارسال گردش فعاليت‌ها و روابط بين مشاركت، مشاور و كارفرما </t>
    </r>
    <r>
      <rPr>
        <sz val="12"/>
        <color rgb="FF000000"/>
        <rFont val="Arial"/>
        <family val="2"/>
        <scheme val="minor"/>
      </rPr>
      <t>(Coordination Procedure)</t>
    </r>
  </si>
  <si>
    <r>
      <t xml:space="preserve">تهيه و ارسال روش‌هاي اجرايي و دستورالعمل‌هاي كاري شامل: </t>
    </r>
    <r>
      <rPr>
        <sz val="12"/>
        <rFont val="Arial"/>
        <family val="2"/>
        <scheme val="minor"/>
      </rPr>
      <t xml:space="preserve">QA ،QC،HSE و 5S و .... </t>
    </r>
  </si>
  <si>
    <t>تهيه و ارسال ليست كامل مدارك پيمانكار</t>
  </si>
  <si>
    <t>پايان سازمان‌دهي و برنامه‌ريزي مقدماتي پروژه</t>
  </si>
  <si>
    <t>1.3.2.5</t>
  </si>
  <si>
    <t>آغاز عمليات تجهيز كارگاه</t>
  </si>
  <si>
    <t>تداوم تامين و نگهداري اقامتگاه عوامل پيمانكار، مشاور و كارفرما</t>
  </si>
  <si>
    <r>
      <t>رعايت نظم و انضباط در محوطه و محيط‌هاي اداري، كارگاهي و كارگري</t>
    </r>
    <r>
      <rPr>
        <sz val="11"/>
        <rFont val="B Nazanin"/>
        <charset val="178"/>
      </rPr>
      <t xml:space="preserve"> در انطباق با 5S</t>
    </r>
  </si>
  <si>
    <t>تداوم حفظ و نگهداري دفاتر، محيط‌هاي اداري و پشتيباني در سطح استاندارد نور و تهويه و...</t>
  </si>
  <si>
    <t xml:space="preserve">خدمات طراحي و مهندسی </t>
  </si>
  <si>
    <t>قطعات پیش ساخته دیوار برگشتی</t>
  </si>
  <si>
    <t>كاليبراسيون ادواري تجهيزات پايش و اندازه‌‏گيري</t>
  </si>
  <si>
    <t>سوزن (هر سوزن 0.222%)</t>
  </si>
  <si>
    <t>1.5.2.1</t>
  </si>
  <si>
    <t>تشریفات تامین سوزن، حمل و تخلیه در محل دپو</t>
  </si>
  <si>
    <t>برپایی کارگاه تولید تراورس</t>
  </si>
  <si>
    <t>تامین مصالح</t>
  </si>
  <si>
    <t>تولید تراورس</t>
  </si>
  <si>
    <t>حمل و تخلیه تراورس در محل کارگاه</t>
  </si>
  <si>
    <t>تشریفات تامین ادوات و ملحقات (هر 5 کیلومتر 0.472%)</t>
  </si>
  <si>
    <t>تهیه مصالح سابگرید با 100% کوبیدگی</t>
  </si>
  <si>
    <t>روسازی</t>
  </si>
  <si>
    <t>تهیه بالاست</t>
  </si>
  <si>
    <t>حمل بالاست</t>
  </si>
  <si>
    <t>بالاست ریزی مرحله اول</t>
  </si>
  <si>
    <t>حمل سوزن از محل دپو تا محل نصب</t>
  </si>
  <si>
    <t xml:space="preserve"> مونتاژ و نصب سوزن</t>
  </si>
  <si>
    <t>حمل کوپلاژ یا حمل ریلی ریل، تراورس و سایر ادوات</t>
  </si>
  <si>
    <t>نصب کوپلاژ</t>
  </si>
  <si>
    <t>1.6.1.2.9</t>
  </si>
  <si>
    <t>1.6.1.2.10</t>
  </si>
  <si>
    <t>1.6.1.2.11</t>
  </si>
  <si>
    <t>1.6.1.2.12</t>
  </si>
  <si>
    <t>رلواژ دوم</t>
  </si>
  <si>
    <t>1.6.1.2.13</t>
  </si>
  <si>
    <t>خط آرایی</t>
  </si>
  <si>
    <t>1.6.1.2.14</t>
  </si>
  <si>
    <t>رلواژ نهایی</t>
  </si>
  <si>
    <t>1.6.1.2.15</t>
  </si>
  <si>
    <t>نصب علائم خط</t>
  </si>
  <si>
    <t>بلاک مشک - هرند</t>
  </si>
  <si>
    <t>تهیه و اجرای لایه خاکریز با تراکم 90</t>
  </si>
  <si>
    <t>تهیه و حمل مصالح لایه‏های خاکریز با تراکم 95 (2 بخش 7 کیلومتری)</t>
  </si>
  <si>
    <t>اجرای لایه‏های خاکریز با تراکم 95 (2 بخش 7 کیلومتری)</t>
  </si>
  <si>
    <t>تهیه مصالح لایه‏های خاکریز با تراکم 100 (2 بخش 7 کیلومتری)</t>
  </si>
  <si>
    <t>اجرای لایه‏های خاکریز با تراکم 100</t>
  </si>
  <si>
    <t>تهیه زیربالاست (2 بخش 7 کیلومتری)</t>
  </si>
  <si>
    <t>1.6.2.1.10</t>
  </si>
  <si>
    <t>اجرای زیربالاست (2 بخش 7 کیلومتری)</t>
  </si>
  <si>
    <t>1.6.2.2</t>
  </si>
  <si>
    <t>ابنيه فني</t>
  </si>
  <si>
    <t>1.6.2.2.1</t>
  </si>
  <si>
    <t>1.6.2.2.2</t>
  </si>
  <si>
    <t>قالب بندی (در دو بخش 33 آبرویی)</t>
  </si>
  <si>
    <t>1.6.2.2.3</t>
  </si>
  <si>
    <t>تهیه و نصب آرماتور (در دو بخش 22 آبرویی)</t>
  </si>
  <si>
    <t>1.6.2.2.4</t>
  </si>
  <si>
    <t>اجرای بتن (در دو بخش 33 آبرویی)</t>
  </si>
  <si>
    <t>1.6.2.2.5</t>
  </si>
  <si>
    <t>عایق کاری</t>
  </si>
  <si>
    <t>1.6.2.2.6</t>
  </si>
  <si>
    <t>عملیات تکمیلی (پرکردن پشت کوله‏ها و دستک‏ها)</t>
  </si>
  <si>
    <t>1.6.2.2.7</t>
  </si>
  <si>
    <t>ساخت و نصب نرده حفاظ پل‏ها</t>
  </si>
  <si>
    <t>1.6.2.2.8</t>
  </si>
  <si>
    <t>بسترسازی</t>
  </si>
  <si>
    <t>1.6.2.2.9</t>
  </si>
  <si>
    <t>حمل سیمان و آرماتور</t>
  </si>
  <si>
    <t>1.6.2.2.10</t>
  </si>
  <si>
    <t>جوشکاری ریل (در دو بخش 7 کیلومتری)</t>
  </si>
  <si>
    <t>1.6.3.1.10</t>
  </si>
  <si>
    <t>1.6.3.2.1</t>
  </si>
  <si>
    <t>مونتاژ و نصب سوزن</t>
  </si>
  <si>
    <t>1.6.3.2.8</t>
  </si>
  <si>
    <t>1.6.3.2.9</t>
  </si>
  <si>
    <t>1.6.3.2.10</t>
  </si>
  <si>
    <t>1.6.3.2.11</t>
  </si>
  <si>
    <t>1.6.3.2.12</t>
  </si>
  <si>
    <t>1.6.3.2.13</t>
  </si>
  <si>
    <t>1.6.3.2.14</t>
  </si>
  <si>
    <t>1.6.3.2.15</t>
  </si>
  <si>
    <t>بلاک هرند - خیرآباد</t>
  </si>
  <si>
    <t>1.6.4.1.10</t>
  </si>
  <si>
    <t>1.6.4.2</t>
  </si>
  <si>
    <t>1.6.4.2.1</t>
  </si>
  <si>
    <t>1.6.4.2.2</t>
  </si>
  <si>
    <t>1.6.4.2.3</t>
  </si>
  <si>
    <t>1.6.4.2.4</t>
  </si>
  <si>
    <t>1.6.4.2.5</t>
  </si>
  <si>
    <t>1.6.4.2.6</t>
  </si>
  <si>
    <t>1.6.4.2.7</t>
  </si>
  <si>
    <t>1.6.4.2.8</t>
  </si>
  <si>
    <t>1.6.4.2.9</t>
  </si>
  <si>
    <t>1.6.4.2.10</t>
  </si>
  <si>
    <t>1.6.5.1.10</t>
  </si>
  <si>
    <t>1.6.5.2.9</t>
  </si>
  <si>
    <t>1.6.5.2.10</t>
  </si>
  <si>
    <t>1.6.5.2.11</t>
  </si>
  <si>
    <t>1.6.5.2.12</t>
  </si>
  <si>
    <t>1.6.5.2.13</t>
  </si>
  <si>
    <t>1.6.5.2.14</t>
  </si>
  <si>
    <t>1.6.5.2.15</t>
  </si>
  <si>
    <t>بلاک خیرآباد - سیستان</t>
  </si>
  <si>
    <t>1.6.6.1.10</t>
  </si>
  <si>
    <t>1.6.6.2</t>
  </si>
  <si>
    <t>1.6.6.2.1</t>
  </si>
  <si>
    <t>1.6.6.2.2</t>
  </si>
  <si>
    <t>1.6.6.2.3</t>
  </si>
  <si>
    <t>1.6.6.2.4</t>
  </si>
  <si>
    <t>1.6.6.2.5</t>
  </si>
  <si>
    <t>1.6.6.2.6</t>
  </si>
  <si>
    <t>1.6.6.2.7</t>
  </si>
  <si>
    <t>1.6.6.2.8</t>
  </si>
  <si>
    <t>1.6.6.2.9</t>
  </si>
  <si>
    <t>1.6.6.2.10</t>
  </si>
  <si>
    <t>1.6.7</t>
  </si>
  <si>
    <t>1.6.1.1.10</t>
  </si>
  <si>
    <t>1.6.2.2.12</t>
  </si>
  <si>
    <t>1.6.2.2.13</t>
  </si>
  <si>
    <t>1.6.2.2.14</t>
  </si>
  <si>
    <t>1.6.2.2.15</t>
  </si>
  <si>
    <t>1.6.2.2.16</t>
  </si>
  <si>
    <t>1.6.2.2.17</t>
  </si>
  <si>
    <t>1.6.2.2.18</t>
  </si>
  <si>
    <t>1.6.2.2.19</t>
  </si>
  <si>
    <t>1.6.2.2.20</t>
  </si>
  <si>
    <t>16.3.2.3</t>
  </si>
  <si>
    <t>1.6.4.2.13</t>
  </si>
  <si>
    <t>1.6.4.2.14</t>
  </si>
  <si>
    <t>1.6.4.2.15</t>
  </si>
  <si>
    <t>1.6.4.2.16</t>
  </si>
  <si>
    <t>1.6.4.2.17</t>
  </si>
  <si>
    <t>1.6.4.2.18</t>
  </si>
  <si>
    <t>1.6.4.2.19</t>
  </si>
  <si>
    <t>1.6.4.2.20</t>
  </si>
  <si>
    <t>1.6.6.2.11</t>
  </si>
  <si>
    <t>1.6.6.2.13</t>
  </si>
  <si>
    <t>1.6.6.2.14</t>
  </si>
  <si>
    <t>1.6.6.2.15</t>
  </si>
  <si>
    <t>1.6.6.2.16</t>
  </si>
  <si>
    <t>1.6.6.2.17</t>
  </si>
  <si>
    <t>1.6.6.2.18</t>
  </si>
  <si>
    <t>1.6.6.2.19</t>
  </si>
  <si>
    <t>1.6.6.2.20</t>
  </si>
  <si>
    <t>1.5.1.1.۱</t>
  </si>
  <si>
    <t>1.5.1.1.۲</t>
  </si>
  <si>
    <t>1.5.1.2.۲</t>
  </si>
  <si>
    <t>1.5.2.2</t>
  </si>
  <si>
    <r>
      <t xml:space="preserve">رعايت نظم و انضباط در محوطه و محيط‌هاي اداري، كارگاهي و كارگري در انطباق با </t>
    </r>
    <r>
      <rPr>
        <sz val="13"/>
        <color rgb="FF000000"/>
        <rFont val="B Nazanin"/>
        <charset val="178"/>
      </rPr>
      <t>5s</t>
    </r>
  </si>
  <si>
    <r>
      <t xml:space="preserve">تهیه و ارسال گردش فعالیتها و روابط بین مشارکت، مشاور و کارفرما
</t>
    </r>
    <r>
      <rPr>
        <sz val="11"/>
        <color theme="1"/>
        <rFont val="B Nazanin"/>
        <charset val="178"/>
      </rPr>
      <t xml:space="preserve"> (Coordination Procedure)</t>
    </r>
  </si>
  <si>
    <t>-</t>
  </si>
  <si>
    <t>ارائه اصل عقد قرارداد خرید ریل</t>
  </si>
  <si>
    <r>
      <t xml:space="preserve">تهیه و ارسال روش‏های اجرایی و دستورالعمل‏های کاری شامل:
</t>
    </r>
    <r>
      <rPr>
        <b/>
        <sz val="13"/>
        <color theme="1"/>
        <rFont val="Arial"/>
        <family val="2"/>
      </rPr>
      <t xml:space="preserve"> </t>
    </r>
    <r>
      <rPr>
        <sz val="11"/>
        <color theme="1"/>
        <rFont val="Arial"/>
        <family val="2"/>
      </rPr>
      <t>QA ،QC ،HSE ،5S و …</t>
    </r>
  </si>
  <si>
    <t>مقدمات لازم جهت فعاليت هاي اجرايي</t>
  </si>
  <si>
    <t xml:space="preserve">عقد قرارداد </t>
  </si>
  <si>
    <t xml:space="preserve">پرداخت پیش پرداخت یا گشایش و فعال نمودن LC </t>
  </si>
  <si>
    <t xml:space="preserve">حمل خارجی </t>
  </si>
  <si>
    <t>1.5.2.3</t>
  </si>
  <si>
    <t>1.5.2.4</t>
  </si>
  <si>
    <t>ترخیص از گمرگ، بارگیری، حمل داخلی، تخلیه و دپو در محل کارگاه</t>
  </si>
  <si>
    <t>پي كني</t>
  </si>
  <si>
    <t>تهيه و نصب آرماتور</t>
  </si>
  <si>
    <t>اجراي بتن</t>
  </si>
  <si>
    <t>عايق كاري</t>
  </si>
  <si>
    <t>عمليات تكميلي (پر كردن پشت كوله ها و دستك ها و ...)</t>
  </si>
  <si>
    <t>ساخت و نصب نرده حفاظ پلها</t>
  </si>
  <si>
    <t>بسترسازي</t>
  </si>
  <si>
    <t>حمل سيمان و آرماتور</t>
  </si>
  <si>
    <t>بالاست ريزي مرحله اول</t>
  </si>
  <si>
    <t>حمل سوزن از محل دپو تا نصب</t>
  </si>
  <si>
    <t>حمل كوپلاژ يا حمل ريلي ریل، تراورس و ادوات</t>
  </si>
  <si>
    <t>نصب كوپلاژ</t>
  </si>
  <si>
    <t>تهیه و اجراي لايه هاي زیر بالاست</t>
  </si>
  <si>
    <t>16.3.2.2</t>
  </si>
  <si>
    <t>16.3.2.4</t>
  </si>
  <si>
    <t>16.3.2.5</t>
  </si>
  <si>
    <t>16.3.2.6</t>
  </si>
  <si>
    <t>16.3.2.7</t>
  </si>
  <si>
    <t>16.3.2.8</t>
  </si>
  <si>
    <t>16.3.2.9</t>
  </si>
  <si>
    <t>16.3.2.10</t>
  </si>
  <si>
    <t>16.3.2.11</t>
  </si>
  <si>
    <t>تهیه و اجراي زیر بالاست</t>
  </si>
  <si>
    <t>پروژه رفع گلوگاه هاي ظرفيتي در امور زيربنايي
راه آهن ج.ا.ا</t>
  </si>
  <si>
    <t>Rev</t>
  </si>
  <si>
    <t>Volume</t>
  </si>
  <si>
    <t>Doc. No</t>
  </si>
  <si>
    <t>Doc. Type</t>
  </si>
  <si>
    <t>Stu. Gro</t>
  </si>
  <si>
    <t>Sub. Proj</t>
  </si>
  <si>
    <t>Proj</t>
  </si>
  <si>
    <t>کد مدرک</t>
  </si>
  <si>
    <t>« جدول خلاصه صورت وضعيت ها »</t>
  </si>
  <si>
    <t>شماره صورت وضعيت</t>
  </si>
  <si>
    <t>دوره کارکرد</t>
  </si>
  <si>
    <t>تجمعی صورت وضعیت شده پيمانکار (ریال)</t>
  </si>
  <si>
    <t>تجمعی تایید شده توسط مشاور(ریال)</t>
  </si>
  <si>
    <t>تجمعی تایید شده توسط کارفرما (ریال)</t>
  </si>
  <si>
    <t>ارسالي</t>
  </si>
  <si>
    <t>تاييد شده</t>
  </si>
  <si>
    <t>شرکت راه آهن ج.ا.ا</t>
  </si>
  <si>
    <t>مشاور:</t>
  </si>
  <si>
    <t>پيمانکار:</t>
  </si>
  <si>
    <t>فهرست بهای رشته:</t>
  </si>
  <si>
    <t>راه، راه آهن و باند فرودگاه</t>
  </si>
  <si>
    <t>صورت وضعیت از تاريخ:</t>
  </si>
  <si>
    <t>تا تاريخ:</t>
  </si>
  <si>
    <t>فصل</t>
  </si>
  <si>
    <t>شرح فصل</t>
  </si>
  <si>
    <t>مبلغ کارکرد (ريال)</t>
  </si>
  <si>
    <t>کارکرد</t>
  </si>
  <si>
    <t>ملاحظات</t>
  </si>
  <si>
    <t>تجمعي تاکنون</t>
  </si>
  <si>
    <t>مهندسي</t>
  </si>
  <si>
    <t>خدمات مهندسي و طراحي</t>
  </si>
  <si>
    <t>درخواست پیمانکار</t>
  </si>
  <si>
    <t>تأیید مشاور</t>
  </si>
  <si>
    <t>تأیید کارفرما</t>
  </si>
  <si>
    <t>بيمه</t>
  </si>
  <si>
    <t>بيمه نامه ها</t>
  </si>
  <si>
    <t>تجهیز و برچیدن کارگاه</t>
  </si>
  <si>
    <t>عملیات تخریب</t>
  </si>
  <si>
    <t>عملیات خاکی با دست</t>
  </si>
  <si>
    <t>عملیات خاکی با ماشین</t>
  </si>
  <si>
    <t>عملیات بنایی با سنگ</t>
  </si>
  <si>
    <t>قالب بندی و چوب بست</t>
  </si>
  <si>
    <t>کارهای فولادی با میلگرد</t>
  </si>
  <si>
    <t>کارهای فولادی سبک</t>
  </si>
  <si>
    <t>بتن درجا</t>
  </si>
  <si>
    <t>بتن پیش ساخته</t>
  </si>
  <si>
    <t>زیراساس، اساس و بالاست</t>
  </si>
  <si>
    <t>کارهای متفرقه</t>
  </si>
  <si>
    <t>حمل و نقل</t>
  </si>
  <si>
    <t>کارهای دستمزدی</t>
  </si>
  <si>
    <t>ریل، سوزن و ملحقات</t>
  </si>
  <si>
    <t>اجرای روسازی راه آهن</t>
  </si>
  <si>
    <t>جمع کل</t>
  </si>
  <si>
    <t>مهر و امضای پیمانکار</t>
  </si>
  <si>
    <t>مهر و امضا مشاور زیر بنایی</t>
  </si>
  <si>
    <t>مهر و امضا  کارفرما</t>
  </si>
  <si>
    <t>تعديل 
با استفاده از شاخص</t>
  </si>
  <si>
    <t>مقدمات لازم جهت فعاليتهاي اجرايي</t>
  </si>
  <si>
    <t>رشته اي فهرست بهاي راه، راه آهن و باند فرودگاه</t>
  </si>
  <si>
    <t>ميانگين رشته اي فهرست بهاي راه، راه آهن و باند فرودگاه و فهرست بهاي ابنيه</t>
  </si>
  <si>
    <t>فصل يك فهرست بهاي راه، راه آهن و باند فرودگاه</t>
  </si>
  <si>
    <t>فصل دو فهرست بهاي راه، راه آهن و باند فرودگاه</t>
  </si>
  <si>
    <t>فصل سه فهرست بهاي راه، راه آهن و باند فرودگاه</t>
  </si>
  <si>
    <t>فصل شش فهرست بهاي راه، راه آهن و باند فرودگاه</t>
  </si>
  <si>
    <t>فصل هشت فهرست بهاي راه، راه آهن و باند فرودگاه</t>
  </si>
  <si>
    <t>فصل نه فهرست بهاي راه، راه آهن و باند فرودگاه</t>
  </si>
  <si>
    <t>فصل یازده فهرست بهاي راه، راه آهن و باند فرودگاه</t>
  </si>
  <si>
    <t>فصل دوازده فهرست بهاي راه، راه آهن و باند فرودگاه</t>
  </si>
  <si>
    <t>فصل سيزده فهرست بهاي راه، راه آهن و باند فرودگاه</t>
  </si>
  <si>
    <t>فصل چهارده فهرست بهاي راه، راه آهن و باند فرودگاه</t>
  </si>
  <si>
    <t>فصل شانزده فهرست بهاي راه، راه آهن و باند فرودگاه</t>
  </si>
  <si>
    <t>فصل نوزده فهرست بهاي راه، راه آهن و باند فرودگاه</t>
  </si>
  <si>
    <t>فصل بيست فهرست بهاي راه، راه آهن و باند فرودگاه</t>
  </si>
  <si>
    <t>فصل بيست و یک فهرست بهاي راه، راه آهن و باند فرودگاه</t>
  </si>
  <si>
    <t>فصل بيست و دو فهرست بهاي راه، راه آهن و باند فرودگاه</t>
  </si>
  <si>
    <t>فصل بيست و سه فهرست بهاي راه، راه آهن و باند فرودگاه</t>
  </si>
  <si>
    <t xml:space="preserve">پروژه احداث خط دوم راه آهن محور مشك - سيستان
 به روش EPC غيرصنعتي </t>
  </si>
  <si>
    <t>400/66891/ي</t>
  </si>
  <si>
    <t>شماره سریال:</t>
  </si>
  <si>
    <t xml:space="preserve">تاریخ : </t>
  </si>
  <si>
    <t>صورتحساب فروش کالا و خدمات</t>
  </si>
  <si>
    <t>مشخصات فروشنده</t>
  </si>
  <si>
    <r>
      <t xml:space="preserve">نام شخص حقیقی / حقوقی : </t>
    </r>
    <r>
      <rPr>
        <b/>
        <sz val="7"/>
        <color theme="1"/>
        <rFont val="2  Mitra"/>
        <charset val="178"/>
      </rPr>
      <t/>
    </r>
  </si>
  <si>
    <t>شماره اقتصادی :</t>
  </si>
  <si>
    <t xml:space="preserve">   شماره ثبت / شماره ملی : </t>
  </si>
  <si>
    <t>کدپستی 10 رقمی :</t>
  </si>
  <si>
    <t>مشخصات خریدار</t>
  </si>
  <si>
    <r>
      <t xml:space="preserve">نشانی کامل :     استان : </t>
    </r>
    <r>
      <rPr>
        <b/>
        <i/>
        <sz val="11"/>
        <color rgb="FF002060"/>
        <rFont val="2  Mitra"/>
        <charset val="178"/>
      </rPr>
      <t>تهران</t>
    </r>
    <r>
      <rPr>
        <b/>
        <sz val="11"/>
        <color theme="1"/>
        <rFont val="2  Mitra"/>
        <charset val="178"/>
      </rPr>
      <t xml:space="preserve">                    شهرستان : </t>
    </r>
    <r>
      <rPr>
        <b/>
        <i/>
        <sz val="11"/>
        <color rgb="FF002060"/>
        <rFont val="2  Mitra"/>
        <charset val="178"/>
      </rPr>
      <t>تهران</t>
    </r>
    <r>
      <rPr>
        <b/>
        <sz val="11"/>
        <color rgb="FF002060"/>
        <rFont val="2  Mitra"/>
        <charset val="178"/>
      </rPr>
      <t xml:space="preserve"> </t>
    </r>
    <r>
      <rPr>
        <b/>
        <sz val="11"/>
        <color theme="1"/>
        <rFont val="2  Mitra"/>
        <charset val="178"/>
      </rPr>
      <t xml:space="preserve">             شهر :</t>
    </r>
    <r>
      <rPr>
        <b/>
        <i/>
        <sz val="11"/>
        <color theme="1"/>
        <rFont val="2  Mitra"/>
        <charset val="178"/>
      </rPr>
      <t xml:space="preserve"> </t>
    </r>
    <r>
      <rPr>
        <b/>
        <i/>
        <sz val="11"/>
        <color rgb="FF002060"/>
        <rFont val="2  Mitra"/>
        <charset val="178"/>
      </rPr>
      <t>تهران</t>
    </r>
    <r>
      <rPr>
        <b/>
        <sz val="11"/>
        <color theme="1"/>
        <rFont val="2  Mitra"/>
        <charset val="178"/>
      </rPr>
      <t xml:space="preserve">      </t>
    </r>
  </si>
  <si>
    <r>
      <t>شماره تلفن / نمابر :</t>
    </r>
    <r>
      <rPr>
        <b/>
        <sz val="9"/>
        <color theme="1"/>
        <rFont val="2  Mitra"/>
        <charset val="178"/>
      </rPr>
      <t xml:space="preserve"> </t>
    </r>
    <r>
      <rPr>
        <b/>
        <sz val="10"/>
        <color rgb="FF002060"/>
        <rFont val="2  Mitra"/>
        <charset val="178"/>
      </rPr>
      <t>55128159</t>
    </r>
  </si>
  <si>
    <r>
      <t xml:space="preserve">نشانی :  </t>
    </r>
    <r>
      <rPr>
        <b/>
        <i/>
        <sz val="10"/>
        <color rgb="FF002060"/>
        <rFont val="2  Mitra"/>
        <charset val="178"/>
      </rPr>
      <t>میدان آرژانتین، ابتدای بلوار آفریقا ، ساختمان راه آهن جمهوری اسلامی ایران</t>
    </r>
    <r>
      <rPr>
        <b/>
        <sz val="10"/>
        <color rgb="FF002060"/>
        <rFont val="2  Mitra"/>
        <charset val="178"/>
      </rPr>
      <t xml:space="preserve"> </t>
    </r>
  </si>
  <si>
    <t>مشخصات کالا یا خدمات مورد معامله</t>
  </si>
  <si>
    <t>کد کالا</t>
  </si>
  <si>
    <t>شرح کالا و یا خدمات</t>
  </si>
  <si>
    <t>تعداد/ مقدار</t>
  </si>
  <si>
    <t>واحد اندازه گیری</t>
  </si>
  <si>
    <t>مبلغ واحد
(ریال)</t>
  </si>
  <si>
    <t>مبلغ کل (ریال)</t>
  </si>
  <si>
    <t>مبلغ تخفیف</t>
  </si>
  <si>
    <t>مبلغ کل پس از تخفیف (ریال)</t>
  </si>
  <si>
    <t>جمع مالیات و عوارض (ریال)</t>
  </si>
  <si>
    <t>جمع مبلغ کل بعلاوه
 جمع مالیات و عوارض
 ( ریال)</t>
  </si>
  <si>
    <r>
      <t xml:space="preserve">نحوه محاسبه براساس شماره ستون </t>
    </r>
    <r>
      <rPr>
        <sz val="8"/>
        <color theme="1"/>
        <rFont val="Calibri"/>
        <family val="2"/>
      </rPr>
      <t>←</t>
    </r>
  </si>
  <si>
    <t>(4*6)</t>
  </si>
  <si>
    <t>(7-8)</t>
  </si>
  <si>
    <t>(9*9%)</t>
  </si>
  <si>
    <t>(9+10)</t>
  </si>
  <si>
    <t>--</t>
  </si>
  <si>
    <t>جمع کل:</t>
  </si>
  <si>
    <t>شرایط و نحوه فروش :      نقدی : □       غیر نقدی : □        صورتحساب فصلی : □</t>
  </si>
  <si>
    <t>توضیحات:</t>
  </si>
  <si>
    <t>مهر و امضاء فروشنده:</t>
  </si>
  <si>
    <t>مهر و امضاء خریدار:</t>
  </si>
  <si>
    <t>تحويل موقت و 
بيمه مهندسي سازه‌هاي تكميل شده</t>
  </si>
  <si>
    <t>12 و 13</t>
  </si>
  <si>
    <t>شرکت تکنیک</t>
  </si>
  <si>
    <r>
      <t xml:space="preserve">نشانی کامل :     استان : تهران                   شهرستان : </t>
    </r>
    <r>
      <rPr>
        <b/>
        <sz val="11"/>
        <color rgb="FF002060"/>
        <rFont val="B Nazanin"/>
        <charset val="178"/>
      </rPr>
      <t xml:space="preserve"> </t>
    </r>
    <r>
      <rPr>
        <b/>
        <sz val="11"/>
        <color theme="1"/>
        <rFont val="B Nazanin"/>
        <charset val="178"/>
      </rPr>
      <t xml:space="preserve">  تهران           شهر : تهران</t>
    </r>
    <r>
      <rPr>
        <b/>
        <i/>
        <sz val="11"/>
        <color theme="1"/>
        <rFont val="B Nazanin"/>
        <charset val="178"/>
      </rPr>
      <t xml:space="preserve"> </t>
    </r>
    <r>
      <rPr>
        <b/>
        <sz val="11"/>
        <color theme="1"/>
        <rFont val="B Nazanin"/>
        <charset val="178"/>
      </rPr>
      <t xml:space="preserve">      </t>
    </r>
  </si>
  <si>
    <r>
      <t>شماره تلفن / نمابر :</t>
    </r>
    <r>
      <rPr>
        <b/>
        <sz val="9"/>
        <color theme="1"/>
        <rFont val="B Nazanin"/>
        <charset val="178"/>
      </rPr>
      <t xml:space="preserve">  02188335750/02188335760</t>
    </r>
  </si>
  <si>
    <r>
      <t xml:space="preserve">نشانی :  </t>
    </r>
    <r>
      <rPr>
        <b/>
        <sz val="10"/>
        <color theme="1"/>
        <rFont val="B Nazanin"/>
        <charset val="178"/>
      </rPr>
      <t xml:space="preserve"> تهران - ابتدای مسیر جنوب به شمال اتوبان کردستان - نبش خیابان سی و سوم جهان ارا (شهید حسین پور) - پلاک 64 - شرکت تکنیک</t>
    </r>
  </si>
  <si>
    <t>مشارکت تكنيك پل رود كنكاوان معدن شيراز</t>
  </si>
  <si>
    <t>1393/11/20</t>
  </si>
  <si>
    <t xml:space="preserve"> تراورس+ بالاست</t>
  </si>
  <si>
    <t>بابت بالاست</t>
  </si>
  <si>
    <t>1396/12/11</t>
  </si>
  <si>
    <t>موقت 16</t>
  </si>
  <si>
    <t>مبلغ پروژه</t>
  </si>
  <si>
    <t>کار اضافه</t>
  </si>
  <si>
    <t>مبلغ کار اضافه این کارکرد</t>
  </si>
  <si>
    <t>1399/06/02</t>
  </si>
  <si>
    <t>قطعی</t>
  </si>
  <si>
    <t>« خلاصه کارکرد صورت وضعیت موقت قطعی به تفکیک فصول - مشمول تعديل »</t>
  </si>
  <si>
    <t>« خلاصه کارکرد صورت وضعیت موقت قطعی به تفکیک فصول مرتبط »</t>
  </si>
  <si>
    <r>
      <t xml:space="preserve">صورت وضعیت قطعی </t>
    </r>
    <r>
      <rPr>
        <b/>
        <sz val="8"/>
        <color rgb="FF002060"/>
        <rFont val="B Nazanin"/>
        <charset val="178"/>
      </rPr>
      <t>قرارداد طراحی، تأمین و اجرای دو خطه کردن راه‏آهن (زیرسازی، پل‏سازی، روسازی) محور مشك-سيستان
ش قرارداد  400/6موقت 6891/ی مورخ 93/11/20</t>
    </r>
  </si>
  <si>
    <t>خلاصه متره کارکرد قطعی</t>
  </si>
  <si>
    <t>شرح</t>
  </si>
  <si>
    <t>کیلومتر شروع</t>
  </si>
  <si>
    <t>کیلومتر پایان</t>
  </si>
  <si>
    <t>تعداد تراورس اجراشده</t>
  </si>
  <si>
    <t>تعداد تراورس مورد نیاز</t>
  </si>
  <si>
    <t>درصد تراورس اجرا شده</t>
  </si>
  <si>
    <t>درصد بالاست اجرا شده</t>
  </si>
  <si>
    <t>درصد ریل ریسه شده</t>
  </si>
  <si>
    <t>توضیحات</t>
  </si>
  <si>
    <t>طول(m)</t>
  </si>
  <si>
    <t>بالاست مرحله  اول اجراشده</t>
  </si>
  <si>
    <t>ایستگاه خیر آباد</t>
  </si>
  <si>
    <t>چیدمان تراورس هرند به سمت مشک</t>
  </si>
  <si>
    <t xml:space="preserve"> طول ریل ریسه شده (m)</t>
  </si>
  <si>
    <t>بلاک  مشک -هرند</t>
  </si>
  <si>
    <t>بلاک هرند-خیر آباد</t>
  </si>
  <si>
    <t>بلاک خیر آباد-سیستان</t>
  </si>
  <si>
    <t>یکصد پنج شاخه 25 متری در ایستگاه هرند دپو شده بود</t>
  </si>
  <si>
    <t>جمع</t>
  </si>
  <si>
    <t>کارهای اضافه</t>
  </si>
  <si>
    <t xml:space="preserve">تجهیز و برچیدن کارگاه </t>
  </si>
  <si>
    <t>مقدمات لازم جهت فعاليتهاي اجرايي +کارهای اضافه</t>
  </si>
  <si>
    <t>پیمانکار-قطعی</t>
  </si>
  <si>
    <t>مشاور کارفرما</t>
  </si>
  <si>
    <t>توضیحات پیمانکار</t>
  </si>
  <si>
    <t>توضیحات مشاور</t>
  </si>
  <si>
    <t>بر اساس ساختار شکست مصوب طی نامه شماره          مورخ</t>
  </si>
  <si>
    <t>تایید شده کارکرد قبلی (ص.و15)</t>
  </si>
  <si>
    <t>تایید شده قبلی (کارکرد 15)</t>
  </si>
  <si>
    <t>تا دوره قبل-کارکرد 15</t>
  </si>
  <si>
    <t>تا دوره قبل -کارکرد 15</t>
  </si>
  <si>
    <t>تعدیل نمیگیرد-بیمه</t>
  </si>
  <si>
    <t>تعدیل نمیگیرد-طراحی</t>
  </si>
  <si>
    <t>جمع ردیف های تعدیل میگیرد</t>
  </si>
  <si>
    <t>جمع صورت کارکرد</t>
  </si>
  <si>
    <t>اين دوره قطعی</t>
  </si>
  <si>
    <t>لیست مدارک به مشاور ارسال شده است</t>
  </si>
  <si>
    <t>کلیه بیمه نامه در طول مدت اولیه پروژه وچند سال بعد از آن ارائه شده است</t>
  </si>
  <si>
    <t>تجهیز کارگاه همچنین  تجهیز اولیه کارگاه بسیار فراتر از پروژه در همان ابتدای پروژه انجام گردیده است</t>
  </si>
  <si>
    <t>کلیه خدمات مهندسی پیش از اجرا به اتمام رسیده است وکلیه مدارک مربوطه برای مشاور ارسال وتایید  شده است</t>
  </si>
  <si>
    <t>با توجه به اینکه خدمات مهندسی حین اجرا در مدت اولیه پیمان  ومدت تطویل ارائه شده است لذا از نظر این پیمانکار به جز ردیف 8 کلیه ردیف های مربوطه انجام شده است</t>
  </si>
  <si>
    <t>تجهیز مستمر کارگاه در مدت اولیه پروژه و مدت تطویل یعنی حدود چهار سال بعد ازمدت اولیه پیمان  انجام گردیده است لذا پیمانکار مستحق دریافت کل مبلغ تجهیز مستمرمی باشد</t>
  </si>
  <si>
    <t>قرارداد تامین ریل</t>
  </si>
  <si>
    <t>قرارداد خرید سوزن</t>
  </si>
  <si>
    <t xml:space="preserve"> ارسال مستندات طراحی پیمانکار</t>
  </si>
  <si>
    <t>قرارداد با سازنده</t>
  </si>
  <si>
    <t>بر اساس قرارداد در صورتی که تا سقف این مبلغ کاری به پیمانکار ابلاغ شود پیمانکار موظف است نسبت به اجرای آن بدون دریافت هزینه اقدام نماید ودر صورتی که کار اضافه ای ابلاغ نگردد با توجه مبلغ مقطوع قرارداد این مبلغ باید به پیمانکار پرداخت گردد وبا عنایت به عدم ابلاغ کار اضافه مبلغ مذکور نیز باید به پیمانکار پرداخت گردد.</t>
  </si>
  <si>
    <t>با توجه به تطویل مدت پیمان تا تاریخ  1399/06/02 (بیش از 3/5 سال مازاد بر مدت اولیه پیمان) هزینه  خدمات مستمر قید شده در ساختار شکست  چندین برابر  هزینه پیش بینی شده صورت گرفته است لذا درصد منظور شده در کارکرد با توجه به ساختار شکست پروژه 100% منظور شده است بنابراین درصد اعمال خدمات سازمان دهی وبرنامه ریزی،بیمه نامه ها،تجهیز اولیه کارگاه، تجهیز مستمر کارگاه ،خدمات طراحی ومهندسی پیش از اجرا وحین اجرا واختتامیه پروژه 100% منظور شده است .در مورد خدمات اجرایی فعالیت زیرسازی پروژه به صورت 100% انجام شده در خصوص آیتم کار اضافه  در ساختار شکست این ردیف تخفیفی بود که پیمانکار در زمان انعقاد قرارداد به کارفرما داده بود به این شکل در صورتی که کارفرما کار اضافه ای در چارچوب قرارداد به پیمانکار ابلاغ نماید پیمانکار مکلف است تا این سقف نسبت به انجام آن اقدام نماید  (بدون دریافت هیچ مبلغی ) در غیر اینصورت مبلغ فوق باید به پیمانکار پرداخت گردد با توجه به عدم ابلاغ کار اضافه در زمان قرارداد لذا مبلغ فوق باید به پیمانکار پرداخت گردد ،فعالیت های مربوط به روسازی براساس متره فوق انجام گرفته است (بر اساس برداشت  کارگاهی مورخ 99/06/20 ) در خصوص خدمات تامین درصد مربوطه با توجه به انجام فعالیت براساس ساختار شکست منظور شده است.مدارک مربوطه در پیوست مدارک پشتیبان ارائه شده است.</t>
  </si>
  <si>
    <t>صفحه 1 تا 8</t>
  </si>
  <si>
    <t>مدارك پشتيبان صورت وضعیت</t>
  </si>
  <si>
    <t>صفحه 9تا15</t>
  </si>
  <si>
    <t>تایید طراحی مشاور</t>
  </si>
  <si>
    <t>صفحه 16 تا 18</t>
  </si>
  <si>
    <t>صفحه 19 تا 24</t>
  </si>
  <si>
    <t>ارسال 10982 عدد تراورس 30 تن گزارش مورخ 20/06/99</t>
  </si>
  <si>
    <t>صفحه 25 تا 30</t>
  </si>
  <si>
    <t>علی رغم پی گیری وودریافت پرفرفورما از شرکت ترکیه ای وایرانی با توجه به ساختار شکست در کارکرد قطعی منظور نشده است</t>
  </si>
  <si>
    <t>در خصوص نواقص مربوط به آبروها که مشاور کارفرما مدعی است این مشارکت طی نامه  های شماره  739و742 پاسخ لازم را ارائه داده است وبراین اساس هیچ کمبود عرضی در آبروها وجود نداردددر مورد ترک های سطحی تعدادی از آبروها نیز  لازم به توضیح است بر اساس ماده 10-2شرایط عمومی پیمان کارفرما نباید از هیچ از قسمت کار پیش از صدور گواهی تحویل مورد استفاده قراردهد ودر صورت انجام بر اساس بند ب همان ماده مسئولیت پیمانکار برای مراقبت از آن قسمت ها متوقف شده وبه کارفرما منتقل میشودلذا با توجه به واگذاری بدون طی مراحل مربوطه به پیمانکار دیگر مسئولیت اشکالات حادث از این مشارکت سلب گردیده است.</t>
  </si>
  <si>
    <t>صفحه  31 تا 34</t>
  </si>
  <si>
    <t>مقادیر اعمال شده در کارکرد قطعی با توجه به اتمام کار زیر سازی پروژه وانجام قسمتی از کار روسازی پروژه  ازجمله اجرای پوش اول بالاست وتامین واجرای 10982 عدد تراورس 30 تن در کارکرد قطعی اعمال گردیده است برای اینکار مشارکت نسبت به برداشت کار انجام شده اقدام نمود که مستندات مربوطه ضمیمه میگردد البته کارشناسی تامین دلیل که توسط کارفرما در سال 1400 انجام گردید  موید برداشت های کار انجام شده این مشارکت می باشد که مستندات مربوطه تقدیم میگردد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</si>
</sst>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_-&quot;ريال&quot;\ * #,##0.00_-;_-&quot;ريال&quot;\ * #,##0.00\-;_-&quot;ريال&quot;\ * &quot;-&quot;??_-;_-@_-"/>
    <numFmt numFmtId="166" formatCode="_-* #,##0.00_-;_-* #,##0.00\-;_-* &quot;-&quot;??_-;_-@_-"/>
    <numFmt numFmtId="167" formatCode="_-&quot;ريال&quot;* #,##0_-;_-&quot;ريال&quot;* #,##0\-;_-&quot;ريال&quot;* &quot;-&quot;_-;_-@_-"/>
    <numFmt numFmtId="168" formatCode="_-* #,##0.000_-;_-* #,##0.000\-;_-* &quot;-&quot;??_-;_-@_-"/>
    <numFmt numFmtId="169" formatCode="_-* #,##0_-;_-* #,##0\-;_-* &quot;-&quot;??_-;_-@_-"/>
    <numFmt numFmtId="170" formatCode="_-&quot;ريال&quot;\ * #,##0_-;_-&quot;ريال&quot;\ * #,##0\-;_-&quot;ريال&quot;\ * &quot;-&quot;??_-;_-@_-"/>
    <numFmt numFmtId="171" formatCode="0.0000%"/>
    <numFmt numFmtId="172" formatCode="_-[$ريال-429]* #,##0_-;_-[$ريال-429]* #,##0\-;_-[$ريال-429]* &quot;-&quot;_-;_-@_-"/>
    <numFmt numFmtId="173" formatCode="[$-3000401]0"/>
    <numFmt numFmtId="174" formatCode="0.00000000000000000%"/>
    <numFmt numFmtId="175" formatCode="0.0%"/>
    <numFmt numFmtId="176" formatCode="_-[$ريال-429]\ * #,##0_-;_-[$ريال-429]\ * #,##0\-;_-[$ريال-429]\ * &quot;-&quot;??_-;_-@_-"/>
    <numFmt numFmtId="177" formatCode="#,##0_);\(#,##0\);&quot;&quot;"/>
    <numFmt numFmtId="178" formatCode="_(* #,##0_);_(* \(#,##0\);_(* &quot;-&quot;??_);_(@_)"/>
  </numFmts>
  <fonts count="123">
    <font>
      <sz val="11"/>
      <color theme="1"/>
      <name val="Arial"/>
      <family val="2"/>
      <charset val="178"/>
      <scheme val="minor"/>
    </font>
    <font>
      <sz val="11"/>
      <color theme="1"/>
      <name val="Arial"/>
      <family val="2"/>
      <scheme val="minor"/>
    </font>
    <font>
      <sz val="11"/>
      <color theme="1"/>
      <name val="B Nazanin"/>
      <charset val="178"/>
    </font>
    <font>
      <sz val="11"/>
      <color theme="1"/>
      <name val="Arial"/>
      <family val="2"/>
      <charset val="178"/>
      <scheme val="minor"/>
    </font>
    <font>
      <sz val="12"/>
      <color theme="1"/>
      <name val="B Nazanin"/>
      <charset val="178"/>
    </font>
    <font>
      <b/>
      <sz val="12"/>
      <color theme="1"/>
      <name val="B Nazanin"/>
      <charset val="178"/>
    </font>
    <font>
      <b/>
      <sz val="11"/>
      <color theme="1"/>
      <name val="B Nazanin"/>
      <charset val="178"/>
    </font>
    <font>
      <b/>
      <sz val="11"/>
      <color rgb="FFFF0000"/>
      <name val="B Nazanin"/>
      <charset val="178"/>
    </font>
    <font>
      <b/>
      <sz val="14"/>
      <color theme="1"/>
      <name val="B Nazanin"/>
      <charset val="178"/>
    </font>
    <font>
      <sz val="11"/>
      <color theme="1"/>
      <name val="Arial"/>
      <family val="2"/>
      <scheme val="minor"/>
    </font>
    <font>
      <b/>
      <sz val="13"/>
      <color theme="1"/>
      <name val="B Nazanin"/>
      <charset val="178"/>
    </font>
    <font>
      <sz val="14"/>
      <color theme="1"/>
      <name val="B Nazanin"/>
      <charset val="178"/>
    </font>
    <font>
      <b/>
      <sz val="10"/>
      <color theme="1"/>
      <name val="B Nazanin"/>
      <charset val="178"/>
    </font>
    <font>
      <b/>
      <sz val="12"/>
      <color rgb="FFFF0000"/>
      <name val="B Nazanin"/>
      <charset val="178"/>
    </font>
    <font>
      <sz val="13"/>
      <color theme="1"/>
      <name val="B Nazanin"/>
      <charset val="178"/>
    </font>
    <font>
      <b/>
      <sz val="14"/>
      <color rgb="FFFF0000"/>
      <name val="B Nazanin"/>
      <charset val="178"/>
    </font>
    <font>
      <b/>
      <sz val="13"/>
      <color rgb="FFFF0000"/>
      <name val="B Nazanin"/>
      <charset val="178"/>
    </font>
    <font>
      <b/>
      <sz val="16"/>
      <color theme="1"/>
      <name val="B Nazanin"/>
      <charset val="178"/>
    </font>
    <font>
      <sz val="16"/>
      <color theme="1"/>
      <name val="B Nazanin"/>
      <charset val="178"/>
    </font>
    <font>
      <sz val="10"/>
      <name val="Arial"/>
      <family val="2"/>
    </font>
    <font>
      <sz val="10"/>
      <name val="Arial"/>
      <family val="2"/>
    </font>
    <font>
      <sz val="10"/>
      <name val="MS Sans Serif"/>
      <family val="2"/>
    </font>
    <font>
      <sz val="11"/>
      <name val="B Nazanin"/>
      <charset val="178"/>
    </font>
    <font>
      <b/>
      <sz val="12"/>
      <name val="B Nazanin"/>
      <charset val="178"/>
    </font>
    <font>
      <b/>
      <sz val="14"/>
      <color rgb="FF009900"/>
      <name val="B Nazanin"/>
      <charset val="178"/>
    </font>
    <font>
      <b/>
      <sz val="13"/>
      <color rgb="FF009900"/>
      <name val="B Nazanin"/>
      <charset val="178"/>
    </font>
    <font>
      <b/>
      <sz val="14"/>
      <name val="B Nazanin"/>
      <charset val="178"/>
    </font>
    <font>
      <b/>
      <sz val="13"/>
      <name val="B Nazanin"/>
      <charset val="178"/>
    </font>
    <font>
      <b/>
      <sz val="14"/>
      <color theme="1"/>
      <name val="B Mitra"/>
      <charset val="178"/>
    </font>
    <font>
      <b/>
      <sz val="13"/>
      <color theme="1"/>
      <name val="B Mitra"/>
      <charset val="178"/>
    </font>
    <font>
      <sz val="12"/>
      <name val="B Nazanin"/>
      <charset val="178"/>
    </font>
    <font>
      <sz val="12"/>
      <color rgb="FFFF0000"/>
      <name val="B Nazanin"/>
      <charset val="178"/>
    </font>
    <font>
      <b/>
      <sz val="14.5"/>
      <color theme="1"/>
      <name val="B Nazanin"/>
      <charset val="178"/>
    </font>
    <font>
      <b/>
      <sz val="13"/>
      <color theme="1"/>
      <name val="Arial"/>
      <family val="2"/>
      <scheme val="minor"/>
    </font>
    <font>
      <b/>
      <sz val="14"/>
      <color theme="1"/>
      <name val="Arial"/>
      <family val="2"/>
      <scheme val="minor"/>
    </font>
    <font>
      <sz val="12"/>
      <color theme="1"/>
      <name val="Arial"/>
      <family val="2"/>
      <charset val="178"/>
      <scheme val="minor"/>
    </font>
    <font>
      <sz val="12"/>
      <color rgb="FF000000"/>
      <name val="B Nazanin"/>
      <charset val="178"/>
    </font>
    <font>
      <sz val="12"/>
      <color rgb="FF000000"/>
      <name val="Arial"/>
      <family val="2"/>
      <scheme val="minor"/>
    </font>
    <font>
      <sz val="12"/>
      <name val="Arial"/>
      <family val="2"/>
      <scheme val="minor"/>
    </font>
    <font>
      <b/>
      <sz val="14.5"/>
      <name val="B Nazanin"/>
      <charset val="178"/>
    </font>
    <font>
      <b/>
      <sz val="14.5"/>
      <color theme="1"/>
      <name val="B Mitra"/>
      <charset val="178"/>
    </font>
    <font>
      <b/>
      <sz val="14.5"/>
      <color rgb="FFFF0000"/>
      <name val="B Nazanin"/>
      <charset val="178"/>
    </font>
    <font>
      <sz val="12.5"/>
      <color theme="1"/>
      <name val="B Nazanin"/>
      <charset val="178"/>
    </font>
    <font>
      <sz val="12.5"/>
      <name val="B Nazanin"/>
      <charset val="178"/>
    </font>
    <font>
      <sz val="12.5"/>
      <color rgb="FFFF0000"/>
      <name val="B Nazanin"/>
      <charset val="178"/>
    </font>
    <font>
      <sz val="11.5"/>
      <color theme="1"/>
      <name val="B Nazanin"/>
      <charset val="178"/>
    </font>
    <font>
      <sz val="11.5"/>
      <name val="B Nazanin"/>
      <charset val="178"/>
    </font>
    <font>
      <sz val="13"/>
      <color rgb="FF000000"/>
      <name val="B Nazanin"/>
      <charset val="178"/>
    </font>
    <font>
      <b/>
      <sz val="15"/>
      <color theme="1"/>
      <name val="B Nazanin"/>
      <charset val="178"/>
    </font>
    <font>
      <b/>
      <sz val="15"/>
      <color rgb="FFFF0000"/>
      <name val="B Nazanin"/>
      <charset val="178"/>
    </font>
    <font>
      <b/>
      <sz val="15"/>
      <color rgb="FF009900"/>
      <name val="B Nazanin"/>
      <charset val="178"/>
    </font>
    <font>
      <sz val="15"/>
      <color theme="1"/>
      <name val="B Nazanin"/>
      <charset val="178"/>
    </font>
    <font>
      <sz val="11"/>
      <color rgb="FFFF0000"/>
      <name val="B Nazanin"/>
      <charset val="178"/>
    </font>
    <font>
      <b/>
      <sz val="13"/>
      <color theme="1"/>
      <name val="Arial"/>
      <family val="2"/>
    </font>
    <font>
      <sz val="11"/>
      <color theme="1"/>
      <name val="Arial"/>
      <family val="2"/>
    </font>
    <font>
      <sz val="14"/>
      <name val="B Nazanin"/>
      <charset val="178"/>
    </font>
    <font>
      <sz val="13"/>
      <color theme="1"/>
      <name val="B Mitra"/>
      <charset val="178"/>
    </font>
    <font>
      <sz val="13"/>
      <name val="B Nazanin"/>
      <charset val="178"/>
    </font>
    <font>
      <b/>
      <sz val="12.5"/>
      <name val="B Nazanin"/>
      <charset val="178"/>
    </font>
    <font>
      <b/>
      <sz val="12.5"/>
      <color rgb="FFFF0000"/>
      <name val="B Nazanin"/>
      <charset val="178"/>
    </font>
    <font>
      <sz val="14"/>
      <color theme="1"/>
      <name val="B Titr"/>
      <charset val="178"/>
    </font>
    <font>
      <b/>
      <sz val="11"/>
      <color theme="1"/>
      <name val="Times New Roman"/>
      <family val="1"/>
    </font>
    <font>
      <b/>
      <sz val="11"/>
      <name val="B Nazanin"/>
      <charset val="178"/>
    </font>
    <font>
      <b/>
      <sz val="10.5"/>
      <color theme="1"/>
      <name val="B Nazanin"/>
      <charset val="178"/>
    </font>
    <font>
      <b/>
      <sz val="11"/>
      <color rgb="FF00B050"/>
      <name val="B Nazanin"/>
      <charset val="178"/>
    </font>
    <font>
      <b/>
      <sz val="11"/>
      <color theme="3" tint="-0.249977111117893"/>
      <name val="B Nazanin"/>
      <charset val="178"/>
    </font>
    <font>
      <sz val="8"/>
      <color rgb="FFFF0000"/>
      <name val="B Nazanin"/>
      <charset val="178"/>
    </font>
    <font>
      <sz val="11"/>
      <name val="Arial"/>
      <family val="2"/>
    </font>
    <font>
      <b/>
      <sz val="11"/>
      <name val="Arial"/>
      <family val="2"/>
    </font>
    <font>
      <b/>
      <sz val="8"/>
      <color theme="1"/>
      <name val="B Nazanin"/>
      <charset val="178"/>
    </font>
    <font>
      <b/>
      <sz val="7"/>
      <color theme="1"/>
      <name val="B Nazanin"/>
      <charset val="178"/>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1"/>
      <color indexed="60"/>
      <name val="Arial"/>
      <family val="2"/>
      <charset val="178"/>
    </font>
    <font>
      <sz val="10"/>
      <color indexed="8"/>
      <name val="Arial"/>
      <family val="2"/>
    </font>
    <font>
      <sz val="10"/>
      <name val="MS Sans Serif"/>
      <family val="2"/>
      <charset val="178"/>
    </font>
    <font>
      <b/>
      <sz val="11"/>
      <color indexed="63"/>
      <name val="Arial"/>
      <family val="2"/>
      <charset val="178"/>
    </font>
    <font>
      <b/>
      <sz val="14"/>
      <name val="Arial"/>
      <family val="2"/>
    </font>
    <font>
      <b/>
      <sz val="18"/>
      <color indexed="56"/>
      <name val="Times New Roman"/>
      <family val="2"/>
      <charset val="178"/>
    </font>
    <font>
      <b/>
      <sz val="11"/>
      <color indexed="8"/>
      <name val="Arial"/>
      <family val="2"/>
      <charset val="178"/>
    </font>
    <font>
      <sz val="11"/>
      <color indexed="10"/>
      <name val="Arial"/>
      <family val="2"/>
      <charset val="178"/>
    </font>
    <font>
      <sz val="12"/>
      <name val="宋体"/>
      <charset val="134"/>
    </font>
    <font>
      <sz val="11"/>
      <name val="明朝"/>
      <family val="1"/>
      <charset val="128"/>
    </font>
    <font>
      <b/>
      <sz val="10"/>
      <color theme="1"/>
      <name val="2  Mitra"/>
      <charset val="178"/>
    </font>
    <font>
      <b/>
      <sz val="12"/>
      <color theme="1"/>
      <name val="2  Mitra"/>
      <charset val="178"/>
    </font>
    <font>
      <b/>
      <sz val="11"/>
      <color theme="1"/>
      <name val="2  Titr"/>
      <charset val="178"/>
    </font>
    <font>
      <b/>
      <sz val="11"/>
      <color theme="1"/>
      <name val="2  Mitra"/>
      <charset val="178"/>
    </font>
    <font>
      <b/>
      <sz val="7"/>
      <color theme="1"/>
      <name val="2  Mitra"/>
      <charset val="178"/>
    </font>
    <font>
      <b/>
      <i/>
      <sz val="11"/>
      <color rgb="FF002060"/>
      <name val="2  Mitra"/>
      <charset val="178"/>
    </font>
    <font>
      <b/>
      <sz val="11"/>
      <color rgb="FF002060"/>
      <name val="2  Mitra"/>
      <charset val="178"/>
    </font>
    <font>
      <b/>
      <i/>
      <sz val="11"/>
      <color theme="1"/>
      <name val="2  Mitra"/>
      <charset val="178"/>
    </font>
    <font>
      <b/>
      <sz val="9"/>
      <color theme="1"/>
      <name val="2  Mitra"/>
      <charset val="178"/>
    </font>
    <font>
      <b/>
      <sz val="10"/>
      <color rgb="FF002060"/>
      <name val="2  Mitra"/>
      <charset val="178"/>
    </font>
    <font>
      <b/>
      <i/>
      <sz val="10"/>
      <color rgb="FF002060"/>
      <name val="2  Mitra"/>
      <charset val="178"/>
    </font>
    <font>
      <sz val="11"/>
      <color theme="1"/>
      <name val="B Mitra"/>
      <charset val="178"/>
    </font>
    <font>
      <b/>
      <sz val="10"/>
      <color theme="1"/>
      <name val="B Mitra"/>
      <charset val="178"/>
    </font>
    <font>
      <b/>
      <sz val="9"/>
      <color theme="1"/>
      <name val="B Mitra"/>
      <charset val="178"/>
    </font>
    <font>
      <sz val="8"/>
      <color theme="1"/>
      <name val="B Mitra"/>
      <charset val="178"/>
    </font>
    <font>
      <sz val="8"/>
      <color theme="1"/>
      <name val="Calibri"/>
      <family val="2"/>
    </font>
    <font>
      <b/>
      <sz val="10"/>
      <color rgb="FF002060"/>
      <name val="B Mitra"/>
      <charset val="178"/>
    </font>
    <font>
      <b/>
      <sz val="12"/>
      <color rgb="FF002060"/>
      <name val="B Nazanin"/>
      <charset val="178"/>
    </font>
    <font>
      <b/>
      <sz val="11"/>
      <color theme="1"/>
      <name val="B Mitra"/>
      <charset val="178"/>
    </font>
    <font>
      <b/>
      <i/>
      <sz val="11"/>
      <color rgb="FF002060"/>
      <name val="B Nazanin"/>
      <charset val="178"/>
    </font>
    <font>
      <b/>
      <sz val="11"/>
      <color rgb="FF002060"/>
      <name val="B Nazanin"/>
      <charset val="178"/>
    </font>
    <font>
      <b/>
      <i/>
      <sz val="11"/>
      <color theme="1"/>
      <name val="B Nazanin"/>
      <charset val="178"/>
    </font>
    <font>
      <b/>
      <sz val="9"/>
      <color theme="1"/>
      <name val="B Nazanin"/>
      <charset val="178"/>
    </font>
    <font>
      <b/>
      <sz val="10"/>
      <color rgb="FF002060"/>
      <name val="B Nazanin"/>
      <charset val="178"/>
    </font>
    <font>
      <b/>
      <sz val="8"/>
      <color rgb="FF002060"/>
      <name val="B Nazanin"/>
      <charset val="178"/>
    </font>
    <font>
      <sz val="11"/>
      <name val="Arial"/>
      <family val="2"/>
      <charset val="178"/>
      <scheme val="minor"/>
    </font>
    <font>
      <b/>
      <sz val="16"/>
      <name val="B Nazanin"/>
      <charset val="178"/>
    </font>
    <font>
      <sz val="16"/>
      <name val="B Nazanin"/>
      <charset val="178"/>
    </font>
    <font>
      <sz val="18"/>
      <color theme="1"/>
      <name val="B Nazanin"/>
      <charset val="178"/>
    </font>
    <font>
      <b/>
      <sz val="20"/>
      <color theme="1"/>
      <name val="B Nazanin"/>
      <charset val="178"/>
    </font>
  </fonts>
  <fills count="4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FF"/>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9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F2F2F2"/>
        <bgColor indexed="64"/>
      </patternFill>
    </fill>
    <fill>
      <patternFill patternType="solid">
        <fgColor theme="0"/>
        <bgColor indexed="64"/>
      </patternFill>
    </fill>
  </fills>
  <borders count="249">
    <border>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style="medium">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ck">
        <color auto="1"/>
      </top>
      <bottom/>
      <diagonal/>
    </border>
    <border>
      <left style="thick">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n">
        <color auto="1"/>
      </left>
      <right style="thick">
        <color auto="1"/>
      </right>
      <top style="thin">
        <color auto="1"/>
      </top>
      <bottom style="medium">
        <color auto="1"/>
      </bottom>
      <diagonal/>
    </border>
    <border>
      <left style="thin">
        <color auto="1"/>
      </left>
      <right style="thick">
        <color auto="1"/>
      </right>
      <top/>
      <bottom style="thin">
        <color auto="1"/>
      </bottom>
      <diagonal/>
    </border>
    <border>
      <left style="thin">
        <color auto="1"/>
      </left>
      <right style="thick">
        <color auto="1"/>
      </right>
      <top/>
      <bottom style="medium">
        <color auto="1"/>
      </bottom>
      <diagonal/>
    </border>
    <border>
      <left style="thick">
        <color auto="1"/>
      </left>
      <right/>
      <top style="medium">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medium">
        <color auto="1"/>
      </right>
      <top/>
      <bottom style="thick">
        <color auto="1"/>
      </bottom>
      <diagonal/>
    </border>
    <border>
      <left style="medium">
        <color auto="1"/>
      </left>
      <right/>
      <top/>
      <bottom style="thick">
        <color auto="1"/>
      </bottom>
      <diagonal/>
    </border>
    <border>
      <left/>
      <right style="thick">
        <color auto="1"/>
      </right>
      <top/>
      <bottom style="thick">
        <color auto="1"/>
      </bottom>
      <diagonal/>
    </border>
    <border>
      <left style="thin">
        <color auto="1"/>
      </left>
      <right style="thin">
        <color auto="1"/>
      </right>
      <top style="medium">
        <color auto="1"/>
      </top>
      <bottom/>
      <diagonal/>
    </border>
    <border>
      <left style="thick">
        <color indexed="64"/>
      </left>
      <right/>
      <top style="thick">
        <color indexed="64"/>
      </top>
      <bottom/>
      <diagonal/>
    </border>
    <border>
      <left/>
      <right style="thick">
        <color indexed="64"/>
      </right>
      <top style="thick">
        <color indexed="64"/>
      </top>
      <bottom/>
      <diagonal/>
    </border>
    <border>
      <left style="thin">
        <color auto="1"/>
      </left>
      <right style="thick">
        <color auto="1"/>
      </right>
      <top/>
      <bottom/>
      <diagonal/>
    </border>
    <border>
      <left style="thin">
        <color auto="1"/>
      </left>
      <right style="thin">
        <color auto="1"/>
      </right>
      <top/>
      <bottom/>
      <diagonal/>
    </border>
    <border>
      <left style="thin">
        <color auto="1"/>
      </left>
      <right style="thin">
        <color auto="1"/>
      </right>
      <top style="thick">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ck">
        <color indexed="64"/>
      </right>
      <top style="thin">
        <color auto="1"/>
      </top>
      <bottom style="thin">
        <color auto="1"/>
      </bottom>
      <diagonal/>
    </border>
    <border>
      <left style="thin">
        <color indexed="64"/>
      </left>
      <right style="thick">
        <color indexed="64"/>
      </right>
      <top style="thick">
        <color indexed="64"/>
      </top>
      <bottom/>
      <diagonal/>
    </border>
    <border>
      <left style="thin">
        <color indexed="64"/>
      </left>
      <right/>
      <top/>
      <bottom/>
      <diagonal/>
    </border>
    <border>
      <left style="thin">
        <color indexed="64"/>
      </left>
      <right/>
      <top/>
      <bottom style="medium">
        <color indexed="64"/>
      </bottom>
      <diagonal/>
    </border>
    <border>
      <left style="thick">
        <color indexed="64"/>
      </left>
      <right style="thick">
        <color auto="1"/>
      </right>
      <top/>
      <bottom style="medium">
        <color auto="1"/>
      </bottom>
      <diagonal/>
    </border>
    <border>
      <left style="thick">
        <color indexed="64"/>
      </left>
      <right style="thick">
        <color indexed="64"/>
      </right>
      <top/>
      <bottom/>
      <diagonal/>
    </border>
    <border>
      <left style="hair">
        <color auto="1"/>
      </left>
      <right style="hair">
        <color auto="1"/>
      </right>
      <top style="thick">
        <color indexed="64"/>
      </top>
      <bottom/>
      <diagonal/>
    </border>
    <border>
      <left style="hair">
        <color auto="1"/>
      </left>
      <right style="hair">
        <color auto="1"/>
      </right>
      <top/>
      <bottom/>
      <diagonal/>
    </border>
    <border>
      <left style="hair">
        <color auto="1"/>
      </left>
      <right style="hair">
        <color auto="1"/>
      </right>
      <top/>
      <bottom style="thick">
        <color auto="1"/>
      </bottom>
      <diagonal/>
    </border>
    <border>
      <left style="hair">
        <color auto="1"/>
      </left>
      <right/>
      <top/>
      <bottom/>
      <diagonal/>
    </border>
    <border>
      <left style="hair">
        <color auto="1"/>
      </left>
      <right/>
      <top/>
      <bottom style="thick">
        <color auto="1"/>
      </bottom>
      <diagonal/>
    </border>
    <border>
      <left/>
      <right style="hair">
        <color auto="1"/>
      </right>
      <top style="thick">
        <color indexed="64"/>
      </top>
      <bottom/>
      <diagonal/>
    </border>
    <border>
      <left/>
      <right style="hair">
        <color auto="1"/>
      </right>
      <top/>
      <bottom/>
      <diagonal/>
    </border>
    <border>
      <left/>
      <right style="hair">
        <color auto="1"/>
      </right>
      <top/>
      <bottom style="thick">
        <color auto="1"/>
      </bottom>
      <diagonal/>
    </border>
    <border>
      <left style="hair">
        <color auto="1"/>
      </left>
      <right/>
      <top style="thick">
        <color auto="1"/>
      </top>
      <bottom/>
      <diagonal/>
    </border>
    <border>
      <left/>
      <right style="thick">
        <color auto="1"/>
      </right>
      <top style="medium">
        <color auto="1"/>
      </top>
      <bottom/>
      <diagonal/>
    </border>
    <border>
      <left style="thick">
        <color indexed="64"/>
      </left>
      <right style="thin">
        <color auto="1"/>
      </right>
      <top style="thin">
        <color auto="1"/>
      </top>
      <bottom style="thin">
        <color auto="1"/>
      </bottom>
      <diagonal/>
    </border>
    <border>
      <left style="thin">
        <color auto="1"/>
      </left>
      <right/>
      <top style="medium">
        <color auto="1"/>
      </top>
      <bottom/>
      <diagonal/>
    </border>
    <border>
      <left style="thick">
        <color indexed="64"/>
      </left>
      <right style="thin">
        <color auto="1"/>
      </right>
      <top style="thick">
        <color indexed="64"/>
      </top>
      <bottom style="thick">
        <color indexed="64"/>
      </bottom>
      <diagonal/>
    </border>
    <border>
      <left style="thin">
        <color auto="1"/>
      </left>
      <right style="thin">
        <color auto="1"/>
      </right>
      <top style="thick">
        <color indexed="64"/>
      </top>
      <bottom style="thick">
        <color indexed="64"/>
      </bottom>
      <diagonal/>
    </border>
    <border>
      <left style="thin">
        <color auto="1"/>
      </left>
      <right style="thick">
        <color indexed="64"/>
      </right>
      <top style="thick">
        <color indexed="64"/>
      </top>
      <bottom style="thick">
        <color indexed="64"/>
      </bottom>
      <diagonal/>
    </border>
    <border>
      <left style="thin">
        <color auto="1"/>
      </left>
      <right/>
      <top style="thick">
        <color indexed="64"/>
      </top>
      <bottom style="thick">
        <color indexed="64"/>
      </bottom>
      <diagonal/>
    </border>
    <border>
      <left style="thick">
        <color auto="1"/>
      </left>
      <right style="thin">
        <color auto="1"/>
      </right>
      <top/>
      <bottom/>
      <diagonal/>
    </border>
    <border>
      <left style="thick">
        <color indexed="64"/>
      </left>
      <right style="thin">
        <color auto="1"/>
      </right>
      <top style="thin">
        <color auto="1"/>
      </top>
      <bottom/>
      <diagonal/>
    </border>
    <border>
      <left/>
      <right/>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style="thin">
        <color auto="1"/>
      </right>
      <top style="thin">
        <color indexed="64"/>
      </top>
      <bottom/>
      <diagonal/>
    </border>
    <border>
      <left/>
      <right style="thin">
        <color auto="1"/>
      </right>
      <top/>
      <bottom/>
      <diagonal/>
    </border>
    <border>
      <left style="thin">
        <color auto="1"/>
      </left>
      <right/>
      <top/>
      <bottom style="thin">
        <color auto="1"/>
      </bottom>
      <diagonal/>
    </border>
    <border>
      <left/>
      <right style="thin">
        <color indexed="64"/>
      </right>
      <top/>
      <bottom style="thin">
        <color auto="1"/>
      </bottom>
      <diagonal/>
    </border>
    <border>
      <left/>
      <right/>
      <top style="thin">
        <color indexed="64"/>
      </top>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thin">
        <color auto="1"/>
      </left>
      <right style="hair">
        <color auto="1"/>
      </right>
      <top style="medium">
        <color auto="1"/>
      </top>
      <bottom/>
      <diagonal/>
    </border>
    <border>
      <left style="hair">
        <color auto="1"/>
      </left>
      <right style="thin">
        <color auto="1"/>
      </right>
      <top style="medium">
        <color auto="1"/>
      </top>
      <bottom/>
      <diagonal/>
    </border>
    <border>
      <left/>
      <right style="hair">
        <color auto="1"/>
      </right>
      <top style="medium">
        <color auto="1"/>
      </top>
      <bottom/>
      <diagonal/>
    </border>
    <border>
      <left style="hair">
        <color auto="1"/>
      </left>
      <right style="medium">
        <color auto="1"/>
      </right>
      <top style="medium">
        <color auto="1"/>
      </top>
      <bottom/>
      <diagonal/>
    </border>
    <border>
      <left style="medium">
        <color auto="1"/>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hair">
        <color auto="1"/>
      </left>
      <right style="medium">
        <color auto="1"/>
      </right>
      <top/>
      <bottom/>
      <diagonal/>
    </border>
    <border>
      <left style="medium">
        <color auto="1"/>
      </left>
      <right style="hair">
        <color auto="1"/>
      </right>
      <top/>
      <bottom style="medium">
        <color auto="1"/>
      </bottom>
      <diagonal/>
    </border>
    <border>
      <left style="hair">
        <color auto="1"/>
      </left>
      <right style="hair">
        <color auto="1"/>
      </right>
      <top/>
      <bottom style="medium">
        <color auto="1"/>
      </bottom>
      <diagonal/>
    </border>
    <border>
      <left style="hair">
        <color auto="1"/>
      </left>
      <right/>
      <top/>
      <bottom style="medium">
        <color auto="1"/>
      </bottom>
      <diagonal/>
    </border>
    <border>
      <left style="thin">
        <color auto="1"/>
      </left>
      <right style="hair">
        <color auto="1"/>
      </right>
      <top/>
      <bottom style="medium">
        <color auto="1"/>
      </bottom>
      <diagonal/>
    </border>
    <border>
      <left style="hair">
        <color auto="1"/>
      </left>
      <right style="thin">
        <color auto="1"/>
      </right>
      <top/>
      <bottom style="medium">
        <color auto="1"/>
      </bottom>
      <diagonal/>
    </border>
    <border>
      <left/>
      <right style="hair">
        <color auto="1"/>
      </right>
      <top/>
      <bottom style="medium">
        <color auto="1"/>
      </bottom>
      <diagonal/>
    </border>
    <border>
      <left style="hair">
        <color auto="1"/>
      </left>
      <right style="medium">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thin">
        <color auto="1"/>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style="hair">
        <color auto="1"/>
      </bottom>
      <diagonal/>
    </border>
    <border>
      <left/>
      <right style="thin">
        <color indexed="64"/>
      </right>
      <top style="medium">
        <color auto="1"/>
      </top>
      <bottom/>
      <diagonal/>
    </border>
    <border>
      <left style="thin">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thin">
        <color auto="1"/>
      </right>
      <top style="medium">
        <color auto="1"/>
      </top>
      <bottom style="hair">
        <color auto="1"/>
      </bottom>
      <diagonal/>
    </border>
    <border>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top style="hair">
        <color auto="1"/>
      </top>
      <bottom style="double">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top style="double">
        <color auto="1"/>
      </top>
      <bottom style="double">
        <color auto="1"/>
      </bottom>
      <diagonal/>
    </border>
    <border>
      <left/>
      <right/>
      <top style="double">
        <color auto="1"/>
      </top>
      <bottom style="double">
        <color auto="1"/>
      </bottom>
      <diagonal/>
    </border>
    <border>
      <left/>
      <right/>
      <top style="double">
        <color indexed="64"/>
      </top>
      <bottom/>
      <diagonal/>
    </border>
    <border>
      <left/>
      <right style="medium">
        <color auto="1"/>
      </right>
      <top style="double">
        <color auto="1"/>
      </top>
      <bottom style="double">
        <color auto="1"/>
      </bottom>
      <diagonal/>
    </border>
    <border>
      <left style="medium">
        <color auto="1"/>
      </left>
      <right style="hair">
        <color auto="1"/>
      </right>
      <top style="double">
        <color auto="1"/>
      </top>
      <bottom style="hair">
        <color auto="1"/>
      </bottom>
      <diagonal/>
    </border>
    <border>
      <left style="hair">
        <color auto="1"/>
      </left>
      <right/>
      <top style="double">
        <color auto="1"/>
      </top>
      <bottom/>
      <diagonal/>
    </border>
    <border>
      <left style="thin">
        <color auto="1"/>
      </left>
      <right style="hair">
        <color auto="1"/>
      </right>
      <top style="double">
        <color auto="1"/>
      </top>
      <bottom/>
      <diagonal/>
    </border>
    <border>
      <left style="hair">
        <color auto="1"/>
      </left>
      <right style="hair">
        <color auto="1"/>
      </right>
      <top style="double">
        <color auto="1"/>
      </top>
      <bottom/>
      <diagonal/>
    </border>
    <border>
      <left style="hair">
        <color auto="1"/>
      </left>
      <right style="thin">
        <color auto="1"/>
      </right>
      <top style="double">
        <color auto="1"/>
      </top>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right style="medium">
        <color auto="1"/>
      </right>
      <top style="double">
        <color auto="1"/>
      </top>
      <bottom/>
      <diagonal/>
    </border>
    <border>
      <left style="medium">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indexed="64"/>
      </left>
      <right/>
      <top style="hair">
        <color indexed="64"/>
      </top>
      <bottom style="hair">
        <color indexed="64"/>
      </bottom>
      <diagonal/>
    </border>
    <border>
      <left/>
      <right style="thin">
        <color auto="1"/>
      </right>
      <top style="hair">
        <color auto="1"/>
      </top>
      <bottom style="hair">
        <color auto="1"/>
      </bottom>
      <diagonal/>
    </border>
    <border>
      <left/>
      <right style="medium">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right style="thin">
        <color auto="1"/>
      </right>
      <top style="medium">
        <color auto="1"/>
      </top>
      <bottom style="hair">
        <color auto="1"/>
      </bottom>
      <diagonal/>
    </border>
    <border>
      <left style="thin">
        <color auto="1"/>
      </left>
      <right style="thin">
        <color auto="1"/>
      </right>
      <top/>
      <bottom style="hair">
        <color auto="1"/>
      </bottom>
      <diagonal/>
    </border>
    <border>
      <left style="medium">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top style="medium">
        <color auto="1"/>
      </top>
      <bottom style="medium">
        <color auto="1"/>
      </bottom>
      <diagonal/>
    </border>
    <border>
      <left style="hair">
        <color auto="1"/>
      </left>
      <right/>
      <top/>
      <bottom style="double">
        <color auto="1"/>
      </bottom>
      <diagonal/>
    </border>
    <border>
      <left style="medium">
        <color auto="1"/>
      </left>
      <right style="hair">
        <color auto="1"/>
      </right>
      <top style="double">
        <color auto="1"/>
      </top>
      <bottom/>
      <diagonal/>
    </border>
    <border>
      <left style="thin">
        <color auto="1"/>
      </left>
      <right/>
      <top style="double">
        <color auto="1"/>
      </top>
      <bottom style="thin">
        <color auto="1"/>
      </bottom>
      <diagonal/>
    </border>
    <border>
      <left/>
      <right/>
      <top style="double">
        <color indexed="64"/>
      </top>
      <bottom style="thin">
        <color indexed="64"/>
      </bottom>
      <diagonal/>
    </border>
    <border>
      <left/>
      <right style="medium">
        <color auto="1"/>
      </right>
      <top style="double">
        <color auto="1"/>
      </top>
      <bottom style="thin">
        <color auto="1"/>
      </bottom>
      <diagonal/>
    </border>
    <border>
      <left/>
      <right style="hair">
        <color auto="1"/>
      </right>
      <top style="hair">
        <color auto="1"/>
      </top>
      <bottom style="hair">
        <color auto="1"/>
      </bottom>
      <diagonal/>
    </border>
    <border>
      <left/>
      <right style="medium">
        <color auto="1"/>
      </right>
      <top style="thin">
        <color auto="1"/>
      </top>
      <bottom style="thin">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diagonal/>
    </border>
    <border>
      <left style="hair">
        <color auto="1"/>
      </left>
      <right/>
      <top style="hair">
        <color auto="1"/>
      </top>
      <bottom/>
      <diagonal/>
    </border>
    <border>
      <left/>
      <right style="medium">
        <color auto="1"/>
      </right>
      <top style="thin">
        <color auto="1"/>
      </top>
      <bottom/>
      <diagonal/>
    </border>
    <border>
      <left style="medium">
        <color auto="1"/>
      </left>
      <right style="hair">
        <color auto="1"/>
      </right>
      <top style="thin">
        <color auto="1"/>
      </top>
      <bottom/>
      <diagonal/>
    </border>
    <border>
      <left style="hair">
        <color auto="1"/>
      </left>
      <right/>
      <top style="thin">
        <color auto="1"/>
      </top>
      <bottom/>
      <diagonal/>
    </border>
    <border>
      <left style="hair">
        <color auto="1"/>
      </left>
      <right/>
      <top style="thin">
        <color indexed="64"/>
      </top>
      <bottom style="hair">
        <color auto="1"/>
      </bottom>
      <diagonal/>
    </border>
    <border>
      <left/>
      <right/>
      <top style="thin">
        <color indexed="64"/>
      </top>
      <bottom style="hair">
        <color auto="1"/>
      </bottom>
      <diagonal/>
    </border>
    <border>
      <left/>
      <right style="hair">
        <color auto="1"/>
      </right>
      <top style="thin">
        <color indexed="64"/>
      </top>
      <bottom style="hair">
        <color auto="1"/>
      </bottom>
      <diagonal/>
    </border>
    <border>
      <left style="hair">
        <color auto="1"/>
      </left>
      <right style="hair">
        <color auto="1"/>
      </right>
      <top style="thin">
        <color indexed="64"/>
      </top>
      <bottom/>
      <diagonal/>
    </border>
    <border>
      <left style="medium">
        <color auto="1"/>
      </left>
      <right style="hair">
        <color auto="1"/>
      </right>
      <top/>
      <bottom style="thin">
        <color auto="1"/>
      </bottom>
      <diagonal/>
    </border>
    <border>
      <left style="hair">
        <color auto="1"/>
      </left>
      <right/>
      <top/>
      <bottom style="thin">
        <color auto="1"/>
      </bottom>
      <diagonal/>
    </border>
    <border>
      <left/>
      <right style="medium">
        <color auto="1"/>
      </right>
      <top/>
      <bottom style="thin">
        <color auto="1"/>
      </bottom>
      <diagonal/>
    </border>
    <border>
      <left style="thin">
        <color auto="1"/>
      </left>
      <right style="hair">
        <color auto="1"/>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indexed="64"/>
      </right>
      <top style="thin">
        <color indexed="64"/>
      </top>
      <bottom/>
      <diagonal/>
    </border>
    <border>
      <left style="thin">
        <color auto="1"/>
      </left>
      <right/>
      <top style="hair">
        <color auto="1"/>
      </top>
      <bottom style="thin">
        <color auto="1"/>
      </bottom>
      <diagonal/>
    </border>
    <border>
      <left style="hair">
        <color auto="1"/>
      </left>
      <right style="thin">
        <color auto="1"/>
      </right>
      <top style="hair">
        <color auto="1"/>
      </top>
      <bottom style="thin">
        <color auto="1"/>
      </bottom>
      <diagonal/>
    </border>
    <border>
      <left style="medium">
        <color auto="1"/>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thin">
        <color indexed="64"/>
      </top>
      <bottom style="hair">
        <color auto="1"/>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style="thin">
        <color auto="1"/>
      </right>
      <top style="hair">
        <color auto="1"/>
      </top>
      <bottom/>
      <diagonal/>
    </border>
    <border>
      <left style="medium">
        <color auto="1"/>
      </left>
      <right/>
      <top style="double">
        <color auto="1"/>
      </top>
      <bottom/>
      <diagonal/>
    </border>
    <border>
      <left/>
      <right style="hair">
        <color auto="1"/>
      </right>
      <top style="double">
        <color auto="1"/>
      </top>
      <bottom style="hair">
        <color auto="1"/>
      </bottom>
      <diagonal/>
    </border>
    <border>
      <left style="hair">
        <color auto="1"/>
      </left>
      <right/>
      <top style="double">
        <color auto="1"/>
      </top>
      <bottom style="hair">
        <color auto="1"/>
      </bottom>
      <diagonal/>
    </border>
    <border>
      <left/>
      <right style="hair">
        <color auto="1"/>
      </right>
      <top style="hair">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hair">
        <color auto="1"/>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auto="1"/>
      </left>
      <right style="hair">
        <color auto="1"/>
      </right>
      <top style="thin">
        <color auto="1"/>
      </top>
      <bottom/>
      <diagonal/>
    </border>
    <border>
      <left style="medium">
        <color auto="1"/>
      </left>
      <right style="hair">
        <color auto="1"/>
      </right>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hair">
        <color auto="1"/>
      </right>
      <top style="thin">
        <color indexed="64"/>
      </top>
      <bottom style="thin">
        <color indexed="64"/>
      </bottom>
      <diagonal/>
    </border>
    <border>
      <left/>
      <right/>
      <top style="thin">
        <color indexed="64"/>
      </top>
      <bottom/>
      <diagonal/>
    </border>
    <border>
      <left/>
      <right style="hair">
        <color auto="1"/>
      </right>
      <top style="thin">
        <color indexed="64"/>
      </top>
      <bottom/>
      <diagonal/>
    </border>
    <border>
      <left style="medium">
        <color auto="1"/>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hair">
        <color auto="1"/>
      </left>
      <right/>
      <top style="thin">
        <color auto="1"/>
      </top>
      <bottom style="thin">
        <color auto="1"/>
      </bottom>
      <diagonal/>
    </border>
    <border>
      <left style="hair">
        <color auto="1"/>
      </left>
      <right/>
      <top style="thin">
        <color auto="1"/>
      </top>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s>
  <cellStyleXfs count="80">
    <xf numFmtId="0" fontId="0" fillId="0" borderId="0"/>
    <xf numFmtId="166" fontId="3" fillId="0" borderId="0" applyFont="0" applyFill="0" applyBorder="0" applyAlignment="0" applyProtection="0"/>
    <xf numFmtId="165" fontId="3" fillId="0" borderId="0" applyFont="0" applyFill="0" applyBorder="0" applyAlignment="0" applyProtection="0"/>
    <xf numFmtId="9" fontId="3" fillId="0" borderId="0" applyFont="0" applyFill="0" applyBorder="0" applyAlignment="0" applyProtection="0"/>
    <xf numFmtId="0" fontId="9" fillId="0" borderId="0"/>
    <xf numFmtId="9" fontId="9" fillId="0" borderId="0" applyFont="0" applyFill="0" applyBorder="0" applyAlignment="0" applyProtection="0"/>
    <xf numFmtId="0" fontId="3" fillId="0" borderId="0"/>
    <xf numFmtId="166" fontId="9" fillId="0" borderId="0" applyFont="0" applyFill="0" applyBorder="0" applyAlignment="0" applyProtection="0"/>
    <xf numFmtId="165" fontId="9" fillId="0" borderId="0" applyFont="0" applyFill="0" applyBorder="0" applyAlignment="0" applyProtection="0"/>
    <xf numFmtId="0" fontId="19" fillId="0" borderId="0"/>
    <xf numFmtId="9" fontId="19" fillId="0" borderId="0" applyFont="0" applyFill="0" applyBorder="0" applyAlignment="0" applyProtection="0"/>
    <xf numFmtId="166" fontId="9" fillId="0" borderId="0" applyFont="0" applyFill="0" applyBorder="0" applyAlignment="0" applyProtection="0"/>
    <xf numFmtId="0" fontId="20" fillId="0" borderId="0"/>
    <xf numFmtId="0" fontId="2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71" fillId="19" borderId="0" applyNumberFormat="0" applyBorder="0" applyAlignment="0" applyProtection="0"/>
    <xf numFmtId="0" fontId="71" fillId="20" borderId="0" applyNumberFormat="0" applyBorder="0" applyAlignment="0" applyProtection="0"/>
    <xf numFmtId="0" fontId="71" fillId="21" borderId="0" applyNumberFormat="0" applyBorder="0" applyAlignment="0" applyProtection="0"/>
    <xf numFmtId="0" fontId="71" fillId="22" borderId="0" applyNumberFormat="0" applyBorder="0" applyAlignment="0" applyProtection="0"/>
    <xf numFmtId="0" fontId="71" fillId="23" borderId="0" applyNumberFormat="0" applyBorder="0" applyAlignment="0" applyProtection="0"/>
    <xf numFmtId="0" fontId="71" fillId="24" borderId="0" applyNumberFormat="0" applyBorder="0" applyAlignment="0" applyProtection="0"/>
    <xf numFmtId="0" fontId="71" fillId="25" borderId="0" applyNumberFormat="0" applyBorder="0" applyAlignment="0" applyProtection="0"/>
    <xf numFmtId="0" fontId="71" fillId="26" borderId="0" applyNumberFormat="0" applyBorder="0" applyAlignment="0" applyProtection="0"/>
    <xf numFmtId="0" fontId="71" fillId="27" borderId="0" applyNumberFormat="0" applyBorder="0" applyAlignment="0" applyProtection="0"/>
    <xf numFmtId="0" fontId="71" fillId="22" borderId="0" applyNumberFormat="0" applyBorder="0" applyAlignment="0" applyProtection="0"/>
    <xf numFmtId="0" fontId="71" fillId="25" borderId="0" applyNumberFormat="0" applyBorder="0" applyAlignment="0" applyProtection="0"/>
    <xf numFmtId="0" fontId="71" fillId="28" borderId="0" applyNumberFormat="0" applyBorder="0" applyAlignment="0" applyProtection="0"/>
    <xf numFmtId="0" fontId="72" fillId="29" borderId="0" applyNumberFormat="0" applyBorder="0" applyAlignment="0" applyProtection="0"/>
    <xf numFmtId="0" fontId="72" fillId="26" borderId="0" applyNumberFormat="0" applyBorder="0" applyAlignment="0" applyProtection="0"/>
    <xf numFmtId="0" fontId="72" fillId="27" borderId="0" applyNumberFormat="0" applyBorder="0" applyAlignment="0" applyProtection="0"/>
    <xf numFmtId="0" fontId="72" fillId="30" borderId="0" applyNumberFormat="0" applyBorder="0" applyAlignment="0" applyProtection="0"/>
    <xf numFmtId="0" fontId="72" fillId="31" borderId="0" applyNumberFormat="0" applyBorder="0" applyAlignment="0" applyProtection="0"/>
    <xf numFmtId="0" fontId="72" fillId="32" borderId="0" applyNumberFormat="0" applyBorder="0" applyAlignment="0" applyProtection="0"/>
    <xf numFmtId="0" fontId="72" fillId="33" borderId="0" applyNumberFormat="0" applyBorder="0" applyAlignment="0" applyProtection="0"/>
    <xf numFmtId="0" fontId="72" fillId="34" borderId="0" applyNumberFormat="0" applyBorder="0" applyAlignment="0" applyProtection="0"/>
    <xf numFmtId="0" fontId="72" fillId="35" borderId="0" applyNumberFormat="0" applyBorder="0" applyAlignment="0" applyProtection="0"/>
    <xf numFmtId="0" fontId="72" fillId="30" borderId="0" applyNumberFormat="0" applyBorder="0" applyAlignment="0" applyProtection="0"/>
    <xf numFmtId="0" fontId="72" fillId="31" borderId="0" applyNumberFormat="0" applyBorder="0" applyAlignment="0" applyProtection="0"/>
    <xf numFmtId="0" fontId="72" fillId="36" borderId="0" applyNumberFormat="0" applyBorder="0" applyAlignment="0" applyProtection="0"/>
    <xf numFmtId="0" fontId="73" fillId="20" borderId="0" applyNumberFormat="0" applyBorder="0" applyAlignment="0" applyProtection="0"/>
    <xf numFmtId="0" fontId="74" fillId="37" borderId="199" applyNumberFormat="0" applyAlignment="0" applyProtection="0"/>
    <xf numFmtId="0" fontId="74" fillId="37" borderId="199" applyNumberFormat="0" applyAlignment="0" applyProtection="0"/>
    <xf numFmtId="0" fontId="75" fillId="38" borderId="200" applyNumberFormat="0" applyAlignment="0" applyProtection="0"/>
    <xf numFmtId="0" fontId="75" fillId="38" borderId="200" applyNumberFormat="0" applyAlignment="0" applyProtection="0"/>
    <xf numFmtId="0" fontId="75" fillId="38" borderId="200" applyNumberFormat="0" applyAlignment="0" applyProtection="0"/>
    <xf numFmtId="0" fontId="19" fillId="0" borderId="0" applyFont="0" applyFill="0" applyBorder="0" applyAlignment="0" applyProtection="0"/>
    <xf numFmtId="0" fontId="76" fillId="0" borderId="0" applyNumberFormat="0" applyFill="0" applyBorder="0" applyAlignment="0" applyProtection="0"/>
    <xf numFmtId="0" fontId="77" fillId="21" borderId="0" applyNumberFormat="0" applyBorder="0" applyAlignment="0" applyProtection="0"/>
    <xf numFmtId="0" fontId="78" fillId="0" borderId="201" applyNumberFormat="0" applyFill="0" applyAlignment="0" applyProtection="0"/>
    <xf numFmtId="0" fontId="79" fillId="0" borderId="202" applyNumberFormat="0" applyFill="0" applyAlignment="0" applyProtection="0"/>
    <xf numFmtId="0" fontId="80" fillId="0" borderId="203" applyNumberFormat="0" applyFill="0" applyAlignment="0" applyProtection="0"/>
    <xf numFmtId="0" fontId="80" fillId="0" borderId="0" applyNumberFormat="0" applyFill="0" applyBorder="0" applyAlignment="0" applyProtection="0"/>
    <xf numFmtId="0" fontId="81" fillId="24" borderId="199" applyNumberFormat="0" applyAlignment="0" applyProtection="0"/>
    <xf numFmtId="0" fontId="81" fillId="24" borderId="199" applyNumberFormat="0" applyAlignment="0" applyProtection="0"/>
    <xf numFmtId="0" fontId="82" fillId="0" borderId="204" applyNumberFormat="0" applyFill="0" applyAlignment="0" applyProtection="0"/>
    <xf numFmtId="0" fontId="83" fillId="39" borderId="0" applyNumberFormat="0" applyBorder="0" applyAlignment="0" applyProtection="0"/>
    <xf numFmtId="0" fontId="19" fillId="0" borderId="0"/>
    <xf numFmtId="0" fontId="19" fillId="0" borderId="0"/>
    <xf numFmtId="0" fontId="71" fillId="0" borderId="0"/>
    <xf numFmtId="0" fontId="84" fillId="0" borderId="0">
      <alignment vertical="top"/>
    </xf>
    <xf numFmtId="0" fontId="19" fillId="0" borderId="0"/>
    <xf numFmtId="0" fontId="19" fillId="0" borderId="0" applyNumberFormat="0" applyFont="0" applyFill="0" applyBorder="0" applyAlignment="0" applyProtection="0">
      <alignment vertical="top"/>
    </xf>
    <xf numFmtId="0" fontId="85" fillId="0" borderId="0"/>
    <xf numFmtId="0" fontId="19" fillId="0" borderId="0"/>
    <xf numFmtId="0" fontId="1" fillId="0" borderId="0"/>
    <xf numFmtId="0" fontId="1" fillId="0" borderId="0"/>
    <xf numFmtId="0" fontId="19" fillId="40" borderId="205" applyNumberFormat="0" applyFont="0" applyAlignment="0" applyProtection="0"/>
    <xf numFmtId="0" fontId="19" fillId="40" borderId="205" applyNumberFormat="0" applyFont="0" applyAlignment="0" applyProtection="0"/>
    <xf numFmtId="0" fontId="86" fillId="37" borderId="206" applyNumberFormat="0" applyAlignment="0" applyProtection="0"/>
    <xf numFmtId="0" fontId="86" fillId="37" borderId="206" applyNumberFormat="0" applyAlignment="0" applyProtection="0"/>
    <xf numFmtId="9" fontId="19" fillId="0" borderId="0" applyFont="0" applyFill="0" applyBorder="0" applyAlignment="0" applyProtection="0"/>
    <xf numFmtId="0" fontId="87" fillId="41" borderId="0">
      <alignment vertical="center"/>
    </xf>
    <xf numFmtId="0" fontId="88" fillId="0" borderId="0" applyNumberFormat="0" applyFill="0" applyBorder="0" applyAlignment="0" applyProtection="0"/>
    <xf numFmtId="0" fontId="89" fillId="0" borderId="207" applyNumberFormat="0" applyFill="0" applyAlignment="0" applyProtection="0"/>
    <xf numFmtId="0" fontId="89" fillId="0" borderId="207" applyNumberFormat="0" applyFill="0" applyAlignment="0" applyProtection="0"/>
    <xf numFmtId="0" fontId="90" fillId="0" borderId="0" applyNumberFormat="0" applyFill="0" applyBorder="0" applyAlignment="0" applyProtection="0"/>
    <xf numFmtId="0" fontId="91" fillId="0" borderId="0"/>
    <xf numFmtId="0" fontId="92" fillId="0" borderId="0"/>
  </cellStyleXfs>
  <cellXfs count="1291">
    <xf numFmtId="0" fontId="0" fillId="0" borderId="0" xfId="0"/>
    <xf numFmtId="0" fontId="2" fillId="0" borderId="0" xfId="0" applyFont="1" applyAlignment="1">
      <alignment horizontal="center" vertical="center"/>
    </xf>
    <xf numFmtId="0" fontId="2" fillId="4"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5"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7" borderId="14" xfId="0" applyFont="1" applyFill="1" applyBorder="1" applyAlignment="1">
      <alignment horizontal="center" vertical="center" wrapText="1"/>
    </xf>
    <xf numFmtId="0" fontId="2" fillId="9" borderId="12"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0" borderId="11" xfId="0" applyFont="1" applyBorder="1" applyAlignment="1">
      <alignment vertical="center" wrapText="1"/>
    </xf>
    <xf numFmtId="0" fontId="2" fillId="0" borderId="11" xfId="0" applyFont="1" applyBorder="1" applyAlignment="1">
      <alignment vertical="top" wrapText="1"/>
    </xf>
    <xf numFmtId="0" fontId="2" fillId="0" borderId="11" xfId="0" applyFont="1" applyBorder="1" applyAlignment="1">
      <alignment vertical="top"/>
    </xf>
    <xf numFmtId="0" fontId="2" fillId="0" borderId="0" xfId="0" applyFont="1" applyAlignment="1">
      <alignment vertical="center"/>
    </xf>
    <xf numFmtId="0" fontId="2" fillId="9" borderId="2" xfId="0" applyFont="1" applyFill="1" applyBorder="1" applyAlignment="1">
      <alignment horizontal="left" vertical="center"/>
    </xf>
    <xf numFmtId="0" fontId="2" fillId="9" borderId="2" xfId="0" applyFont="1" applyFill="1" applyBorder="1" applyAlignment="1">
      <alignment horizontal="right" vertical="center"/>
    </xf>
    <xf numFmtId="0" fontId="2" fillId="0" borderId="26" xfId="0" applyFont="1" applyBorder="1" applyAlignment="1">
      <alignment horizontal="center" vertical="center"/>
    </xf>
    <xf numFmtId="0" fontId="2" fillId="0" borderId="11" xfId="0" applyFont="1" applyBorder="1" applyAlignment="1">
      <alignment vertical="center"/>
    </xf>
    <xf numFmtId="0" fontId="2" fillId="0" borderId="27"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1" xfId="0" applyFont="1" applyBorder="1" applyAlignment="1">
      <alignment vertical="center"/>
    </xf>
    <xf numFmtId="166" fontId="5" fillId="9" borderId="2" xfId="0" applyNumberFormat="1" applyFont="1" applyFill="1" applyBorder="1" applyAlignment="1">
      <alignment horizontal="center" vertical="center"/>
    </xf>
    <xf numFmtId="166" fontId="2" fillId="9" borderId="2" xfId="0" applyNumberFormat="1" applyFont="1" applyFill="1" applyBorder="1" applyAlignment="1">
      <alignment horizontal="left" vertical="center"/>
    </xf>
    <xf numFmtId="0" fontId="5" fillId="9" borderId="2" xfId="0" applyFont="1" applyFill="1" applyBorder="1" applyAlignment="1">
      <alignment horizontal="center" vertical="center"/>
    </xf>
    <xf numFmtId="168" fontId="2" fillId="9" borderId="2" xfId="0" applyNumberFormat="1" applyFont="1" applyFill="1" applyBorder="1" applyAlignment="1">
      <alignment horizontal="left" vertical="center"/>
    </xf>
    <xf numFmtId="169" fontId="5" fillId="9" borderId="2" xfId="0" applyNumberFormat="1" applyFont="1" applyFill="1" applyBorder="1" applyAlignment="1">
      <alignment horizontal="center" vertical="center"/>
    </xf>
    <xf numFmtId="169" fontId="2" fillId="9" borderId="2" xfId="0" applyNumberFormat="1" applyFont="1" applyFill="1" applyBorder="1" applyAlignment="1">
      <alignment horizontal="left" vertical="center"/>
    </xf>
    <xf numFmtId="169" fontId="2" fillId="9" borderId="2" xfId="0" applyNumberFormat="1" applyFont="1" applyFill="1" applyBorder="1" applyAlignment="1">
      <alignment horizontal="right" vertical="center" wrapText="1"/>
    </xf>
    <xf numFmtId="169" fontId="2" fillId="9" borderId="2" xfId="0" applyNumberFormat="1" applyFont="1" applyFill="1" applyBorder="1" applyAlignment="1">
      <alignment horizontal="right" vertical="center"/>
    </xf>
    <xf numFmtId="0" fontId="4" fillId="9" borderId="2" xfId="0" applyFont="1" applyFill="1" applyBorder="1" applyAlignment="1">
      <alignment horizontal="right" vertical="center"/>
    </xf>
    <xf numFmtId="0" fontId="5" fillId="9" borderId="1" xfId="0" applyFont="1" applyFill="1" applyBorder="1" applyAlignment="1">
      <alignment horizontal="right" vertical="center"/>
    </xf>
    <xf numFmtId="0" fontId="5" fillId="9" borderId="1" xfId="0" applyFont="1" applyFill="1" applyBorder="1" applyAlignment="1">
      <alignment horizontal="right" vertical="center" wrapText="1"/>
    </xf>
    <xf numFmtId="0" fontId="6" fillId="9" borderId="2" xfId="0" applyFont="1" applyFill="1" applyBorder="1" applyAlignment="1">
      <alignment horizontal="right" vertical="center"/>
    </xf>
    <xf numFmtId="10" fontId="2" fillId="3" borderId="2" xfId="0" applyNumberFormat="1" applyFont="1" applyFill="1" applyBorder="1" applyAlignment="1">
      <alignment horizontal="center" vertical="center"/>
    </xf>
    <xf numFmtId="10" fontId="2" fillId="3" borderId="4" xfId="0" applyNumberFormat="1" applyFont="1" applyFill="1" applyBorder="1" applyAlignment="1">
      <alignment horizontal="center" vertical="center"/>
    </xf>
    <xf numFmtId="10" fontId="2" fillId="2" borderId="2" xfId="0" applyNumberFormat="1" applyFont="1" applyFill="1" applyBorder="1" applyAlignment="1">
      <alignment horizontal="center" vertical="center"/>
    </xf>
    <xf numFmtId="10" fontId="2" fillId="6" borderId="2" xfId="0" applyNumberFormat="1" applyFont="1" applyFill="1" applyBorder="1" applyAlignment="1">
      <alignment horizontal="center" vertical="center"/>
    </xf>
    <xf numFmtId="166" fontId="2" fillId="3" borderId="4" xfId="0" applyNumberFormat="1" applyFont="1" applyFill="1" applyBorder="1" applyAlignment="1">
      <alignment horizontal="center" vertical="center"/>
    </xf>
    <xf numFmtId="10" fontId="2" fillId="10" borderId="2" xfId="0" applyNumberFormat="1" applyFont="1" applyFill="1" applyBorder="1" applyAlignment="1">
      <alignment horizontal="center" vertical="center"/>
    </xf>
    <xf numFmtId="2" fontId="4" fillId="10" borderId="1" xfId="0" applyNumberFormat="1" applyFont="1" applyFill="1" applyBorder="1" applyAlignment="1">
      <alignment horizontal="center" vertical="center"/>
    </xf>
    <xf numFmtId="2" fontId="2" fillId="10" borderId="2" xfId="0" applyNumberFormat="1" applyFont="1" applyFill="1" applyBorder="1" applyAlignment="1">
      <alignment horizontal="center" vertical="center"/>
    </xf>
    <xf numFmtId="2" fontId="7" fillId="10" borderId="2" xfId="0" applyNumberFormat="1" applyFont="1" applyFill="1" applyBorder="1" applyAlignment="1">
      <alignment horizontal="center" vertical="center"/>
    </xf>
    <xf numFmtId="0" fontId="2" fillId="0" borderId="11" xfId="0" applyFont="1" applyBorder="1" applyAlignment="1">
      <alignment horizontal="center" vertical="center"/>
    </xf>
    <xf numFmtId="169" fontId="2" fillId="11" borderId="15" xfId="1" applyNumberFormat="1" applyFont="1" applyFill="1" applyBorder="1" applyAlignment="1">
      <alignment horizontal="center" vertical="center"/>
    </xf>
    <xf numFmtId="169" fontId="2" fillId="11" borderId="13" xfId="1" applyNumberFormat="1" applyFont="1" applyFill="1" applyBorder="1" applyAlignment="1">
      <alignment horizontal="center" vertical="center"/>
    </xf>
    <xf numFmtId="169" fontId="2" fillId="0" borderId="0" xfId="1" applyNumberFormat="1" applyFont="1" applyAlignment="1">
      <alignment horizontal="center" vertical="center"/>
    </xf>
    <xf numFmtId="0" fontId="2" fillId="0" borderId="19" xfId="0" applyFont="1" applyBorder="1" applyAlignment="1">
      <alignment horizontal="center" vertical="center"/>
    </xf>
    <xf numFmtId="0" fontId="2" fillId="0" borderId="24" xfId="0" applyFont="1" applyBorder="1" applyAlignment="1">
      <alignment horizontal="center" vertical="center"/>
    </xf>
    <xf numFmtId="165" fontId="2" fillId="3" borderId="2" xfId="1" applyNumberFormat="1" applyFont="1" applyFill="1" applyBorder="1" applyAlignment="1">
      <alignment horizontal="center" vertical="center"/>
    </xf>
    <xf numFmtId="165" fontId="2" fillId="2" borderId="4" xfId="1" applyNumberFormat="1" applyFont="1" applyFill="1" applyBorder="1" applyAlignment="1">
      <alignment horizontal="center" vertical="center"/>
    </xf>
    <xf numFmtId="165" fontId="2" fillId="6" borderId="34" xfId="1" applyNumberFormat="1" applyFont="1" applyFill="1" applyBorder="1" applyAlignment="1">
      <alignment horizontal="center" vertical="center"/>
    </xf>
    <xf numFmtId="165" fontId="2" fillId="3" borderId="4" xfId="1" applyNumberFormat="1" applyFont="1" applyFill="1" applyBorder="1" applyAlignment="1">
      <alignment horizontal="center" vertical="center"/>
    </xf>
    <xf numFmtId="165" fontId="2" fillId="2" borderId="4" xfId="0" applyNumberFormat="1" applyFont="1" applyFill="1" applyBorder="1" applyAlignment="1">
      <alignment horizontal="center" vertical="center"/>
    </xf>
    <xf numFmtId="165" fontId="2" fillId="2" borderId="2" xfId="1" applyNumberFormat="1" applyFont="1" applyFill="1" applyBorder="1" applyAlignment="1">
      <alignment horizontal="center" vertical="center"/>
    </xf>
    <xf numFmtId="165" fontId="2" fillId="6" borderId="15" xfId="0" applyNumberFormat="1" applyFont="1" applyFill="1" applyBorder="1" applyAlignment="1">
      <alignment horizontal="center" vertical="center"/>
    </xf>
    <xf numFmtId="165" fontId="2" fillId="6" borderId="15" xfId="1" applyNumberFormat="1" applyFont="1" applyFill="1" applyBorder="1" applyAlignment="1">
      <alignment horizontal="center" vertical="center"/>
    </xf>
    <xf numFmtId="165" fontId="2" fillId="6" borderId="2" xfId="1" applyNumberFormat="1" applyFont="1" applyFill="1" applyBorder="1" applyAlignment="1">
      <alignment horizontal="center" vertical="center"/>
    </xf>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vertical="top"/>
    </xf>
    <xf numFmtId="2" fontId="2" fillId="3" borderId="4" xfId="0" applyNumberFormat="1" applyFont="1" applyFill="1" applyBorder="1" applyAlignment="1">
      <alignment horizontal="center" vertical="center"/>
    </xf>
    <xf numFmtId="2" fontId="2" fillId="2" borderId="2" xfId="0" applyNumberFormat="1" applyFont="1" applyFill="1" applyBorder="1" applyAlignment="1">
      <alignment horizontal="center" vertical="center"/>
    </xf>
    <xf numFmtId="2" fontId="2" fillId="6" borderId="2" xfId="0" applyNumberFormat="1" applyFont="1" applyFill="1" applyBorder="1" applyAlignment="1">
      <alignment horizontal="center" vertical="center"/>
    </xf>
    <xf numFmtId="165" fontId="2" fillId="2" borderId="4" xfId="2" applyFont="1" applyFill="1" applyBorder="1" applyAlignment="1">
      <alignment horizontal="center" vertical="center"/>
    </xf>
    <xf numFmtId="165" fontId="5" fillId="9" borderId="2" xfId="2" applyFont="1" applyFill="1" applyBorder="1" applyAlignment="1">
      <alignment horizontal="center" vertical="center"/>
    </xf>
    <xf numFmtId="165" fontId="6" fillId="9" borderId="2" xfId="2" applyFont="1" applyFill="1" applyBorder="1" applyAlignment="1">
      <alignment horizontal="center" vertical="center"/>
    </xf>
    <xf numFmtId="165" fontId="2" fillId="3" borderId="2" xfId="2" applyFont="1" applyFill="1" applyBorder="1" applyAlignment="1">
      <alignment horizontal="center" vertical="center"/>
    </xf>
    <xf numFmtId="170" fontId="2" fillId="2" borderId="4" xfId="1" applyNumberFormat="1" applyFont="1" applyFill="1" applyBorder="1" applyAlignment="1">
      <alignment horizontal="center" vertical="center"/>
    </xf>
    <xf numFmtId="0" fontId="2" fillId="0" borderId="0" xfId="0" applyFont="1" applyAlignment="1">
      <alignment horizontal="center" vertical="center" wrapText="1"/>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1" xfId="0" applyFont="1" applyBorder="1" applyAlignment="1">
      <alignment horizontal="center" vertical="center" wrapText="1"/>
    </xf>
    <xf numFmtId="0" fontId="6" fillId="0" borderId="41" xfId="0" applyFont="1" applyBorder="1" applyAlignment="1">
      <alignment horizontal="left" vertical="center" wrapText="1"/>
    </xf>
    <xf numFmtId="0" fontId="6" fillId="0" borderId="41" xfId="0" applyFont="1" applyBorder="1" applyAlignment="1">
      <alignment vertical="center"/>
    </xf>
    <xf numFmtId="0" fontId="6" fillId="0" borderId="42" xfId="0" applyFont="1" applyBorder="1" applyAlignment="1">
      <alignment horizontal="right" vertical="center"/>
    </xf>
    <xf numFmtId="169" fontId="2" fillId="0" borderId="0" xfId="1" applyNumberFormat="1" applyFont="1" applyBorder="1" applyAlignment="1">
      <alignment horizontal="center" vertical="top" wrapText="1"/>
    </xf>
    <xf numFmtId="169" fontId="2" fillId="0" borderId="0" xfId="1" applyNumberFormat="1" applyFont="1" applyBorder="1" applyAlignment="1">
      <alignment horizontal="center" vertical="top"/>
    </xf>
    <xf numFmtId="0" fontId="6" fillId="0" borderId="41" xfId="0" applyFont="1" applyBorder="1" applyAlignment="1">
      <alignment horizontal="left" vertical="center"/>
    </xf>
    <xf numFmtId="0" fontId="6" fillId="0" borderId="42" xfId="0" applyFont="1" applyBorder="1" applyAlignment="1">
      <alignment horizontal="left" vertical="center"/>
    </xf>
    <xf numFmtId="0" fontId="6" fillId="0" borderId="40" xfId="0" applyFont="1" applyBorder="1" applyAlignment="1">
      <alignment horizontal="left" vertical="center"/>
    </xf>
    <xf numFmtId="171" fontId="2" fillId="3" borderId="2" xfId="0" applyNumberFormat="1" applyFont="1" applyFill="1" applyBorder="1" applyAlignment="1">
      <alignment horizontal="center" vertical="center"/>
    </xf>
    <xf numFmtId="171" fontId="2" fillId="2" borderId="2" xfId="0" applyNumberFormat="1" applyFont="1" applyFill="1" applyBorder="1" applyAlignment="1">
      <alignment horizontal="center" vertical="center"/>
    </xf>
    <xf numFmtId="171" fontId="2" fillId="2" borderId="4" xfId="0" applyNumberFormat="1" applyFont="1" applyFill="1" applyBorder="1" applyAlignment="1">
      <alignment horizontal="center" vertical="center"/>
    </xf>
    <xf numFmtId="0" fontId="2" fillId="9" borderId="50" xfId="0" applyFont="1" applyFill="1" applyBorder="1" applyAlignment="1">
      <alignment horizontal="center" vertical="center"/>
    </xf>
    <xf numFmtId="165" fontId="2" fillId="6" borderId="34" xfId="2" applyFont="1" applyFill="1" applyBorder="1" applyAlignment="1">
      <alignment horizontal="center" vertical="center"/>
    </xf>
    <xf numFmtId="165" fontId="2" fillId="6" borderId="34" xfId="0" applyNumberFormat="1" applyFont="1" applyFill="1" applyBorder="1" applyAlignment="1">
      <alignment horizontal="center" vertical="center"/>
    </xf>
    <xf numFmtId="0" fontId="2" fillId="4" borderId="52" xfId="0" applyFont="1" applyFill="1" applyBorder="1" applyAlignment="1">
      <alignment horizontal="center" vertical="center" wrapText="1"/>
    </xf>
    <xf numFmtId="0" fontId="2" fillId="4" borderId="53" xfId="0" applyFont="1" applyFill="1" applyBorder="1" applyAlignment="1">
      <alignment horizontal="center" vertical="center" wrapText="1"/>
    </xf>
    <xf numFmtId="0" fontId="2" fillId="5" borderId="53" xfId="0" applyFont="1" applyFill="1" applyBorder="1" applyAlignment="1">
      <alignment horizontal="center" vertical="center" wrapText="1"/>
    </xf>
    <xf numFmtId="0" fontId="2" fillId="7" borderId="53"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5" borderId="55" xfId="0" applyFont="1" applyFill="1" applyBorder="1" applyAlignment="1">
      <alignment horizontal="center" vertical="center" wrapText="1"/>
    </xf>
    <xf numFmtId="0" fontId="2" fillId="7" borderId="52" xfId="0" applyFont="1" applyFill="1" applyBorder="1" applyAlignment="1">
      <alignment horizontal="center" vertical="center" wrapText="1"/>
    </xf>
    <xf numFmtId="0" fontId="2" fillId="4" borderId="55" xfId="0" applyFont="1" applyFill="1" applyBorder="1" applyAlignment="1">
      <alignment horizontal="center" vertical="center" wrapText="1"/>
    </xf>
    <xf numFmtId="0" fontId="2" fillId="5" borderId="52" xfId="0" applyFont="1" applyFill="1" applyBorder="1" applyAlignment="1">
      <alignment horizontal="center" vertical="center" wrapText="1"/>
    </xf>
    <xf numFmtId="165" fontId="6" fillId="9" borderId="1" xfId="2" applyFont="1" applyFill="1" applyBorder="1" applyAlignment="1">
      <alignment horizontal="center" vertical="center"/>
    </xf>
    <xf numFmtId="165" fontId="5" fillId="9" borderId="29" xfId="2" applyFont="1" applyFill="1" applyBorder="1" applyAlignment="1">
      <alignment horizontal="center" vertical="center"/>
    </xf>
    <xf numFmtId="2" fontId="4" fillId="10" borderId="4" xfId="0" applyNumberFormat="1" applyFont="1" applyFill="1" applyBorder="1" applyAlignment="1">
      <alignment horizontal="center" vertical="center"/>
    </xf>
    <xf numFmtId="2" fontId="5" fillId="10" borderId="25" xfId="0" applyNumberFormat="1" applyFont="1" applyFill="1" applyBorder="1" applyAlignment="1">
      <alignment horizontal="center" vertical="center"/>
    </xf>
    <xf numFmtId="2" fontId="4" fillId="10" borderId="2" xfId="0" applyNumberFormat="1" applyFont="1" applyFill="1" applyBorder="1" applyAlignment="1">
      <alignment horizontal="center" vertical="center"/>
    </xf>
    <xf numFmtId="0" fontId="2" fillId="9" borderId="56" xfId="0" applyFont="1" applyFill="1" applyBorder="1" applyAlignment="1">
      <alignment horizontal="center" vertical="center"/>
    </xf>
    <xf numFmtId="0" fontId="2" fillId="9" borderId="33" xfId="0" applyFont="1" applyFill="1" applyBorder="1" applyAlignment="1">
      <alignment horizontal="center" vertical="center"/>
    </xf>
    <xf numFmtId="0" fontId="2" fillId="9" borderId="57" xfId="0" applyFont="1" applyFill="1" applyBorder="1" applyAlignment="1">
      <alignment horizontal="center" vertical="center"/>
    </xf>
    <xf numFmtId="9" fontId="2" fillId="0" borderId="0" xfId="3" applyFont="1" applyAlignment="1">
      <alignment horizontal="center" vertical="center"/>
    </xf>
    <xf numFmtId="10" fontId="2" fillId="0" borderId="0" xfId="3" applyNumberFormat="1" applyFont="1" applyAlignment="1">
      <alignment horizontal="center" vertical="center"/>
    </xf>
    <xf numFmtId="0" fontId="11" fillId="0" borderId="0" xfId="0" applyFont="1" applyAlignment="1">
      <alignment horizontal="center" vertical="center"/>
    </xf>
    <xf numFmtId="0" fontId="10" fillId="9" borderId="2" xfId="0" applyFont="1" applyFill="1" applyBorder="1" applyAlignment="1">
      <alignment horizontal="center" vertical="center"/>
    </xf>
    <xf numFmtId="0" fontId="22" fillId="0" borderId="0" xfId="0" applyFont="1" applyAlignment="1">
      <alignment horizontal="center" vertical="center"/>
    </xf>
    <xf numFmtId="0" fontId="2" fillId="8" borderId="0" xfId="0" applyFont="1" applyFill="1" applyAlignment="1">
      <alignment horizontal="center" vertical="center"/>
    </xf>
    <xf numFmtId="0" fontId="2" fillId="0" borderId="0" xfId="0" applyFont="1" applyAlignment="1">
      <alignment vertical="center" readingOrder="2"/>
    </xf>
    <xf numFmtId="0" fontId="10" fillId="9" borderId="2" xfId="0" applyFont="1" applyFill="1" applyBorder="1" applyAlignment="1">
      <alignment horizontal="center" vertical="center" readingOrder="2"/>
    </xf>
    <xf numFmtId="0" fontId="8" fillId="9" borderId="2" xfId="0" applyFont="1" applyFill="1" applyBorder="1" applyAlignment="1">
      <alignment horizontal="center" vertical="center" readingOrder="2"/>
    </xf>
    <xf numFmtId="0" fontId="6" fillId="0" borderId="0" xfId="0" applyFont="1" applyAlignment="1">
      <alignment horizontal="left" vertical="center"/>
    </xf>
    <xf numFmtId="0" fontId="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center" vertical="top" wrapText="1"/>
    </xf>
    <xf numFmtId="0" fontId="5" fillId="0" borderId="0" xfId="0" applyFont="1" applyAlignment="1">
      <alignment horizontal="center" vertical="center" readingOrder="2"/>
    </xf>
    <xf numFmtId="0" fontId="2" fillId="0" borderId="0" xfId="0" applyFont="1" applyAlignment="1">
      <alignment horizontal="center" vertical="center" readingOrder="2"/>
    </xf>
    <xf numFmtId="0" fontId="5" fillId="0" borderId="0" xfId="0" applyFont="1" applyAlignment="1">
      <alignment horizontal="left" vertical="center" readingOrder="2"/>
    </xf>
    <xf numFmtId="0" fontId="4" fillId="0" borderId="0" xfId="0" applyFont="1" applyAlignment="1">
      <alignment horizontal="center" vertical="center" readingOrder="2"/>
    </xf>
    <xf numFmtId="0" fontId="5" fillId="0" borderId="0" xfId="0" applyFont="1" applyAlignment="1">
      <alignment horizontal="right" vertical="center" indent="1" readingOrder="2"/>
    </xf>
    <xf numFmtId="0" fontId="5" fillId="0" borderId="0" xfId="0" applyFont="1" applyAlignment="1">
      <alignment horizontal="right" vertical="center" readingOrder="2"/>
    </xf>
    <xf numFmtId="0" fontId="2" fillId="0" borderId="58" xfId="0" applyFont="1" applyBorder="1" applyAlignment="1">
      <alignment vertical="center" readingOrder="2"/>
    </xf>
    <xf numFmtId="0" fontId="5" fillId="0" borderId="58" xfId="0" applyFont="1" applyBorder="1" applyAlignment="1">
      <alignment horizontal="right" vertical="center" readingOrder="2"/>
    </xf>
    <xf numFmtId="0" fontId="5" fillId="0" borderId="58" xfId="0" applyFont="1" applyBorder="1" applyAlignment="1">
      <alignment horizontal="left" vertical="center" readingOrder="2"/>
    </xf>
    <xf numFmtId="0" fontId="8" fillId="0" borderId="0" xfId="0" applyFont="1" applyAlignment="1">
      <alignment horizontal="center" vertical="center"/>
    </xf>
    <xf numFmtId="0" fontId="4" fillId="0" borderId="58" xfId="0" applyFont="1" applyBorder="1" applyAlignment="1">
      <alignment horizontal="center" vertical="center" readingOrder="2"/>
    </xf>
    <xf numFmtId="0" fontId="5" fillId="0" borderId="58" xfId="0" applyFont="1" applyBorder="1" applyAlignment="1">
      <alignment horizontal="right" vertical="center" indent="1" readingOrder="2"/>
    </xf>
    <xf numFmtId="0" fontId="5" fillId="0" borderId="58" xfId="0" applyFont="1" applyBorder="1" applyAlignment="1">
      <alignment horizontal="center" vertical="center" readingOrder="2"/>
    </xf>
    <xf numFmtId="0" fontId="8" fillId="9" borderId="2" xfId="0" applyFont="1" applyFill="1" applyBorder="1" applyAlignment="1">
      <alignment horizontal="center" vertical="center"/>
    </xf>
    <xf numFmtId="3" fontId="8" fillId="9" borderId="2" xfId="2" applyNumberFormat="1" applyFont="1" applyFill="1" applyBorder="1" applyAlignment="1">
      <alignment horizontal="center" vertical="center" readingOrder="2"/>
    </xf>
    <xf numFmtId="0" fontId="14" fillId="9" borderId="2" xfId="0" applyFont="1" applyFill="1" applyBorder="1" applyAlignment="1">
      <alignment horizontal="center" vertical="center" readingOrder="2"/>
    </xf>
    <xf numFmtId="169" fontId="6" fillId="0" borderId="0" xfId="1" applyNumberFormat="1" applyFont="1" applyBorder="1" applyAlignment="1">
      <alignment vertical="center"/>
    </xf>
    <xf numFmtId="0" fontId="6" fillId="0" borderId="0" xfId="0" applyFont="1" applyAlignment="1">
      <alignment horizontal="center" vertical="center"/>
    </xf>
    <xf numFmtId="0" fontId="2" fillId="0" borderId="58" xfId="0" applyFont="1" applyBorder="1" applyAlignment="1">
      <alignment vertical="center"/>
    </xf>
    <xf numFmtId="0" fontId="6" fillId="0" borderId="58" xfId="0" applyFont="1" applyBorder="1" applyAlignment="1">
      <alignment horizontal="left" vertical="center"/>
    </xf>
    <xf numFmtId="0" fontId="8" fillId="0" borderId="58" xfId="0" applyFont="1" applyBorder="1" applyAlignment="1">
      <alignment horizontal="center" vertical="center"/>
    </xf>
    <xf numFmtId="169" fontId="6" fillId="0" borderId="58" xfId="1" applyNumberFormat="1" applyFont="1" applyBorder="1" applyAlignment="1">
      <alignment vertical="center"/>
    </xf>
    <xf numFmtId="169" fontId="8" fillId="11" borderId="2" xfId="1" applyNumberFormat="1" applyFont="1" applyFill="1" applyBorder="1" applyAlignment="1">
      <alignment horizontal="center" vertical="center" readingOrder="2"/>
    </xf>
    <xf numFmtId="0" fontId="10" fillId="0" borderId="0" xfId="0" applyFont="1" applyAlignment="1">
      <alignment horizontal="center" vertical="center"/>
    </xf>
    <xf numFmtId="0" fontId="8" fillId="0" borderId="0" xfId="0" applyFont="1" applyAlignment="1">
      <alignment horizontal="center" vertical="top" wrapText="1"/>
    </xf>
    <xf numFmtId="0" fontId="2" fillId="9" borderId="2" xfId="0" applyFont="1" applyFill="1" applyBorder="1" applyAlignment="1">
      <alignment horizontal="center" vertical="center" readingOrder="2"/>
    </xf>
    <xf numFmtId="3" fontId="10" fillId="9" borderId="2" xfId="2" applyNumberFormat="1" applyFont="1" applyFill="1" applyBorder="1" applyAlignment="1">
      <alignment horizontal="center" vertical="center" readingOrder="2"/>
    </xf>
    <xf numFmtId="169" fontId="10" fillId="11" borderId="2" xfId="1" applyNumberFormat="1" applyFont="1" applyFill="1" applyBorder="1" applyAlignment="1">
      <alignment horizontal="center" vertical="center" readingOrder="2"/>
    </xf>
    <xf numFmtId="0" fontId="5" fillId="0" borderId="0" xfId="0" applyFont="1" applyAlignment="1">
      <alignment horizontal="right" vertical="center" indent="2" readingOrder="2"/>
    </xf>
    <xf numFmtId="0" fontId="2" fillId="0" borderId="0" xfId="0" applyFont="1" applyAlignment="1">
      <alignment horizontal="right" vertical="center" indent="1"/>
    </xf>
    <xf numFmtId="0" fontId="2" fillId="0" borderId="58" xfId="0" applyFont="1" applyBorder="1" applyAlignment="1">
      <alignment horizontal="right" vertical="center" indent="1"/>
    </xf>
    <xf numFmtId="169" fontId="6" fillId="0" borderId="0" xfId="1" applyNumberFormat="1" applyFont="1" applyBorder="1" applyAlignment="1">
      <alignment horizontal="right" vertical="center" indent="1"/>
    </xf>
    <xf numFmtId="169" fontId="6" fillId="0" borderId="58" xfId="1" applyNumberFormat="1" applyFont="1" applyBorder="1" applyAlignment="1">
      <alignment horizontal="right" vertical="center" indent="1"/>
    </xf>
    <xf numFmtId="0" fontId="6" fillId="0" borderId="0" xfId="0" applyFont="1" applyAlignment="1">
      <alignment horizontal="right" vertical="center" indent="1"/>
    </xf>
    <xf numFmtId="0" fontId="2" fillId="0" borderId="0" xfId="0" applyFont="1" applyAlignment="1">
      <alignment horizontal="right" vertical="center" readingOrder="2"/>
    </xf>
    <xf numFmtId="0" fontId="2" fillId="0" borderId="0" xfId="0" applyFont="1" applyAlignment="1">
      <alignment horizontal="right" vertical="center" indent="1" readingOrder="2"/>
    </xf>
    <xf numFmtId="0" fontId="6" fillId="0" borderId="0" xfId="0" applyFont="1" applyAlignment="1">
      <alignment horizontal="right" vertical="center" indent="1" readingOrder="2"/>
    </xf>
    <xf numFmtId="3" fontId="2" fillId="0" borderId="0" xfId="0" applyNumberFormat="1" applyFont="1" applyAlignment="1">
      <alignment vertical="center" wrapText="1"/>
    </xf>
    <xf numFmtId="3" fontId="2" fillId="0" borderId="0" xfId="0" applyNumberFormat="1" applyFont="1" applyAlignment="1">
      <alignment horizontal="center" vertical="center"/>
    </xf>
    <xf numFmtId="3" fontId="5" fillId="0" borderId="0" xfId="0" applyNumberFormat="1" applyFont="1" applyAlignment="1">
      <alignment horizontal="center" vertical="center"/>
    </xf>
    <xf numFmtId="3" fontId="5" fillId="0" borderId="0" xfId="0" applyNumberFormat="1" applyFont="1" applyAlignment="1">
      <alignment horizontal="center" vertical="top" wrapText="1"/>
    </xf>
    <xf numFmtId="3" fontId="6" fillId="0" borderId="0" xfId="0" applyNumberFormat="1" applyFont="1" applyAlignment="1">
      <alignment horizontal="center" vertical="center"/>
    </xf>
    <xf numFmtId="3" fontId="8" fillId="0" borderId="58" xfId="0" applyNumberFormat="1" applyFont="1" applyBorder="1" applyAlignment="1">
      <alignment horizontal="center" vertical="center"/>
    </xf>
    <xf numFmtId="3" fontId="2" fillId="0" borderId="0" xfId="0" applyNumberFormat="1" applyFont="1" applyAlignment="1">
      <alignment vertical="top" wrapText="1"/>
    </xf>
    <xf numFmtId="3" fontId="2" fillId="0" borderId="0" xfId="0" applyNumberFormat="1" applyFont="1" applyAlignment="1">
      <alignment vertical="top"/>
    </xf>
    <xf numFmtId="3" fontId="6" fillId="0" borderId="0" xfId="1" applyNumberFormat="1" applyFont="1" applyBorder="1" applyAlignment="1">
      <alignment vertical="center"/>
    </xf>
    <xf numFmtId="3" fontId="6" fillId="0" borderId="58" xfId="1" applyNumberFormat="1" applyFont="1" applyBorder="1" applyAlignment="1">
      <alignment vertical="center"/>
    </xf>
    <xf numFmtId="3" fontId="11" fillId="0" borderId="0" xfId="0" applyNumberFormat="1" applyFont="1" applyAlignment="1">
      <alignment horizontal="center" vertical="center"/>
    </xf>
    <xf numFmtId="3" fontId="8" fillId="0" borderId="0" xfId="0" applyNumberFormat="1" applyFont="1" applyAlignment="1">
      <alignment horizontal="center" vertical="center"/>
    </xf>
    <xf numFmtId="3" fontId="8" fillId="0" borderId="0" xfId="0" applyNumberFormat="1" applyFont="1" applyAlignment="1">
      <alignment horizontal="center" vertical="top" wrapText="1"/>
    </xf>
    <xf numFmtId="0" fontId="2" fillId="0" borderId="58" xfId="0" applyFont="1" applyBorder="1" applyAlignment="1">
      <alignment horizontal="right" vertical="center" readingOrder="2"/>
    </xf>
    <xf numFmtId="3" fontId="18" fillId="0" borderId="0" xfId="0" applyNumberFormat="1" applyFont="1" applyAlignment="1">
      <alignment horizontal="center" vertical="center"/>
    </xf>
    <xf numFmtId="9" fontId="8" fillId="9" borderId="2" xfId="0" applyNumberFormat="1" applyFont="1" applyFill="1" applyBorder="1" applyAlignment="1">
      <alignment horizontal="center" vertical="center" readingOrder="2"/>
    </xf>
    <xf numFmtId="9" fontId="10" fillId="9" borderId="2" xfId="0" applyNumberFormat="1" applyFont="1" applyFill="1" applyBorder="1" applyAlignment="1">
      <alignment horizontal="center" vertical="center" readingOrder="2"/>
    </xf>
    <xf numFmtId="171" fontId="10" fillId="9" borderId="2" xfId="0" applyNumberFormat="1" applyFont="1" applyFill="1" applyBorder="1" applyAlignment="1">
      <alignment horizontal="center" vertical="center" readingOrder="2"/>
    </xf>
    <xf numFmtId="9" fontId="2" fillId="8" borderId="0" xfId="0" applyNumberFormat="1" applyFont="1" applyFill="1" applyAlignment="1">
      <alignment horizontal="center" vertical="center"/>
    </xf>
    <xf numFmtId="0" fontId="32" fillId="9" borderId="2" xfId="0" applyFont="1" applyFill="1" applyBorder="1" applyAlignment="1">
      <alignment horizontal="center" vertical="center"/>
    </xf>
    <xf numFmtId="0" fontId="4" fillId="0" borderId="60" xfId="4" applyFont="1" applyBorder="1" applyAlignment="1">
      <alignment vertical="center"/>
    </xf>
    <xf numFmtId="0" fontId="4" fillId="0" borderId="61" xfId="4" applyFont="1" applyBorder="1" applyAlignment="1">
      <alignment vertical="center"/>
    </xf>
    <xf numFmtId="0" fontId="0" fillId="0" borderId="0" xfId="0" applyAlignment="1">
      <alignment vertical="center"/>
    </xf>
    <xf numFmtId="0" fontId="4" fillId="0" borderId="36" xfId="4" applyFont="1" applyBorder="1" applyAlignment="1">
      <alignment vertical="center"/>
    </xf>
    <xf numFmtId="0" fontId="4" fillId="0" borderId="62" xfId="4" applyFont="1" applyBorder="1" applyAlignment="1">
      <alignment vertical="center"/>
    </xf>
    <xf numFmtId="0" fontId="4" fillId="0" borderId="63" xfId="4" applyFont="1" applyBorder="1" applyAlignment="1">
      <alignment vertical="center"/>
    </xf>
    <xf numFmtId="0" fontId="10" fillId="13" borderId="2" xfId="0" applyFont="1" applyFill="1" applyBorder="1" applyAlignment="1">
      <alignment horizontal="center" vertical="center" textRotation="90" wrapText="1" readingOrder="2"/>
    </xf>
    <xf numFmtId="0" fontId="33" fillId="13" borderId="2" xfId="0" applyFont="1" applyFill="1" applyBorder="1" applyAlignment="1">
      <alignment horizontal="center" vertical="center" wrapText="1"/>
    </xf>
    <xf numFmtId="0" fontId="10" fillId="13" borderId="2" xfId="0" applyFont="1" applyFill="1" applyBorder="1" applyAlignment="1">
      <alignment horizontal="center" vertical="center" wrapText="1"/>
    </xf>
    <xf numFmtId="0" fontId="6" fillId="0" borderId="32" xfId="0" applyFont="1" applyBorder="1" applyAlignment="1">
      <alignment horizontal="center" vertical="center"/>
    </xf>
    <xf numFmtId="0" fontId="8" fillId="14" borderId="2" xfId="0" applyFont="1" applyFill="1" applyBorder="1" applyAlignment="1">
      <alignment horizontal="center" vertical="center" readingOrder="2"/>
    </xf>
    <xf numFmtId="0" fontId="8" fillId="14" borderId="2" xfId="0" applyFont="1" applyFill="1" applyBorder="1" applyAlignment="1">
      <alignment horizontal="center" vertical="center"/>
    </xf>
    <xf numFmtId="169" fontId="8" fillId="14" borderId="2" xfId="0" applyNumberFormat="1" applyFont="1" applyFill="1" applyBorder="1" applyAlignment="1">
      <alignment horizontal="right" vertical="center" wrapText="1" readingOrder="2"/>
    </xf>
    <xf numFmtId="171" fontId="26" fillId="14" borderId="2" xfId="3" applyNumberFormat="1" applyFont="1" applyFill="1" applyBorder="1" applyAlignment="1">
      <alignment horizontal="center" vertical="center"/>
    </xf>
    <xf numFmtId="172" fontId="26" fillId="14" borderId="2" xfId="1" applyNumberFormat="1" applyFont="1" applyFill="1" applyBorder="1" applyAlignment="1">
      <alignment horizontal="center" vertical="center"/>
    </xf>
    <xf numFmtId="172" fontId="5" fillId="0" borderId="32" xfId="1" applyNumberFormat="1" applyFont="1" applyBorder="1" applyAlignment="1">
      <alignment horizontal="center" vertical="center"/>
    </xf>
    <xf numFmtId="173" fontId="0" fillId="0" borderId="0" xfId="0" applyNumberFormat="1"/>
    <xf numFmtId="0" fontId="10" fillId="3" borderId="2" xfId="0" applyFont="1" applyFill="1" applyBorder="1" applyAlignment="1">
      <alignment horizontal="center" vertical="center" readingOrder="2"/>
    </xf>
    <xf numFmtId="0" fontId="10" fillId="3" borderId="2" xfId="0" applyFont="1" applyFill="1" applyBorder="1" applyAlignment="1">
      <alignment horizontal="center" vertical="center"/>
    </xf>
    <xf numFmtId="169" fontId="10" fillId="3" borderId="2" xfId="0" applyNumberFormat="1" applyFont="1" applyFill="1" applyBorder="1" applyAlignment="1">
      <alignment horizontal="right" vertical="center" wrapText="1" indent="1" readingOrder="2"/>
    </xf>
    <xf numFmtId="171" fontId="10" fillId="3" borderId="2" xfId="3" applyNumberFormat="1" applyFont="1" applyFill="1" applyBorder="1" applyAlignment="1">
      <alignment horizontal="center" vertical="center"/>
    </xf>
    <xf numFmtId="172" fontId="10" fillId="3" borderId="2" xfId="1" applyNumberFormat="1" applyFont="1" applyFill="1" applyBorder="1" applyAlignment="1">
      <alignment horizontal="center" vertical="center"/>
    </xf>
    <xf numFmtId="0" fontId="0" fillId="0" borderId="0" xfId="0" applyAlignment="1">
      <alignment horizontal="center" vertical="center"/>
    </xf>
    <xf numFmtId="0" fontId="5" fillId="2" borderId="2" xfId="0" applyFont="1" applyFill="1" applyBorder="1" applyAlignment="1">
      <alignment horizontal="center" vertical="center" readingOrder="2"/>
    </xf>
    <xf numFmtId="0" fontId="5" fillId="2" borderId="2" xfId="0" applyFont="1" applyFill="1" applyBorder="1" applyAlignment="1">
      <alignment horizontal="center" vertical="center"/>
    </xf>
    <xf numFmtId="169" fontId="5" fillId="2" borderId="2" xfId="0" applyNumberFormat="1" applyFont="1" applyFill="1" applyBorder="1" applyAlignment="1">
      <alignment horizontal="right" vertical="center" wrapText="1" indent="3" readingOrder="2"/>
    </xf>
    <xf numFmtId="171" fontId="5" fillId="2" borderId="2" xfId="3" applyNumberFormat="1" applyFont="1" applyFill="1" applyBorder="1" applyAlignment="1">
      <alignment horizontal="center" vertical="center"/>
    </xf>
    <xf numFmtId="172" fontId="5" fillId="2" borderId="2" xfId="1" applyNumberFormat="1" applyFont="1" applyFill="1" applyBorder="1" applyAlignment="1">
      <alignment horizontal="center" vertical="center"/>
    </xf>
    <xf numFmtId="0" fontId="35" fillId="0" borderId="0" xfId="0" applyFont="1"/>
    <xf numFmtId="0" fontId="4" fillId="0" borderId="2" xfId="0" applyFont="1" applyBorder="1" applyAlignment="1">
      <alignment horizontal="center" vertical="center" readingOrder="2"/>
    </xf>
    <xf numFmtId="0" fontId="36" fillId="15" borderId="2" xfId="0" applyFont="1" applyFill="1" applyBorder="1" applyAlignment="1">
      <alignment horizontal="center" vertical="center" wrapText="1"/>
    </xf>
    <xf numFmtId="0" fontId="36" fillId="15" borderId="2" xfId="0" applyFont="1" applyFill="1" applyBorder="1" applyAlignment="1">
      <alignment horizontal="right" vertical="center" wrapText="1" indent="5" readingOrder="2"/>
    </xf>
    <xf numFmtId="171" fontId="30" fillId="0" borderId="2" xfId="3" applyNumberFormat="1" applyFont="1" applyFill="1" applyBorder="1" applyAlignment="1">
      <alignment horizontal="center" vertical="center" wrapText="1"/>
    </xf>
    <xf numFmtId="172" fontId="4" fillId="0" borderId="2" xfId="1" applyNumberFormat="1" applyFont="1" applyBorder="1" applyAlignment="1">
      <alignment horizontal="center" vertical="center"/>
    </xf>
    <xf numFmtId="0" fontId="30" fillId="15" borderId="2" xfId="0" applyFont="1" applyFill="1" applyBorder="1" applyAlignment="1">
      <alignment horizontal="right" vertical="center" wrapText="1" indent="5" readingOrder="2"/>
    </xf>
    <xf numFmtId="0" fontId="2" fillId="0" borderId="2" xfId="0" applyFont="1" applyBorder="1" applyAlignment="1">
      <alignment horizontal="center" vertical="center" readingOrder="2"/>
    </xf>
    <xf numFmtId="0" fontId="2" fillId="0" borderId="2" xfId="0" applyFont="1" applyBorder="1" applyAlignment="1">
      <alignment horizontal="center" vertical="center"/>
    </xf>
    <xf numFmtId="169" fontId="2" fillId="0" borderId="2" xfId="0" applyNumberFormat="1" applyFont="1" applyBorder="1" applyAlignment="1">
      <alignment horizontal="right" vertical="center" indent="7" readingOrder="2"/>
    </xf>
    <xf numFmtId="171" fontId="2" fillId="0" borderId="2" xfId="3" applyNumberFormat="1" applyFont="1" applyBorder="1" applyAlignment="1">
      <alignment horizontal="center" vertical="center"/>
    </xf>
    <xf numFmtId="172" fontId="2" fillId="0" borderId="2" xfId="1" applyNumberFormat="1" applyFont="1" applyBorder="1" applyAlignment="1">
      <alignment horizontal="center" vertical="center"/>
    </xf>
    <xf numFmtId="171" fontId="2" fillId="0" borderId="0" xfId="3" applyNumberFormat="1" applyFont="1" applyAlignment="1">
      <alignment horizontal="center" vertical="center"/>
    </xf>
    <xf numFmtId="171" fontId="23" fillId="2" borderId="2" xfId="3" applyNumberFormat="1" applyFont="1" applyFill="1" applyBorder="1" applyAlignment="1">
      <alignment horizontal="center" vertical="center"/>
    </xf>
    <xf numFmtId="172" fontId="23" fillId="2" borderId="2" xfId="1" applyNumberFormat="1" applyFont="1" applyFill="1" applyBorder="1" applyAlignment="1">
      <alignment horizontal="center" vertical="center"/>
    </xf>
    <xf numFmtId="172" fontId="35" fillId="0" borderId="0" xfId="0" applyNumberFormat="1" applyFont="1"/>
    <xf numFmtId="1" fontId="8" fillId="9" borderId="2" xfId="0" applyNumberFormat="1" applyFont="1" applyFill="1" applyBorder="1" applyAlignment="1">
      <alignment horizontal="center" vertical="center"/>
    </xf>
    <xf numFmtId="1" fontId="10" fillId="9" borderId="2" xfId="0" applyNumberFormat="1" applyFont="1" applyFill="1" applyBorder="1" applyAlignment="1">
      <alignment horizontal="center" vertical="center"/>
    </xf>
    <xf numFmtId="171" fontId="35" fillId="0" borderId="0" xfId="0" applyNumberFormat="1" applyFont="1"/>
    <xf numFmtId="171" fontId="27" fillId="9" borderId="2" xfId="3" applyNumberFormat="1" applyFont="1" applyFill="1" applyBorder="1" applyAlignment="1">
      <alignment horizontal="center" vertical="center"/>
    </xf>
    <xf numFmtId="171" fontId="26" fillId="9" borderId="2" xfId="3" applyNumberFormat="1" applyFont="1" applyFill="1" applyBorder="1" applyAlignment="1">
      <alignment horizontal="center" vertical="center"/>
    </xf>
    <xf numFmtId="0" fontId="5" fillId="0" borderId="0" xfId="0" applyFont="1" applyAlignment="1">
      <alignment horizontal="right" vertical="center" wrapText="1" indent="1" readingOrder="2"/>
    </xf>
    <xf numFmtId="0" fontId="5" fillId="0" borderId="0" xfId="0" applyFont="1" applyAlignment="1">
      <alignment horizontal="left" vertical="center" wrapText="1" readingOrder="2"/>
    </xf>
    <xf numFmtId="171" fontId="30" fillId="9" borderId="2" xfId="3" applyNumberFormat="1" applyFont="1" applyFill="1" applyBorder="1" applyAlignment="1">
      <alignment horizontal="center" vertical="center" wrapText="1"/>
    </xf>
    <xf numFmtId="171" fontId="2" fillId="9" borderId="2" xfId="3" applyNumberFormat="1" applyFont="1" applyFill="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horizontal="right" vertical="center" wrapText="1" indent="5" readingOrder="2"/>
    </xf>
    <xf numFmtId="172" fontId="4" fillId="0" borderId="2" xfId="1" applyNumberFormat="1" applyFont="1" applyFill="1" applyBorder="1" applyAlignment="1">
      <alignment horizontal="center" vertical="center"/>
    </xf>
    <xf numFmtId="171" fontId="2" fillId="0" borderId="2" xfId="3" applyNumberFormat="1" applyFont="1" applyFill="1" applyBorder="1" applyAlignment="1">
      <alignment horizontal="center" vertical="center"/>
    </xf>
    <xf numFmtId="172" fontId="2" fillId="0" borderId="2" xfId="1" applyNumberFormat="1" applyFont="1" applyFill="1" applyBorder="1" applyAlignment="1">
      <alignment horizontal="center" vertical="center"/>
    </xf>
    <xf numFmtId="172" fontId="30" fillId="0" borderId="2" xfId="1" applyNumberFormat="1" applyFont="1" applyFill="1" applyBorder="1" applyAlignment="1">
      <alignment horizontal="center" vertical="center"/>
    </xf>
    <xf numFmtId="9" fontId="26" fillId="3" borderId="2" xfId="3" applyFont="1" applyFill="1" applyBorder="1" applyAlignment="1">
      <alignment horizontal="center" vertical="center" readingOrder="2"/>
    </xf>
    <xf numFmtId="9" fontId="15" fillId="2" borderId="2" xfId="3" applyFont="1" applyFill="1" applyBorder="1" applyAlignment="1">
      <alignment horizontal="center" vertical="center" readingOrder="2"/>
    </xf>
    <xf numFmtId="171" fontId="8" fillId="9" borderId="2" xfId="0" applyNumberFormat="1" applyFont="1" applyFill="1" applyBorder="1" applyAlignment="1">
      <alignment horizontal="center" vertical="center" readingOrder="2"/>
    </xf>
    <xf numFmtId="166" fontId="8" fillId="9" borderId="2" xfId="0" applyNumberFormat="1" applyFont="1" applyFill="1" applyBorder="1" applyAlignment="1">
      <alignment horizontal="right" vertical="center"/>
    </xf>
    <xf numFmtId="166" fontId="10" fillId="9" borderId="2" xfId="0" applyNumberFormat="1" applyFont="1" applyFill="1" applyBorder="1" applyAlignment="1">
      <alignment horizontal="right" vertical="center" wrapText="1" indent="4" readingOrder="2"/>
    </xf>
    <xf numFmtId="3" fontId="26" fillId="3" borderId="2" xfId="2" applyNumberFormat="1" applyFont="1" applyFill="1" applyBorder="1" applyAlignment="1">
      <alignment horizontal="center" vertical="center" readingOrder="2"/>
    </xf>
    <xf numFmtId="3" fontId="27" fillId="3" borderId="2" xfId="2" applyNumberFormat="1" applyFont="1" applyFill="1" applyBorder="1" applyAlignment="1">
      <alignment horizontal="center" vertical="center" readingOrder="2"/>
    </xf>
    <xf numFmtId="3" fontId="27" fillId="3" borderId="2" xfId="1" applyNumberFormat="1" applyFont="1" applyFill="1" applyBorder="1" applyAlignment="1">
      <alignment horizontal="center" vertical="center" readingOrder="2"/>
    </xf>
    <xf numFmtId="0" fontId="32" fillId="9" borderId="2" xfId="0" applyFont="1" applyFill="1" applyBorder="1" applyAlignment="1">
      <alignment horizontal="right" vertical="center" wrapText="1"/>
    </xf>
    <xf numFmtId="171" fontId="8" fillId="3" borderId="2" xfId="3" applyNumberFormat="1" applyFont="1" applyFill="1" applyBorder="1" applyAlignment="1">
      <alignment horizontal="center" vertical="center"/>
    </xf>
    <xf numFmtId="10" fontId="15" fillId="2" borderId="2" xfId="3" applyNumberFormat="1" applyFont="1" applyFill="1" applyBorder="1" applyAlignment="1">
      <alignment horizontal="center" vertical="center"/>
    </xf>
    <xf numFmtId="3" fontId="15" fillId="2" borderId="2" xfId="1" applyNumberFormat="1" applyFont="1" applyFill="1" applyBorder="1" applyAlignment="1">
      <alignment horizontal="center" vertical="center"/>
    </xf>
    <xf numFmtId="0" fontId="8" fillId="0" borderId="2" xfId="0" applyFont="1" applyBorder="1" applyAlignment="1">
      <alignment horizontal="center" vertical="center"/>
    </xf>
    <xf numFmtId="3" fontId="8" fillId="9" borderId="2" xfId="0" applyNumberFormat="1" applyFont="1" applyFill="1" applyBorder="1" applyAlignment="1">
      <alignment horizontal="center" vertical="center"/>
    </xf>
    <xf numFmtId="3" fontId="10" fillId="9" borderId="2" xfId="0"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3" fontId="16" fillId="2" borderId="2" xfId="1" applyNumberFormat="1" applyFont="1" applyFill="1" applyBorder="1" applyAlignment="1">
      <alignment horizontal="center" vertical="center"/>
    </xf>
    <xf numFmtId="0" fontId="10" fillId="0" borderId="2" xfId="0" applyFont="1" applyBorder="1" applyAlignment="1">
      <alignment horizontal="center" vertical="center"/>
    </xf>
    <xf numFmtId="3" fontId="32" fillId="9" borderId="2" xfId="2" applyNumberFormat="1" applyFont="1" applyFill="1" applyBorder="1" applyAlignment="1">
      <alignment horizontal="center" vertical="center" readingOrder="1"/>
    </xf>
    <xf numFmtId="171" fontId="8" fillId="3" borderId="2" xfId="3" applyNumberFormat="1" applyFont="1" applyFill="1" applyBorder="1" applyAlignment="1">
      <alignment horizontal="center" vertical="center" readingOrder="1"/>
    </xf>
    <xf numFmtId="3" fontId="28" fillId="3" borderId="2" xfId="5" applyNumberFormat="1" applyFont="1" applyFill="1" applyBorder="1" applyAlignment="1">
      <alignment horizontal="center" vertical="center" readingOrder="1"/>
    </xf>
    <xf numFmtId="3" fontId="8" fillId="9" borderId="2" xfId="0" applyNumberFormat="1" applyFont="1" applyFill="1" applyBorder="1" applyAlignment="1">
      <alignment horizontal="center" vertical="center" readingOrder="1"/>
    </xf>
    <xf numFmtId="171" fontId="26" fillId="9" borderId="2" xfId="3" applyNumberFormat="1" applyFont="1" applyFill="1" applyBorder="1" applyAlignment="1">
      <alignment horizontal="center" vertical="center" readingOrder="1"/>
    </xf>
    <xf numFmtId="1" fontId="8" fillId="9" borderId="2" xfId="0" applyNumberFormat="1" applyFont="1" applyFill="1" applyBorder="1" applyAlignment="1">
      <alignment horizontal="center" vertical="center" readingOrder="1"/>
    </xf>
    <xf numFmtId="3" fontId="10" fillId="9" borderId="2" xfId="0" applyNumberFormat="1" applyFont="1" applyFill="1" applyBorder="1" applyAlignment="1">
      <alignment horizontal="center" vertical="center" readingOrder="1"/>
    </xf>
    <xf numFmtId="171" fontId="27" fillId="9" borderId="2" xfId="3" applyNumberFormat="1" applyFont="1" applyFill="1" applyBorder="1" applyAlignment="1">
      <alignment horizontal="center" vertical="center" readingOrder="1"/>
    </xf>
    <xf numFmtId="1" fontId="10" fillId="9" borderId="2" xfId="0" applyNumberFormat="1" applyFont="1" applyFill="1" applyBorder="1" applyAlignment="1">
      <alignment horizontal="center" vertical="center" readingOrder="1"/>
    </xf>
    <xf numFmtId="171" fontId="10" fillId="3" borderId="2" xfId="3" applyNumberFormat="1" applyFont="1" applyFill="1" applyBorder="1" applyAlignment="1">
      <alignment horizontal="center" vertical="center" readingOrder="1"/>
    </xf>
    <xf numFmtId="3" fontId="29" fillId="3" borderId="2" xfId="5" applyNumberFormat="1" applyFont="1" applyFill="1" applyBorder="1" applyAlignment="1">
      <alignment horizontal="center" vertical="center" readingOrder="1"/>
    </xf>
    <xf numFmtId="171" fontId="39" fillId="9" borderId="2" xfId="3" applyNumberFormat="1" applyFont="1" applyFill="1" applyBorder="1" applyAlignment="1">
      <alignment horizontal="center" vertical="center" readingOrder="1"/>
    </xf>
    <xf numFmtId="171" fontId="32" fillId="3" borderId="2" xfId="3" applyNumberFormat="1" applyFont="1" applyFill="1" applyBorder="1" applyAlignment="1">
      <alignment horizontal="center" vertical="center" readingOrder="1"/>
    </xf>
    <xf numFmtId="3" fontId="40" fillId="3" borderId="2" xfId="5" applyNumberFormat="1" applyFont="1" applyFill="1" applyBorder="1" applyAlignment="1">
      <alignment horizontal="center" vertical="center" readingOrder="1"/>
    </xf>
    <xf numFmtId="10" fontId="41" fillId="2" borderId="2" xfId="3" applyNumberFormat="1" applyFont="1" applyFill="1" applyBorder="1" applyAlignment="1">
      <alignment horizontal="center" vertical="center"/>
    </xf>
    <xf numFmtId="3" fontId="41" fillId="2" borderId="2" xfId="1" applyNumberFormat="1" applyFont="1" applyFill="1" applyBorder="1" applyAlignment="1">
      <alignment horizontal="center" vertical="center"/>
    </xf>
    <xf numFmtId="0" fontId="32" fillId="0" borderId="2" xfId="0" applyFont="1" applyBorder="1" applyAlignment="1">
      <alignment horizontal="center" vertical="center"/>
    </xf>
    <xf numFmtId="1" fontId="32" fillId="9" borderId="2" xfId="0" applyNumberFormat="1" applyFont="1" applyFill="1" applyBorder="1" applyAlignment="1">
      <alignment horizontal="center" vertical="center" readingOrder="1"/>
    </xf>
    <xf numFmtId="3" fontId="32" fillId="0" borderId="0" xfId="0" applyNumberFormat="1" applyFont="1" applyAlignment="1">
      <alignment horizontal="center" vertical="center"/>
    </xf>
    <xf numFmtId="0" fontId="32" fillId="0" borderId="0" xfId="0" applyFont="1" applyAlignment="1">
      <alignment horizontal="center" vertical="center"/>
    </xf>
    <xf numFmtId="171" fontId="26" fillId="3" borderId="2" xfId="3" applyNumberFormat="1" applyFont="1" applyFill="1" applyBorder="1" applyAlignment="1">
      <alignment horizontal="center" vertical="center" readingOrder="2"/>
    </xf>
    <xf numFmtId="171" fontId="27" fillId="3" borderId="2" xfId="2" applyNumberFormat="1" applyFont="1" applyFill="1" applyBorder="1" applyAlignment="1">
      <alignment horizontal="center" vertical="center" readingOrder="2"/>
    </xf>
    <xf numFmtId="171" fontId="27" fillId="3" borderId="2" xfId="1" applyNumberFormat="1" applyFont="1" applyFill="1" applyBorder="1" applyAlignment="1">
      <alignment horizontal="center" vertical="center" readingOrder="2"/>
    </xf>
    <xf numFmtId="0" fontId="8" fillId="9" borderId="2" xfId="0" applyFont="1" applyFill="1" applyBorder="1" applyAlignment="1">
      <alignment horizontal="right" vertical="center" wrapText="1" indent="1"/>
    </xf>
    <xf numFmtId="0" fontId="10" fillId="9" borderId="2" xfId="0" applyFont="1" applyFill="1" applyBorder="1" applyAlignment="1">
      <alignment horizontal="right" vertical="center" wrapText="1" indent="2"/>
    </xf>
    <xf numFmtId="0" fontId="42" fillId="9" borderId="2" xfId="0" applyFont="1" applyFill="1" applyBorder="1" applyAlignment="1">
      <alignment horizontal="center" vertical="center"/>
    </xf>
    <xf numFmtId="0" fontId="42" fillId="9" borderId="2" xfId="0" applyFont="1" applyFill="1" applyBorder="1" applyAlignment="1">
      <alignment horizontal="right" vertical="center" wrapText="1" indent="3"/>
    </xf>
    <xf numFmtId="3" fontId="42" fillId="9" borderId="2" xfId="0" applyNumberFormat="1" applyFont="1" applyFill="1" applyBorder="1" applyAlignment="1">
      <alignment horizontal="center" vertical="center" readingOrder="1"/>
    </xf>
    <xf numFmtId="171" fontId="43" fillId="9" borderId="2" xfId="3" applyNumberFormat="1" applyFont="1" applyFill="1" applyBorder="1" applyAlignment="1">
      <alignment horizontal="center" vertical="center" readingOrder="1"/>
    </xf>
    <xf numFmtId="1" fontId="42" fillId="9" borderId="2" xfId="0" applyNumberFormat="1" applyFont="1" applyFill="1" applyBorder="1" applyAlignment="1">
      <alignment horizontal="center" vertical="center" readingOrder="1"/>
    </xf>
    <xf numFmtId="171" fontId="42" fillId="3" borderId="2" xfId="3" applyNumberFormat="1" applyFont="1" applyFill="1" applyBorder="1" applyAlignment="1">
      <alignment horizontal="center" vertical="center" readingOrder="1"/>
    </xf>
    <xf numFmtId="3" fontId="42" fillId="3" borderId="2" xfId="5" applyNumberFormat="1" applyFont="1" applyFill="1" applyBorder="1" applyAlignment="1">
      <alignment horizontal="center" vertical="center" readingOrder="1"/>
    </xf>
    <xf numFmtId="3" fontId="44" fillId="2" borderId="2" xfId="1" applyNumberFormat="1" applyFont="1" applyFill="1" applyBorder="1" applyAlignment="1">
      <alignment horizontal="center" vertical="center"/>
    </xf>
    <xf numFmtId="0" fontId="42" fillId="0" borderId="2" xfId="0" applyFont="1" applyBorder="1" applyAlignment="1">
      <alignment horizontal="center" vertical="center"/>
    </xf>
    <xf numFmtId="0" fontId="42" fillId="0" borderId="0" xfId="0" applyFont="1" applyAlignment="1">
      <alignment horizontal="center" vertical="center"/>
    </xf>
    <xf numFmtId="3" fontId="10" fillId="3" borderId="2" xfId="5" applyNumberFormat="1" applyFont="1" applyFill="1" applyBorder="1" applyAlignment="1">
      <alignment horizontal="center" vertical="center" readingOrder="1"/>
    </xf>
    <xf numFmtId="0" fontId="4" fillId="9" borderId="2" xfId="0" applyFont="1" applyFill="1" applyBorder="1" applyAlignment="1">
      <alignment horizontal="right" vertical="center" wrapText="1" indent="5"/>
    </xf>
    <xf numFmtId="3" fontId="45" fillId="9" borderId="2" xfId="0" applyNumberFormat="1" applyFont="1" applyFill="1" applyBorder="1" applyAlignment="1">
      <alignment horizontal="center" vertical="center" readingOrder="1"/>
    </xf>
    <xf numFmtId="171" fontId="46" fillId="9" borderId="2" xfId="3" applyNumberFormat="1" applyFont="1" applyFill="1" applyBorder="1" applyAlignment="1">
      <alignment horizontal="center" vertical="center" readingOrder="1"/>
    </xf>
    <xf numFmtId="1" fontId="45" fillId="9" borderId="2" xfId="0" applyNumberFormat="1" applyFont="1" applyFill="1" applyBorder="1" applyAlignment="1">
      <alignment horizontal="center" vertical="center" readingOrder="1"/>
    </xf>
    <xf numFmtId="0" fontId="45" fillId="0" borderId="2" xfId="0" applyFont="1" applyBorder="1" applyAlignment="1">
      <alignment horizontal="center" vertical="center"/>
    </xf>
    <xf numFmtId="174" fontId="45" fillId="0" borderId="0" xfId="0" applyNumberFormat="1" applyFont="1" applyAlignment="1">
      <alignment horizontal="center" vertical="center"/>
    </xf>
    <xf numFmtId="0" fontId="45" fillId="0" borderId="0" xfId="0" applyFont="1" applyAlignment="1">
      <alignment horizontal="center" vertical="center"/>
    </xf>
    <xf numFmtId="9" fontId="8" fillId="3" borderId="2" xfId="3" applyFont="1" applyFill="1" applyBorder="1" applyAlignment="1">
      <alignment horizontal="center" vertical="center" readingOrder="1"/>
    </xf>
    <xf numFmtId="9" fontId="10" fillId="3" borderId="2" xfId="3" applyFont="1" applyFill="1" applyBorder="1" applyAlignment="1">
      <alignment horizontal="center" vertical="center" readingOrder="1"/>
    </xf>
    <xf numFmtId="9" fontId="8" fillId="3" borderId="2" xfId="3" applyFont="1" applyFill="1" applyBorder="1" applyAlignment="1">
      <alignment horizontal="center" vertical="center"/>
    </xf>
    <xf numFmtId="3" fontId="8" fillId="3" borderId="2" xfId="5" applyNumberFormat="1" applyFont="1" applyFill="1" applyBorder="1" applyAlignment="1">
      <alignment horizontal="center" vertical="center" readingOrder="1"/>
    </xf>
    <xf numFmtId="3" fontId="8" fillId="3" borderId="2" xfId="5" applyNumberFormat="1" applyFont="1" applyFill="1" applyBorder="1" applyAlignment="1">
      <alignment horizontal="center" vertical="center"/>
    </xf>
    <xf numFmtId="3" fontId="10" fillId="3" borderId="2" xfId="5" applyNumberFormat="1" applyFont="1" applyFill="1" applyBorder="1" applyAlignment="1">
      <alignment horizontal="center" vertical="center"/>
    </xf>
    <xf numFmtId="0" fontId="48" fillId="9" borderId="2" xfId="0" applyFont="1" applyFill="1" applyBorder="1" applyAlignment="1">
      <alignment horizontal="center" vertical="center" readingOrder="2"/>
    </xf>
    <xf numFmtId="0" fontId="51" fillId="0" borderId="0" xfId="0" applyFont="1" applyAlignment="1">
      <alignment horizontal="center" vertical="center"/>
    </xf>
    <xf numFmtId="167" fontId="48" fillId="3" borderId="2" xfId="2" applyNumberFormat="1" applyFont="1" applyFill="1" applyBorder="1" applyAlignment="1">
      <alignment horizontal="center" vertical="center" readingOrder="1"/>
    </xf>
    <xf numFmtId="167" fontId="49" fillId="2" borderId="2" xfId="2" applyNumberFormat="1" applyFont="1" applyFill="1" applyBorder="1" applyAlignment="1">
      <alignment horizontal="center" vertical="center" readingOrder="1"/>
    </xf>
    <xf numFmtId="167" fontId="50" fillId="6" borderId="2" xfId="2" applyNumberFormat="1" applyFont="1" applyFill="1" applyBorder="1" applyAlignment="1">
      <alignment horizontal="center" vertical="center" readingOrder="1"/>
    </xf>
    <xf numFmtId="167" fontId="8" fillId="3" borderId="2" xfId="2" applyNumberFormat="1" applyFont="1" applyFill="1" applyBorder="1" applyAlignment="1">
      <alignment horizontal="center" vertical="center" readingOrder="1"/>
    </xf>
    <xf numFmtId="167" fontId="15" fillId="2" borderId="2" xfId="2" applyNumberFormat="1" applyFont="1" applyFill="1" applyBorder="1" applyAlignment="1">
      <alignment horizontal="center" vertical="center" readingOrder="1"/>
    </xf>
    <xf numFmtId="167" fontId="24" fillId="6" borderId="2" xfId="2" applyNumberFormat="1" applyFont="1" applyFill="1" applyBorder="1" applyAlignment="1">
      <alignment horizontal="center" vertical="center" readingOrder="1"/>
    </xf>
    <xf numFmtId="167" fontId="10" fillId="3" borderId="2" xfId="1" applyNumberFormat="1" applyFont="1" applyFill="1" applyBorder="1" applyAlignment="1">
      <alignment horizontal="center" vertical="center" readingOrder="1"/>
    </xf>
    <xf numFmtId="167" fontId="16" fillId="2" borderId="2" xfId="1" applyNumberFormat="1" applyFont="1" applyFill="1" applyBorder="1" applyAlignment="1">
      <alignment horizontal="center" vertical="center" readingOrder="1"/>
    </xf>
    <xf numFmtId="167" fontId="25" fillId="6" borderId="2" xfId="1" applyNumberFormat="1" applyFont="1" applyFill="1" applyBorder="1" applyAlignment="1">
      <alignment horizontal="center" vertical="center" readingOrder="1"/>
    </xf>
    <xf numFmtId="1" fontId="5" fillId="9" borderId="2" xfId="0" applyNumberFormat="1" applyFont="1" applyFill="1" applyBorder="1" applyAlignment="1">
      <alignment horizontal="center" vertical="center" readingOrder="1"/>
    </xf>
    <xf numFmtId="164" fontId="42" fillId="0" borderId="0" xfId="0" applyNumberFormat="1" applyFont="1" applyAlignment="1">
      <alignment horizontal="center" vertical="center"/>
    </xf>
    <xf numFmtId="164" fontId="8" fillId="0" borderId="0" xfId="0" applyNumberFormat="1" applyFont="1" applyAlignment="1">
      <alignment horizontal="center" vertical="center"/>
    </xf>
    <xf numFmtId="9" fontId="15" fillId="2" borderId="2" xfId="3" applyFont="1" applyFill="1" applyBorder="1" applyAlignment="1">
      <alignment horizontal="center" vertical="center"/>
    </xf>
    <xf numFmtId="164" fontId="10" fillId="0" borderId="0" xfId="0" applyNumberFormat="1" applyFont="1" applyAlignment="1">
      <alignment horizontal="center" vertical="center"/>
    </xf>
    <xf numFmtId="171" fontId="15" fillId="2" borderId="2" xfId="3" applyNumberFormat="1" applyFont="1" applyFill="1" applyBorder="1" applyAlignment="1">
      <alignment horizontal="center" vertical="center"/>
    </xf>
    <xf numFmtId="171" fontId="16" fillId="2" borderId="2" xfId="3" applyNumberFormat="1" applyFont="1" applyFill="1" applyBorder="1" applyAlignment="1">
      <alignment horizontal="center" vertical="center"/>
    </xf>
    <xf numFmtId="3" fontId="16" fillId="2" borderId="2" xfId="2" applyNumberFormat="1" applyFont="1" applyFill="1" applyBorder="1" applyAlignment="1">
      <alignment horizontal="center" vertical="center"/>
    </xf>
    <xf numFmtId="9" fontId="16" fillId="2" borderId="2" xfId="3" applyFont="1" applyFill="1" applyBorder="1" applyAlignment="1">
      <alignment horizontal="center" vertical="center"/>
    </xf>
    <xf numFmtId="171" fontId="41" fillId="2" borderId="2" xfId="3" applyNumberFormat="1" applyFont="1" applyFill="1" applyBorder="1" applyAlignment="1">
      <alignment horizontal="center" vertical="center"/>
    </xf>
    <xf numFmtId="171" fontId="44" fillId="2" borderId="2" xfId="3" applyNumberFormat="1" applyFont="1" applyFill="1" applyBorder="1" applyAlignment="1">
      <alignment horizontal="center" vertical="center"/>
    </xf>
    <xf numFmtId="165" fontId="42" fillId="0" borderId="0" xfId="2" applyFont="1" applyFill="1" applyAlignment="1">
      <alignment horizontal="center" vertical="center"/>
    </xf>
    <xf numFmtId="171" fontId="15" fillId="2" borderId="2" xfId="14" applyNumberFormat="1" applyFont="1" applyFill="1" applyBorder="1" applyAlignment="1">
      <alignment horizontal="center" vertical="center" readingOrder="1"/>
    </xf>
    <xf numFmtId="3" fontId="15" fillId="2" borderId="2" xfId="14" applyNumberFormat="1" applyFont="1" applyFill="1" applyBorder="1" applyAlignment="1">
      <alignment horizontal="center" vertical="center" readingOrder="1"/>
    </xf>
    <xf numFmtId="171" fontId="16" fillId="2" borderId="2" xfId="14" applyNumberFormat="1" applyFont="1" applyFill="1" applyBorder="1" applyAlignment="1">
      <alignment horizontal="center" vertical="center" readingOrder="1"/>
    </xf>
    <xf numFmtId="3" fontId="16" fillId="2" borderId="2" xfId="14" applyNumberFormat="1" applyFont="1" applyFill="1" applyBorder="1" applyAlignment="1">
      <alignment horizontal="center" vertical="center" readingOrder="1"/>
    </xf>
    <xf numFmtId="167" fontId="8" fillId="3" borderId="2" xfId="1" applyNumberFormat="1" applyFont="1" applyFill="1" applyBorder="1" applyAlignment="1">
      <alignment horizontal="center" vertical="center" readingOrder="1"/>
    </xf>
    <xf numFmtId="9" fontId="10" fillId="2" borderId="2" xfId="3" applyFont="1" applyFill="1" applyBorder="1" applyAlignment="1">
      <alignment horizontal="center" vertical="center" readingOrder="1"/>
    </xf>
    <xf numFmtId="175" fontId="15" fillId="2" borderId="2" xfId="3" applyNumberFormat="1" applyFont="1" applyFill="1" applyBorder="1" applyAlignment="1">
      <alignment horizontal="center" vertical="center"/>
    </xf>
    <xf numFmtId="171" fontId="55" fillId="9" borderId="2" xfId="3" applyNumberFormat="1" applyFont="1" applyFill="1" applyBorder="1" applyAlignment="1">
      <alignment horizontal="center" vertical="center" readingOrder="1"/>
    </xf>
    <xf numFmtId="1" fontId="14" fillId="9" borderId="2" xfId="0" applyNumberFormat="1" applyFont="1" applyFill="1" applyBorder="1" applyAlignment="1">
      <alignment horizontal="center" vertical="center" readingOrder="1"/>
    </xf>
    <xf numFmtId="0" fontId="26" fillId="9" borderId="2" xfId="0" applyFont="1" applyFill="1" applyBorder="1" applyAlignment="1">
      <alignment horizontal="right" vertical="center" wrapText="1" indent="1"/>
    </xf>
    <xf numFmtId="3" fontId="56" fillId="3" borderId="2" xfId="5" applyNumberFormat="1" applyFont="1" applyFill="1" applyBorder="1" applyAlignment="1">
      <alignment horizontal="center" vertical="center" readingOrder="1"/>
    </xf>
    <xf numFmtId="171" fontId="57" fillId="9" borderId="2" xfId="3" applyNumberFormat="1" applyFont="1" applyFill="1" applyBorder="1" applyAlignment="1">
      <alignment horizontal="center" vertical="center" readingOrder="1"/>
    </xf>
    <xf numFmtId="171" fontId="58" fillId="9" borderId="2" xfId="3" applyNumberFormat="1" applyFont="1" applyFill="1" applyBorder="1" applyAlignment="1">
      <alignment horizontal="center" vertical="center" readingOrder="1"/>
    </xf>
    <xf numFmtId="171" fontId="59" fillId="2" borderId="2" xfId="3" applyNumberFormat="1" applyFont="1" applyFill="1" applyBorder="1" applyAlignment="1">
      <alignment horizontal="center" vertical="center" readingOrder="1"/>
    </xf>
    <xf numFmtId="176" fontId="6" fillId="14" borderId="2" xfId="0" applyNumberFormat="1" applyFont="1" applyFill="1" applyBorder="1" applyAlignment="1">
      <alignment horizontal="center" vertical="center"/>
    </xf>
    <xf numFmtId="176" fontId="10" fillId="0" borderId="0" xfId="0" applyNumberFormat="1" applyFont="1" applyAlignment="1">
      <alignment horizontal="center" vertical="center"/>
    </xf>
    <xf numFmtId="3" fontId="15" fillId="2" borderId="2" xfId="2" applyNumberFormat="1" applyFont="1" applyFill="1" applyBorder="1" applyAlignment="1">
      <alignment horizontal="center" vertical="center" readingOrder="2"/>
    </xf>
    <xf numFmtId="171" fontId="16" fillId="2" borderId="2" xfId="2" applyNumberFormat="1" applyFont="1" applyFill="1" applyBorder="1" applyAlignment="1">
      <alignment horizontal="center" vertical="center" readingOrder="2"/>
    </xf>
    <xf numFmtId="3" fontId="16" fillId="2" borderId="2" xfId="2" applyNumberFormat="1" applyFont="1" applyFill="1" applyBorder="1" applyAlignment="1">
      <alignment horizontal="center" vertical="center" readingOrder="2"/>
    </xf>
    <xf numFmtId="175" fontId="15" fillId="2" borderId="2" xfId="3" applyNumberFormat="1" applyFont="1" applyFill="1" applyBorder="1" applyAlignment="1">
      <alignment horizontal="center" vertical="center" readingOrder="2"/>
    </xf>
    <xf numFmtId="0" fontId="2" fillId="0" borderId="0" xfId="15" applyFont="1" applyAlignment="1">
      <alignment horizontal="center" vertical="center" readingOrder="2"/>
    </xf>
    <xf numFmtId="0" fontId="6" fillId="0" borderId="0" xfId="15" applyFont="1" applyAlignment="1">
      <alignment horizontal="center" vertical="center" readingOrder="2"/>
    </xf>
    <xf numFmtId="0" fontId="63" fillId="0" borderId="102" xfId="15" applyFont="1" applyBorder="1" applyAlignment="1">
      <alignment horizontal="center" vertical="center" wrapText="1" readingOrder="2"/>
    </xf>
    <xf numFmtId="0" fontId="6" fillId="0" borderId="0" xfId="15" applyFont="1" applyAlignment="1">
      <alignment horizontal="center" vertical="center" wrapText="1" readingOrder="2"/>
    </xf>
    <xf numFmtId="0" fontId="6" fillId="0" borderId="116" xfId="15" applyFont="1" applyBorder="1" applyAlignment="1">
      <alignment horizontal="center" vertical="center" readingOrder="2"/>
    </xf>
    <xf numFmtId="0" fontId="65" fillId="0" borderId="0" xfId="15" applyFont="1" applyAlignment="1">
      <alignment horizontal="right" vertical="center" readingOrder="2"/>
    </xf>
    <xf numFmtId="0" fontId="6" fillId="0" borderId="0" xfId="15" applyFont="1" applyAlignment="1">
      <alignment horizontal="right" vertical="center" readingOrder="2"/>
    </xf>
    <xf numFmtId="0" fontId="6" fillId="0" borderId="125" xfId="15" applyFont="1" applyBorder="1" applyAlignment="1">
      <alignment horizontal="center" vertical="center" readingOrder="2"/>
    </xf>
    <xf numFmtId="0" fontId="2" fillId="0" borderId="0" xfId="15" applyFont="1" applyAlignment="1">
      <alignment horizontal="right" vertical="center" readingOrder="2"/>
    </xf>
    <xf numFmtId="178" fontId="52" fillId="10" borderId="0" xfId="16" applyNumberFormat="1" applyFont="1" applyFill="1" applyAlignment="1">
      <alignment horizontal="center" vertical="center" readingOrder="2"/>
    </xf>
    <xf numFmtId="0" fontId="66" fillId="10" borderId="0" xfId="15" applyFont="1" applyFill="1" applyAlignment="1">
      <alignment horizontal="center" vertical="center" wrapText="1" readingOrder="2"/>
    </xf>
    <xf numFmtId="3" fontId="2" fillId="0" borderId="0" xfId="15" applyNumberFormat="1" applyFont="1" applyAlignment="1">
      <alignment horizontal="center" vertical="center" readingOrder="2"/>
    </xf>
    <xf numFmtId="3" fontId="6" fillId="0" borderId="0" xfId="15" applyNumberFormat="1" applyFont="1" applyAlignment="1">
      <alignment horizontal="center" vertical="center"/>
    </xf>
    <xf numFmtId="3" fontId="52" fillId="0" borderId="0" xfId="15" applyNumberFormat="1" applyFont="1" applyAlignment="1">
      <alignment horizontal="center" vertical="center" readingOrder="2"/>
    </xf>
    <xf numFmtId="0" fontId="6" fillId="0" borderId="139" xfId="15" applyFont="1" applyBorder="1" applyAlignment="1">
      <alignment horizontal="center" vertical="center" readingOrder="2"/>
    </xf>
    <xf numFmtId="3" fontId="22" fillId="0" borderId="0" xfId="15" applyNumberFormat="1" applyFont="1" applyAlignment="1">
      <alignment horizontal="center" vertical="center" readingOrder="2"/>
    </xf>
    <xf numFmtId="3" fontId="67" fillId="0" borderId="0" xfId="15" applyNumberFormat="1" applyFont="1" applyAlignment="1">
      <alignment horizontal="center" vertical="center" readingOrder="2"/>
    </xf>
    <xf numFmtId="3" fontId="6" fillId="0" borderId="0" xfId="15" applyNumberFormat="1" applyFont="1" applyAlignment="1">
      <alignment horizontal="center" vertical="center" readingOrder="2"/>
    </xf>
    <xf numFmtId="3" fontId="62" fillId="0" borderId="0" xfId="15" applyNumberFormat="1" applyFont="1" applyAlignment="1">
      <alignment horizontal="center" vertical="center" readingOrder="2"/>
    </xf>
    <xf numFmtId="3" fontId="68" fillId="0" borderId="0" xfId="15" applyNumberFormat="1" applyFont="1" applyAlignment="1">
      <alignment horizontal="center" vertical="center" readingOrder="2"/>
    </xf>
    <xf numFmtId="0" fontId="62" fillId="0" borderId="0" xfId="15" applyFont="1" applyAlignment="1">
      <alignment horizontal="center" vertical="center" readingOrder="2"/>
    </xf>
    <xf numFmtId="3" fontId="7" fillId="0" borderId="0" xfId="15" applyNumberFormat="1" applyFont="1" applyAlignment="1">
      <alignment horizontal="center" vertical="center" readingOrder="2"/>
    </xf>
    <xf numFmtId="3" fontId="6" fillId="0" borderId="0" xfId="15" applyNumberFormat="1" applyFont="1" applyAlignment="1">
      <alignment horizontal="center" vertical="center" wrapText="1" readingOrder="2"/>
    </xf>
    <xf numFmtId="0" fontId="0" fillId="0" borderId="0" xfId="0" applyAlignment="1">
      <alignment shrinkToFit="1"/>
    </xf>
    <xf numFmtId="0" fontId="99" fillId="0" borderId="214" xfId="0" applyFont="1" applyBorder="1" applyAlignment="1">
      <alignment horizontal="center" vertical="center" shrinkToFit="1" readingOrder="2"/>
    </xf>
    <xf numFmtId="0" fontId="99" fillId="0" borderId="214" xfId="0" applyFont="1" applyBorder="1" applyAlignment="1">
      <alignment vertical="center" shrinkToFit="1" readingOrder="2"/>
    </xf>
    <xf numFmtId="0" fontId="104" fillId="0" borderId="214" xfId="0" applyFont="1" applyBorder="1" applyAlignment="1">
      <alignment horizontal="center" vertical="center" shrinkToFit="1"/>
    </xf>
    <xf numFmtId="0" fontId="104" fillId="0" borderId="0" xfId="0" applyFont="1" applyAlignment="1">
      <alignment horizontal="center" vertical="center" shrinkToFit="1"/>
    </xf>
    <xf numFmtId="0" fontId="105" fillId="13" borderId="214" xfId="0" applyFont="1" applyFill="1" applyBorder="1" applyAlignment="1">
      <alignment horizontal="center" vertical="center" shrinkToFit="1"/>
    </xf>
    <xf numFmtId="0" fontId="105" fillId="13" borderId="214" xfId="0" applyFont="1" applyFill="1" applyBorder="1" applyAlignment="1">
      <alignment horizontal="center" vertical="center" wrapText="1" shrinkToFit="1"/>
    </xf>
    <xf numFmtId="0" fontId="106" fillId="13" borderId="214" xfId="0" applyFont="1" applyFill="1" applyBorder="1" applyAlignment="1">
      <alignment horizontal="center" vertical="center" wrapText="1" shrinkToFit="1"/>
    </xf>
    <xf numFmtId="0" fontId="104" fillId="0" borderId="0" xfId="0" applyFont="1" applyAlignment="1">
      <alignment horizontal="center" vertical="center" wrapText="1" shrinkToFit="1"/>
    </xf>
    <xf numFmtId="0" fontId="109" fillId="0" borderId="214" xfId="0" applyFont="1" applyBorder="1" applyAlignment="1">
      <alignment horizontal="center" vertical="center" shrinkToFit="1"/>
    </xf>
    <xf numFmtId="0" fontId="109" fillId="0" borderId="214" xfId="0" quotePrefix="1" applyFont="1" applyBorder="1" applyAlignment="1">
      <alignment horizontal="center" vertical="center" wrapText="1" shrinkToFit="1"/>
    </xf>
    <xf numFmtId="0" fontId="109" fillId="0" borderId="214" xfId="0" applyFont="1" applyBorder="1" applyAlignment="1">
      <alignment horizontal="center" vertical="center" wrapText="1" shrinkToFit="1"/>
    </xf>
    <xf numFmtId="167" fontId="26" fillId="3" borderId="2" xfId="2" applyNumberFormat="1" applyFont="1" applyFill="1" applyBorder="1" applyAlignment="1">
      <alignment horizontal="center" vertical="center" readingOrder="1"/>
    </xf>
    <xf numFmtId="1" fontId="45" fillId="9" borderId="2" xfId="0" applyNumberFormat="1" applyFont="1" applyFill="1" applyBorder="1" applyAlignment="1">
      <alignment horizontal="center" vertical="center" readingOrder="2"/>
    </xf>
    <xf numFmtId="0" fontId="113" fillId="0" borderId="221" xfId="0" applyFont="1" applyBorder="1" applyAlignment="1">
      <alignment horizontal="center" vertical="center" shrinkToFit="1" readingOrder="2"/>
    </xf>
    <xf numFmtId="0" fontId="113" fillId="0" borderId="221" xfId="0" applyFont="1" applyBorder="1" applyAlignment="1">
      <alignment vertical="center" shrinkToFit="1" readingOrder="2"/>
    </xf>
    <xf numFmtId="10" fontId="32" fillId="0" borderId="0" xfId="3" applyNumberFormat="1" applyFont="1" applyAlignment="1">
      <alignment horizontal="center" vertical="center"/>
    </xf>
    <xf numFmtId="177" fontId="6" fillId="16" borderId="232" xfId="15" applyNumberFormat="1" applyFont="1" applyFill="1" applyBorder="1" applyAlignment="1">
      <alignment vertical="center" readingOrder="2"/>
    </xf>
    <xf numFmtId="177" fontId="6" fillId="16" borderId="233" xfId="15" applyNumberFormat="1" applyFont="1" applyFill="1" applyBorder="1" applyAlignment="1">
      <alignment vertical="center" readingOrder="2"/>
    </xf>
    <xf numFmtId="177" fontId="6" fillId="16" borderId="234" xfId="15" applyNumberFormat="1" applyFont="1" applyFill="1" applyBorder="1" applyAlignment="1">
      <alignment vertical="center" readingOrder="2"/>
    </xf>
    <xf numFmtId="177" fontId="6" fillId="16" borderId="235" xfId="15" applyNumberFormat="1" applyFont="1" applyFill="1" applyBorder="1" applyAlignment="1">
      <alignment vertical="center" readingOrder="2"/>
    </xf>
    <xf numFmtId="177" fontId="62" fillId="2" borderId="127" xfId="15" applyNumberFormat="1" applyFont="1" applyFill="1" applyBorder="1" applyAlignment="1">
      <alignment vertical="center" readingOrder="2"/>
    </xf>
    <xf numFmtId="177" fontId="62" fillId="2" borderId="158" xfId="15" applyNumberFormat="1" applyFont="1" applyFill="1" applyBorder="1" applyAlignment="1">
      <alignment vertical="center" readingOrder="2"/>
    </xf>
    <xf numFmtId="3" fontId="62" fillId="0" borderId="187" xfId="15" applyNumberFormat="1" applyFont="1" applyBorder="1" applyAlignment="1">
      <alignment vertical="center" readingOrder="2"/>
    </xf>
    <xf numFmtId="177" fontId="62" fillId="18" borderId="236" xfId="15" applyNumberFormat="1" applyFont="1" applyFill="1" applyBorder="1" applyAlignment="1">
      <alignment vertical="center" readingOrder="2"/>
    </xf>
    <xf numFmtId="177" fontId="62" fillId="18" borderId="127" xfId="15" applyNumberFormat="1" applyFont="1" applyFill="1" applyBorder="1" applyAlignment="1">
      <alignment vertical="center" readingOrder="2"/>
    </xf>
    <xf numFmtId="177" fontId="62" fillId="18" borderId="158" xfId="15" applyNumberFormat="1" applyFont="1" applyFill="1" applyBorder="1" applyAlignment="1">
      <alignment vertical="center" readingOrder="2"/>
    </xf>
    <xf numFmtId="0" fontId="42" fillId="9" borderId="2" xfId="0" applyFont="1" applyFill="1" applyBorder="1" applyAlignment="1">
      <alignment vertical="center" wrapText="1"/>
    </xf>
    <xf numFmtId="0" fontId="62" fillId="0" borderId="0" xfId="0" applyFont="1" applyAlignment="1">
      <alignment horizontal="right" vertical="center" indent="1" readingOrder="2"/>
    </xf>
    <xf numFmtId="10" fontId="39" fillId="3" borderId="2" xfId="3" applyNumberFormat="1" applyFont="1" applyFill="1" applyBorder="1" applyAlignment="1">
      <alignment horizontal="center" vertical="center"/>
    </xf>
    <xf numFmtId="171" fontId="26" fillId="3" borderId="2" xfId="14" applyNumberFormat="1" applyFont="1" applyFill="1" applyBorder="1" applyAlignment="1">
      <alignment horizontal="center" vertical="center" readingOrder="1"/>
    </xf>
    <xf numFmtId="171" fontId="27" fillId="3" borderId="2" xfId="14" applyNumberFormat="1" applyFont="1" applyFill="1" applyBorder="1" applyAlignment="1">
      <alignment horizontal="center" vertical="center" readingOrder="1"/>
    </xf>
    <xf numFmtId="10" fontId="43" fillId="3" borderId="2" xfId="3" applyNumberFormat="1" applyFont="1" applyFill="1" applyBorder="1" applyAlignment="1">
      <alignment horizontal="center" vertical="center"/>
    </xf>
    <xf numFmtId="171" fontId="43" fillId="3" borderId="2" xfId="3" applyNumberFormat="1" applyFont="1" applyFill="1" applyBorder="1" applyAlignment="1">
      <alignment horizontal="center" vertical="center"/>
    </xf>
    <xf numFmtId="171" fontId="58" fillId="3" borderId="2" xfId="3" applyNumberFormat="1" applyFont="1" applyFill="1" applyBorder="1" applyAlignment="1">
      <alignment horizontal="center" vertical="center" readingOrder="1"/>
    </xf>
    <xf numFmtId="0" fontId="43" fillId="3" borderId="2" xfId="3" applyNumberFormat="1" applyFont="1" applyFill="1" applyBorder="1" applyAlignment="1">
      <alignment horizontal="center" vertical="center"/>
    </xf>
    <xf numFmtId="3" fontId="26" fillId="3" borderId="2" xfId="14" applyNumberFormat="1" applyFont="1" applyFill="1" applyBorder="1" applyAlignment="1">
      <alignment horizontal="center" vertical="center" readingOrder="1"/>
    </xf>
    <xf numFmtId="3" fontId="39" fillId="3" borderId="2" xfId="1" applyNumberFormat="1" applyFont="1" applyFill="1" applyBorder="1" applyAlignment="1">
      <alignment horizontal="center" vertical="center"/>
    </xf>
    <xf numFmtId="3" fontId="27" fillId="3" borderId="2" xfId="14" applyNumberFormat="1" applyFont="1" applyFill="1" applyBorder="1" applyAlignment="1">
      <alignment horizontal="center" vertical="center" readingOrder="1"/>
    </xf>
    <xf numFmtId="3" fontId="43" fillId="3" borderId="2" xfId="1" applyNumberFormat="1" applyFont="1" applyFill="1" applyBorder="1" applyAlignment="1">
      <alignment horizontal="center" vertical="center"/>
    </xf>
    <xf numFmtId="3" fontId="58" fillId="3" borderId="2" xfId="1" applyNumberFormat="1" applyFont="1" applyFill="1" applyBorder="1" applyAlignment="1">
      <alignment horizontal="center" vertical="center"/>
    </xf>
    <xf numFmtId="3" fontId="120" fillId="3" borderId="0" xfId="0" applyNumberFormat="1" applyFont="1" applyFill="1" applyAlignment="1">
      <alignment horizontal="center" vertical="center"/>
    </xf>
    <xf numFmtId="9" fontId="7" fillId="2" borderId="2" xfId="3" applyFont="1" applyFill="1" applyBorder="1" applyAlignment="1">
      <alignment horizontal="center" vertical="center"/>
    </xf>
    <xf numFmtId="9" fontId="10" fillId="3" borderId="229" xfId="3" applyFont="1" applyFill="1" applyBorder="1" applyAlignment="1">
      <alignment horizontal="center" vertical="center"/>
    </xf>
    <xf numFmtId="9" fontId="10" fillId="3" borderId="221" xfId="3" applyFont="1" applyFill="1" applyBorder="1" applyAlignment="1">
      <alignment horizontal="center" vertical="center" readingOrder="1"/>
    </xf>
    <xf numFmtId="9" fontId="16" fillId="2" borderId="221" xfId="3" applyFont="1" applyFill="1" applyBorder="1" applyAlignment="1">
      <alignment horizontal="center" vertical="center"/>
    </xf>
    <xf numFmtId="9" fontId="16" fillId="2" borderId="4" xfId="3" applyFont="1" applyFill="1" applyBorder="1" applyAlignment="1">
      <alignment horizontal="center" vertical="center"/>
    </xf>
    <xf numFmtId="9" fontId="13" fillId="2" borderId="2" xfId="3" applyFont="1" applyFill="1" applyBorder="1" applyAlignment="1">
      <alignment horizontal="center" vertical="center"/>
    </xf>
    <xf numFmtId="9" fontId="44" fillId="2" borderId="2" xfId="5" applyFont="1" applyFill="1" applyBorder="1" applyAlignment="1">
      <alignment horizontal="center" vertical="center"/>
    </xf>
    <xf numFmtId="9" fontId="42" fillId="3" borderId="2" xfId="3" applyFont="1" applyFill="1" applyBorder="1" applyAlignment="1">
      <alignment horizontal="center" vertical="center" readingOrder="1"/>
    </xf>
    <xf numFmtId="10" fontId="44" fillId="2" borderId="2" xfId="5" applyNumberFormat="1" applyFont="1" applyFill="1" applyBorder="1" applyAlignment="1">
      <alignment horizontal="center" vertical="center"/>
    </xf>
    <xf numFmtId="10" fontId="44" fillId="2" borderId="221" xfId="14" applyNumberFormat="1" applyFont="1" applyFill="1" applyBorder="1" applyAlignment="1">
      <alignment horizontal="center" vertical="center"/>
    </xf>
    <xf numFmtId="10" fontId="44" fillId="2" borderId="2" xfId="14" applyNumberFormat="1" applyFont="1" applyFill="1" applyBorder="1" applyAlignment="1">
      <alignment horizontal="center" vertical="center"/>
    </xf>
    <xf numFmtId="10" fontId="31" fillId="2" borderId="2" xfId="14" applyNumberFormat="1" applyFont="1" applyFill="1" applyBorder="1" applyAlignment="1">
      <alignment horizontal="center" vertical="center"/>
    </xf>
    <xf numFmtId="9" fontId="4" fillId="3" borderId="2" xfId="3" applyFont="1" applyFill="1" applyBorder="1" applyAlignment="1">
      <alignment horizontal="center" vertical="center" readingOrder="1"/>
    </xf>
    <xf numFmtId="9" fontId="45" fillId="3" borderId="2" xfId="3" applyFont="1" applyFill="1" applyBorder="1" applyAlignment="1">
      <alignment horizontal="center" vertical="center" readingOrder="1"/>
    </xf>
    <xf numFmtId="9" fontId="27" fillId="3" borderId="2" xfId="2" applyNumberFormat="1" applyFont="1" applyFill="1" applyBorder="1" applyAlignment="1">
      <alignment horizontal="center" vertical="center" readingOrder="2"/>
    </xf>
    <xf numFmtId="9" fontId="16" fillId="2" borderId="2" xfId="2" applyNumberFormat="1" applyFont="1" applyFill="1" applyBorder="1" applyAlignment="1">
      <alignment horizontal="center" vertical="center" readingOrder="2"/>
    </xf>
    <xf numFmtId="9" fontId="16" fillId="2" borderId="2" xfId="1" applyNumberFormat="1" applyFont="1" applyFill="1" applyBorder="1" applyAlignment="1">
      <alignment horizontal="center" vertical="center" readingOrder="2"/>
    </xf>
    <xf numFmtId="177" fontId="2" fillId="0" borderId="0" xfId="15" applyNumberFormat="1" applyFont="1" applyAlignment="1">
      <alignment horizontal="center" vertical="center" readingOrder="2"/>
    </xf>
    <xf numFmtId="3" fontId="23" fillId="0" borderId="0" xfId="0" applyNumberFormat="1" applyFont="1" applyAlignment="1">
      <alignment vertical="center"/>
    </xf>
    <xf numFmtId="3" fontId="23" fillId="0" borderId="0" xfId="0" applyNumberFormat="1" applyFont="1" applyAlignment="1">
      <alignment vertical="top" wrapText="1"/>
    </xf>
    <xf numFmtId="3" fontId="119" fillId="0" borderId="0" xfId="0" applyNumberFormat="1" applyFont="1" applyAlignment="1">
      <alignment horizontal="center" vertical="center"/>
    </xf>
    <xf numFmtId="3" fontId="26" fillId="0" borderId="58" xfId="0" applyNumberFormat="1" applyFont="1" applyBorder="1" applyAlignment="1">
      <alignment horizontal="center" vertical="center"/>
    </xf>
    <xf numFmtId="0" fontId="42" fillId="10" borderId="0" xfId="0" applyFont="1" applyFill="1" applyAlignment="1">
      <alignment horizontal="center" vertical="center"/>
    </xf>
    <xf numFmtId="0" fontId="10" fillId="10" borderId="0" xfId="0" applyFont="1" applyFill="1" applyAlignment="1">
      <alignment horizontal="center" vertical="center"/>
    </xf>
    <xf numFmtId="3" fontId="42" fillId="10" borderId="0" xfId="0" applyNumberFormat="1" applyFont="1" applyFill="1" applyAlignment="1">
      <alignment horizontal="center" vertical="center"/>
    </xf>
    <xf numFmtId="169" fontId="8" fillId="0" borderId="0" xfId="1" applyNumberFormat="1" applyFont="1" applyAlignment="1">
      <alignment horizontal="center" vertical="center"/>
    </xf>
    <xf numFmtId="9" fontId="11" fillId="3" borderId="2" xfId="3" applyFont="1" applyFill="1" applyBorder="1" applyAlignment="1">
      <alignment horizontal="center" vertical="center" readingOrder="1"/>
    </xf>
    <xf numFmtId="9" fontId="14" fillId="3" borderId="2" xfId="3" applyFont="1" applyFill="1" applyBorder="1" applyAlignment="1">
      <alignment horizontal="center" vertical="center" readingOrder="1"/>
    </xf>
    <xf numFmtId="0" fontId="8" fillId="9" borderId="2" xfId="0" applyFont="1" applyFill="1" applyBorder="1" applyAlignment="1">
      <alignment horizontal="right" vertical="center" wrapText="1" indent="3"/>
    </xf>
    <xf numFmtId="10" fontId="26" fillId="3" borderId="2" xfId="3" applyNumberFormat="1" applyFont="1" applyFill="1" applyBorder="1" applyAlignment="1">
      <alignment horizontal="center" vertical="center"/>
    </xf>
    <xf numFmtId="3" fontId="26" fillId="3" borderId="2" xfId="1" applyNumberFormat="1" applyFont="1" applyFill="1" applyBorder="1" applyAlignment="1">
      <alignment horizontal="center" vertical="center"/>
    </xf>
    <xf numFmtId="10" fontId="15" fillId="2" borderId="2" xfId="14" applyNumberFormat="1" applyFont="1" applyFill="1" applyBorder="1" applyAlignment="1">
      <alignment horizontal="center" vertical="center"/>
    </xf>
    <xf numFmtId="166" fontId="10" fillId="0" borderId="0" xfId="0" applyNumberFormat="1" applyFont="1" applyAlignment="1">
      <alignment vertical="top"/>
    </xf>
    <xf numFmtId="169" fontId="121" fillId="0" borderId="0" xfId="1" applyNumberFormat="1" applyFont="1" applyAlignment="1">
      <alignment horizontal="center" vertical="center"/>
    </xf>
    <xf numFmtId="178" fontId="18" fillId="0" borderId="0" xfId="1" applyNumberFormat="1" applyFont="1" applyAlignment="1">
      <alignment horizontal="center" vertical="center"/>
    </xf>
    <xf numFmtId="0" fontId="5" fillId="0" borderId="0" xfId="0" applyFont="1" applyAlignment="1">
      <alignment vertical="center" readingOrder="2"/>
    </xf>
    <xf numFmtId="10" fontId="42" fillId="3" borderId="2" xfId="3" applyNumberFormat="1" applyFont="1" applyFill="1" applyBorder="1" applyAlignment="1">
      <alignment horizontal="center" vertical="center" readingOrder="1"/>
    </xf>
    <xf numFmtId="10" fontId="14" fillId="3" borderId="2" xfId="3" applyNumberFormat="1" applyFont="1" applyFill="1" applyBorder="1" applyAlignment="1">
      <alignment horizontal="center" vertical="center" readingOrder="1"/>
    </xf>
    <xf numFmtId="0" fontId="8" fillId="0" borderId="37" xfId="0" applyFont="1" applyBorder="1" applyAlignment="1">
      <alignment vertical="center" wrapText="1" readingOrder="2"/>
    </xf>
    <xf numFmtId="0" fontId="8" fillId="0" borderId="145" xfId="0" applyFont="1" applyBorder="1" applyAlignment="1">
      <alignment vertical="center" wrapText="1" readingOrder="2"/>
    </xf>
    <xf numFmtId="0" fontId="8" fillId="0" borderId="146" xfId="0" applyFont="1" applyBorder="1" applyAlignment="1">
      <alignment vertical="center" wrapText="1" readingOrder="2"/>
    </xf>
    <xf numFmtId="0" fontId="5" fillId="4" borderId="2" xfId="0" applyFont="1" applyFill="1" applyBorder="1" applyAlignment="1">
      <alignment horizontal="center" vertical="center" wrapText="1" readingOrder="2"/>
    </xf>
    <xf numFmtId="0" fontId="5" fillId="5" borderId="2" xfId="0" applyFont="1" applyFill="1" applyBorder="1" applyAlignment="1">
      <alignment horizontal="center" vertical="center" wrapText="1" readingOrder="2"/>
    </xf>
    <xf numFmtId="0" fontId="5" fillId="8" borderId="2" xfId="0" applyFont="1" applyFill="1" applyBorder="1" applyAlignment="1">
      <alignment vertical="center" wrapText="1" readingOrder="2"/>
    </xf>
    <xf numFmtId="0" fontId="5" fillId="43" borderId="2" xfId="0" applyFont="1" applyFill="1" applyBorder="1" applyAlignment="1">
      <alignment horizontal="center" vertical="center" wrapText="1" readingOrder="2"/>
    </xf>
    <xf numFmtId="171" fontId="8" fillId="43" borderId="2" xfId="3" applyNumberFormat="1" applyFont="1" applyFill="1" applyBorder="1" applyAlignment="1">
      <alignment horizontal="center" vertical="center"/>
    </xf>
    <xf numFmtId="3" fontId="8" fillId="43" borderId="2" xfId="5" applyNumberFormat="1" applyFont="1" applyFill="1" applyBorder="1" applyAlignment="1">
      <alignment horizontal="center" vertical="center"/>
    </xf>
    <xf numFmtId="9" fontId="10" fillId="43" borderId="229" xfId="3" applyFont="1" applyFill="1" applyBorder="1" applyAlignment="1">
      <alignment horizontal="center" vertical="center"/>
    </xf>
    <xf numFmtId="171" fontId="10" fillId="43" borderId="2" xfId="3" applyNumberFormat="1" applyFont="1" applyFill="1" applyBorder="1" applyAlignment="1">
      <alignment horizontal="center" vertical="center"/>
    </xf>
    <xf numFmtId="3" fontId="10" fillId="43" borderId="2" xfId="5" applyNumberFormat="1" applyFont="1" applyFill="1" applyBorder="1" applyAlignment="1">
      <alignment horizontal="center" vertical="center"/>
    </xf>
    <xf numFmtId="0" fontId="6" fillId="43" borderId="0" xfId="0" applyFont="1" applyFill="1" applyAlignment="1">
      <alignment horizontal="right" vertical="center" indent="1" readingOrder="2"/>
    </xf>
    <xf numFmtId="0" fontId="62" fillId="43" borderId="0" xfId="0" applyFont="1" applyFill="1" applyAlignment="1">
      <alignment horizontal="right" vertical="center" indent="1" readingOrder="2"/>
    </xf>
    <xf numFmtId="3" fontId="23" fillId="43" borderId="0" xfId="0" applyNumberFormat="1" applyFont="1" applyFill="1" applyAlignment="1">
      <alignment vertical="center"/>
    </xf>
    <xf numFmtId="3" fontId="23" fillId="43" borderId="0" xfId="0" applyNumberFormat="1" applyFont="1" applyFill="1" applyAlignment="1">
      <alignment vertical="top" wrapText="1"/>
    </xf>
    <xf numFmtId="10" fontId="39" fillId="43" borderId="2" xfId="3" applyNumberFormat="1" applyFont="1" applyFill="1" applyBorder="1" applyAlignment="1">
      <alignment horizontal="center" vertical="center"/>
    </xf>
    <xf numFmtId="3" fontId="39" fillId="43" borderId="2" xfId="1" applyNumberFormat="1" applyFont="1" applyFill="1" applyBorder="1" applyAlignment="1">
      <alignment horizontal="center" vertical="center"/>
    </xf>
    <xf numFmtId="9" fontId="8" fillId="43" borderId="2" xfId="3" applyFont="1" applyFill="1" applyBorder="1" applyAlignment="1">
      <alignment horizontal="center" vertical="center" readingOrder="1"/>
    </xf>
    <xf numFmtId="171" fontId="26" fillId="43" borderId="2" xfId="14" applyNumberFormat="1" applyFont="1" applyFill="1" applyBorder="1" applyAlignment="1">
      <alignment horizontal="center" vertical="center" readingOrder="1"/>
    </xf>
    <xf numFmtId="3" fontId="26" fillId="43" borderId="2" xfId="14" applyNumberFormat="1" applyFont="1" applyFill="1" applyBorder="1" applyAlignment="1">
      <alignment horizontal="center" vertical="center" readingOrder="1"/>
    </xf>
    <xf numFmtId="9" fontId="10" fillId="43" borderId="2" xfId="3" applyFont="1" applyFill="1" applyBorder="1" applyAlignment="1">
      <alignment horizontal="center" vertical="center" readingOrder="1"/>
    </xf>
    <xf numFmtId="171" fontId="27" fillId="43" borderId="2" xfId="14" applyNumberFormat="1" applyFont="1" applyFill="1" applyBorder="1" applyAlignment="1">
      <alignment horizontal="center" vertical="center" readingOrder="1"/>
    </xf>
    <xf numFmtId="3" fontId="27" fillId="43" borderId="2" xfId="14" applyNumberFormat="1" applyFont="1" applyFill="1" applyBorder="1" applyAlignment="1">
      <alignment horizontal="center" vertical="center" readingOrder="1"/>
    </xf>
    <xf numFmtId="9" fontId="42" fillId="43" borderId="2" xfId="3" applyFont="1" applyFill="1" applyBorder="1" applyAlignment="1">
      <alignment horizontal="center" vertical="center" readingOrder="1"/>
    </xf>
    <xf numFmtId="10" fontId="43" fillId="43" borderId="2" xfId="3" applyNumberFormat="1" applyFont="1" applyFill="1" applyBorder="1" applyAlignment="1">
      <alignment horizontal="center" vertical="center"/>
    </xf>
    <xf numFmtId="3" fontId="43" fillId="43" borderId="2" xfId="1" applyNumberFormat="1" applyFont="1" applyFill="1" applyBorder="1" applyAlignment="1">
      <alignment horizontal="center" vertical="center"/>
    </xf>
    <xf numFmtId="9" fontId="4" fillId="43" borderId="2" xfId="3" applyFont="1" applyFill="1" applyBorder="1" applyAlignment="1">
      <alignment horizontal="center" vertical="center" readingOrder="1"/>
    </xf>
    <xf numFmtId="9" fontId="45" fillId="43" borderId="2" xfId="3" applyFont="1" applyFill="1" applyBorder="1" applyAlignment="1">
      <alignment horizontal="center" vertical="center" readingOrder="1"/>
    </xf>
    <xf numFmtId="10" fontId="42" fillId="43" borderId="2" xfId="3" applyNumberFormat="1" applyFont="1" applyFill="1" applyBorder="1" applyAlignment="1">
      <alignment horizontal="center" vertical="center" readingOrder="1"/>
    </xf>
    <xf numFmtId="171" fontId="43" fillId="43" borderId="2" xfId="3" applyNumberFormat="1" applyFont="1" applyFill="1" applyBorder="1" applyAlignment="1">
      <alignment horizontal="center" vertical="center"/>
    </xf>
    <xf numFmtId="171" fontId="58" fillId="43" borderId="2" xfId="3" applyNumberFormat="1" applyFont="1" applyFill="1" applyBorder="1" applyAlignment="1">
      <alignment horizontal="center" vertical="center" readingOrder="1"/>
    </xf>
    <xf numFmtId="10" fontId="26" fillId="43" borderId="2" xfId="3" applyNumberFormat="1" applyFont="1" applyFill="1" applyBorder="1" applyAlignment="1">
      <alignment horizontal="center" vertical="center"/>
    </xf>
    <xf numFmtId="3" fontId="26" fillId="43" borderId="2" xfId="1" applyNumberFormat="1" applyFont="1" applyFill="1" applyBorder="1" applyAlignment="1">
      <alignment horizontal="center" vertical="center"/>
    </xf>
    <xf numFmtId="3" fontId="58" fillId="43" borderId="2" xfId="1" applyNumberFormat="1" applyFont="1" applyFill="1" applyBorder="1" applyAlignment="1">
      <alignment horizontal="center" vertical="center"/>
    </xf>
    <xf numFmtId="0" fontId="43" fillId="43" borderId="2" xfId="3" applyNumberFormat="1" applyFont="1" applyFill="1" applyBorder="1" applyAlignment="1">
      <alignment horizontal="center" vertical="center"/>
    </xf>
    <xf numFmtId="9" fontId="2" fillId="43" borderId="0" xfId="0" applyNumberFormat="1" applyFont="1" applyFill="1" applyAlignment="1">
      <alignment horizontal="center" vertical="center"/>
    </xf>
    <xf numFmtId="0" fontId="22" fillId="43" borderId="0" xfId="0" applyFont="1" applyFill="1" applyAlignment="1">
      <alignment horizontal="center" vertical="center"/>
    </xf>
    <xf numFmtId="3" fontId="120" fillId="43" borderId="0" xfId="0" applyNumberFormat="1" applyFont="1" applyFill="1" applyAlignment="1">
      <alignment horizontal="center" vertical="center"/>
    </xf>
    <xf numFmtId="0" fontId="2" fillId="43" borderId="0" xfId="0" applyFont="1" applyFill="1" applyAlignment="1">
      <alignment horizontal="center" vertical="center"/>
    </xf>
    <xf numFmtId="3" fontId="8" fillId="43" borderId="0" xfId="0" applyNumberFormat="1" applyFont="1" applyFill="1" applyAlignment="1">
      <alignment horizontal="center" vertical="center"/>
    </xf>
    <xf numFmtId="3" fontId="8" fillId="43" borderId="0" xfId="0" applyNumberFormat="1" applyFont="1" applyFill="1" applyAlignment="1">
      <alignment horizontal="center" vertical="top" wrapText="1"/>
    </xf>
    <xf numFmtId="171" fontId="32" fillId="43" borderId="2" xfId="3" applyNumberFormat="1" applyFont="1" applyFill="1" applyBorder="1" applyAlignment="1">
      <alignment horizontal="center" vertical="center" readingOrder="1"/>
    </xf>
    <xf numFmtId="3" fontId="40" fillId="43" borderId="2" xfId="5" applyNumberFormat="1" applyFont="1" applyFill="1" applyBorder="1" applyAlignment="1">
      <alignment horizontal="center" vertical="center" readingOrder="1"/>
    </xf>
    <xf numFmtId="171" fontId="8" fillId="43" borderId="2" xfId="3" applyNumberFormat="1" applyFont="1" applyFill="1" applyBorder="1" applyAlignment="1">
      <alignment horizontal="center" vertical="center" readingOrder="1"/>
    </xf>
    <xf numFmtId="3" fontId="28" fillId="43" borderId="2" xfId="5" applyNumberFormat="1" applyFont="1" applyFill="1" applyBorder="1" applyAlignment="1">
      <alignment horizontal="center" vertical="center" readingOrder="1"/>
    </xf>
    <xf numFmtId="171" fontId="10" fillId="43" borderId="2" xfId="3" applyNumberFormat="1" applyFont="1" applyFill="1" applyBorder="1" applyAlignment="1">
      <alignment horizontal="center" vertical="center" readingOrder="1"/>
    </xf>
    <xf numFmtId="3" fontId="29" fillId="43" borderId="2" xfId="5" applyNumberFormat="1" applyFont="1" applyFill="1" applyBorder="1" applyAlignment="1">
      <alignment horizontal="center" vertical="center" readingOrder="1"/>
    </xf>
    <xf numFmtId="171" fontId="42" fillId="43" borderId="2" xfId="3" applyNumberFormat="1" applyFont="1" applyFill="1" applyBorder="1" applyAlignment="1">
      <alignment horizontal="center" vertical="center" readingOrder="1"/>
    </xf>
    <xf numFmtId="3" fontId="42" fillId="43" borderId="2" xfId="5" applyNumberFormat="1" applyFont="1" applyFill="1" applyBorder="1" applyAlignment="1">
      <alignment horizontal="center" vertical="center" readingOrder="1"/>
    </xf>
    <xf numFmtId="9" fontId="14" fillId="43" borderId="2" xfId="3" applyFont="1" applyFill="1" applyBorder="1" applyAlignment="1">
      <alignment horizontal="center" vertical="center" readingOrder="1"/>
    </xf>
    <xf numFmtId="3" fontId="56" fillId="43" borderId="2" xfId="5" applyNumberFormat="1" applyFont="1" applyFill="1" applyBorder="1" applyAlignment="1">
      <alignment horizontal="center" vertical="center" readingOrder="1"/>
    </xf>
    <xf numFmtId="10" fontId="14" fillId="43" borderId="2" xfId="3" applyNumberFormat="1" applyFont="1" applyFill="1" applyBorder="1" applyAlignment="1">
      <alignment horizontal="center" vertical="center" readingOrder="1"/>
    </xf>
    <xf numFmtId="9" fontId="11" fillId="43" borderId="2" xfId="3" applyFont="1" applyFill="1" applyBorder="1" applyAlignment="1">
      <alignment horizontal="center" vertical="center" readingOrder="1"/>
    </xf>
    <xf numFmtId="3" fontId="11" fillId="43" borderId="0" xfId="0" applyNumberFormat="1" applyFont="1" applyFill="1" applyAlignment="1">
      <alignment horizontal="center" vertical="center"/>
    </xf>
    <xf numFmtId="3" fontId="5" fillId="43" borderId="0" xfId="0" applyNumberFormat="1" applyFont="1" applyFill="1" applyAlignment="1">
      <alignment horizontal="center" vertical="center"/>
    </xf>
    <xf numFmtId="3" fontId="5" fillId="43" borderId="0" xfId="0" applyNumberFormat="1" applyFont="1" applyFill="1" applyAlignment="1">
      <alignment horizontal="center" vertical="top" wrapText="1"/>
    </xf>
    <xf numFmtId="3" fontId="8" fillId="43" borderId="2" xfId="5" applyNumberFormat="1" applyFont="1" applyFill="1" applyBorder="1" applyAlignment="1">
      <alignment horizontal="center" vertical="center" readingOrder="1"/>
    </xf>
    <xf numFmtId="9" fontId="10" fillId="43" borderId="221" xfId="3" applyFont="1" applyFill="1" applyBorder="1" applyAlignment="1">
      <alignment horizontal="center" vertical="center" readingOrder="1"/>
    </xf>
    <xf numFmtId="3" fontId="10" fillId="43" borderId="2" xfId="5" applyNumberFormat="1" applyFont="1" applyFill="1" applyBorder="1" applyAlignment="1">
      <alignment horizontal="center" vertical="center" readingOrder="1"/>
    </xf>
    <xf numFmtId="0" fontId="2" fillId="43" borderId="0" xfId="0" applyFont="1" applyFill="1" applyAlignment="1">
      <alignment horizontal="center" vertical="center" wrapText="1"/>
    </xf>
    <xf numFmtId="0" fontId="2" fillId="43" borderId="0" xfId="0" applyFont="1" applyFill="1" applyAlignment="1">
      <alignment vertical="top" wrapText="1"/>
    </xf>
    <xf numFmtId="3" fontId="2" fillId="43" borderId="0" xfId="0" applyNumberFormat="1" applyFont="1" applyFill="1" applyAlignment="1">
      <alignment vertical="top" wrapText="1"/>
    </xf>
    <xf numFmtId="3" fontId="2" fillId="43" borderId="0" xfId="0" applyNumberFormat="1" applyFont="1" applyFill="1" applyAlignment="1">
      <alignment horizontal="center" vertical="center"/>
    </xf>
    <xf numFmtId="0" fontId="8" fillId="43" borderId="0" xfId="0" applyFont="1" applyFill="1" applyAlignment="1">
      <alignment horizontal="center" vertical="center"/>
    </xf>
    <xf numFmtId="0" fontId="8" fillId="43" borderId="0" xfId="0" applyFont="1" applyFill="1" applyAlignment="1">
      <alignment horizontal="center" vertical="top" wrapText="1"/>
    </xf>
    <xf numFmtId="9" fontId="2" fillId="43" borderId="0" xfId="3" applyFont="1" applyFill="1" applyAlignment="1">
      <alignment horizontal="center" vertical="center"/>
    </xf>
    <xf numFmtId="0" fontId="11" fillId="43" borderId="0" xfId="0" applyFont="1" applyFill="1" applyAlignment="1">
      <alignment horizontal="center" vertical="center"/>
    </xf>
    <xf numFmtId="9" fontId="26" fillId="43" borderId="2" xfId="3" applyFont="1" applyFill="1" applyBorder="1" applyAlignment="1">
      <alignment horizontal="center" vertical="center" readingOrder="2"/>
    </xf>
    <xf numFmtId="171" fontId="26" fillId="43" borderId="2" xfId="3" applyNumberFormat="1" applyFont="1" applyFill="1" applyBorder="1" applyAlignment="1">
      <alignment horizontal="center" vertical="center" readingOrder="2"/>
    </xf>
    <xf numFmtId="3" fontId="26" fillId="43" borderId="2" xfId="2" applyNumberFormat="1" applyFont="1" applyFill="1" applyBorder="1" applyAlignment="1">
      <alignment horizontal="center" vertical="center" readingOrder="2"/>
    </xf>
    <xf numFmtId="9" fontId="27" fillId="43" borderId="2" xfId="2" applyNumberFormat="1" applyFont="1" applyFill="1" applyBorder="1" applyAlignment="1">
      <alignment horizontal="center" vertical="center" readingOrder="2"/>
    </xf>
    <xf numFmtId="171" fontId="27" fillId="43" borderId="2" xfId="2" applyNumberFormat="1" applyFont="1" applyFill="1" applyBorder="1" applyAlignment="1">
      <alignment horizontal="center" vertical="center" readingOrder="2"/>
    </xf>
    <xf numFmtId="3" fontId="27" fillId="43" borderId="2" xfId="2" applyNumberFormat="1" applyFont="1" applyFill="1" applyBorder="1" applyAlignment="1">
      <alignment horizontal="center" vertical="center" readingOrder="2"/>
    </xf>
    <xf numFmtId="171" fontId="27" fillId="43" borderId="2" xfId="1" applyNumberFormat="1" applyFont="1" applyFill="1" applyBorder="1" applyAlignment="1">
      <alignment horizontal="center" vertical="center" readingOrder="2"/>
    </xf>
    <xf numFmtId="3" fontId="27" fillId="43" borderId="2" xfId="1" applyNumberFormat="1" applyFont="1" applyFill="1" applyBorder="1" applyAlignment="1">
      <alignment horizontal="center" vertical="center" readingOrder="2"/>
    </xf>
    <xf numFmtId="167" fontId="48" fillId="43" borderId="2" xfId="2" applyNumberFormat="1" applyFont="1" applyFill="1" applyBorder="1" applyAlignment="1">
      <alignment horizontal="center" vertical="center" readingOrder="1"/>
    </xf>
    <xf numFmtId="167" fontId="8" fillId="43" borderId="2" xfId="2" applyNumberFormat="1" applyFont="1" applyFill="1" applyBorder="1" applyAlignment="1">
      <alignment horizontal="center" vertical="center" readingOrder="1"/>
    </xf>
    <xf numFmtId="167" fontId="10" fillId="43" borderId="2" xfId="1" applyNumberFormat="1" applyFont="1" applyFill="1" applyBorder="1" applyAlignment="1">
      <alignment horizontal="center" vertical="center" readingOrder="1"/>
    </xf>
    <xf numFmtId="167" fontId="26" fillId="43" borderId="2" xfId="2" applyNumberFormat="1" applyFont="1" applyFill="1" applyBorder="1" applyAlignment="1">
      <alignment horizontal="center" vertical="center" readingOrder="1"/>
    </xf>
    <xf numFmtId="167" fontId="8" fillId="43" borderId="2" xfId="1" applyNumberFormat="1" applyFont="1" applyFill="1" applyBorder="1" applyAlignment="1">
      <alignment horizontal="center" vertical="center" readingOrder="1"/>
    </xf>
    <xf numFmtId="10" fontId="8" fillId="43" borderId="2" xfId="3" applyNumberFormat="1" applyFont="1" applyFill="1" applyBorder="1" applyAlignment="1">
      <alignment horizontal="center" vertical="center"/>
    </xf>
    <xf numFmtId="10" fontId="8" fillId="43" borderId="2" xfId="3" applyNumberFormat="1" applyFont="1" applyFill="1" applyBorder="1" applyAlignment="1">
      <alignment horizontal="center" vertical="center" readingOrder="1"/>
    </xf>
    <xf numFmtId="10" fontId="26" fillId="9" borderId="2" xfId="3" applyNumberFormat="1" applyFont="1" applyFill="1" applyBorder="1" applyAlignment="1">
      <alignment horizontal="center" vertical="center" readingOrder="1"/>
    </xf>
    <xf numFmtId="10" fontId="27" fillId="9" borderId="2" xfId="3" applyNumberFormat="1" applyFont="1" applyFill="1" applyBorder="1" applyAlignment="1">
      <alignment horizontal="center" vertical="center" readingOrder="1"/>
    </xf>
    <xf numFmtId="10" fontId="32" fillId="43" borderId="2" xfId="3" applyNumberFormat="1" applyFont="1" applyFill="1" applyBorder="1" applyAlignment="1">
      <alignment horizontal="center" vertical="center" readingOrder="1"/>
    </xf>
    <xf numFmtId="10" fontId="8" fillId="3" borderId="2" xfId="3" applyNumberFormat="1" applyFont="1" applyFill="1" applyBorder="1" applyAlignment="1">
      <alignment horizontal="center" vertical="center" readingOrder="1"/>
    </xf>
    <xf numFmtId="10" fontId="32" fillId="3" borderId="2" xfId="3" applyNumberFormat="1" applyFont="1" applyFill="1" applyBorder="1" applyAlignment="1">
      <alignment horizontal="center" vertical="center" readingOrder="1"/>
    </xf>
    <xf numFmtId="0" fontId="17" fillId="0" borderId="242" xfId="0" applyFont="1" applyBorder="1" applyAlignment="1">
      <alignment horizontal="center" vertical="center" readingOrder="2"/>
    </xf>
    <xf numFmtId="0" fontId="17" fillId="0" borderId="242" xfId="0" applyFont="1" applyBorder="1" applyAlignment="1">
      <alignment horizontal="center" vertical="center" wrapText="1" readingOrder="2"/>
    </xf>
    <xf numFmtId="167" fontId="48" fillId="0" borderId="242" xfId="2" applyNumberFormat="1" applyFont="1" applyFill="1" applyBorder="1" applyAlignment="1">
      <alignment horizontal="center" vertical="center" wrapText="1" readingOrder="1"/>
    </xf>
    <xf numFmtId="167" fontId="8" fillId="0" borderId="242" xfId="2" applyNumberFormat="1" applyFont="1" applyFill="1" applyBorder="1" applyAlignment="1">
      <alignment horizontal="center" vertical="center" wrapText="1" readingOrder="1"/>
    </xf>
    <xf numFmtId="0" fontId="8" fillId="0" borderId="242" xfId="0" applyFont="1" applyBorder="1" applyAlignment="1">
      <alignment horizontal="center" vertical="center" readingOrder="2"/>
    </xf>
    <xf numFmtId="3" fontId="8" fillId="0" borderId="242" xfId="1" applyNumberFormat="1" applyFont="1" applyFill="1" applyBorder="1" applyAlignment="1">
      <alignment horizontal="center" vertical="center" readingOrder="2"/>
    </xf>
    <xf numFmtId="4" fontId="8" fillId="0" borderId="242" xfId="1" applyNumberFormat="1" applyFont="1" applyFill="1" applyBorder="1" applyAlignment="1">
      <alignment horizontal="center" vertical="center" readingOrder="2"/>
    </xf>
    <xf numFmtId="167" fontId="8" fillId="0" borderId="242" xfId="2" applyNumberFormat="1" applyFont="1" applyFill="1" applyBorder="1" applyAlignment="1">
      <alignment horizontal="center" vertical="center" readingOrder="1"/>
    </xf>
    <xf numFmtId="167" fontId="10" fillId="0" borderId="242" xfId="1" applyNumberFormat="1" applyFont="1" applyFill="1" applyBorder="1" applyAlignment="1">
      <alignment horizontal="center" vertical="center" readingOrder="1"/>
    </xf>
    <xf numFmtId="0" fontId="10" fillId="0" borderId="242" xfId="0" applyFont="1" applyBorder="1" applyAlignment="1">
      <alignment horizontal="center" vertical="center" readingOrder="2"/>
    </xf>
    <xf numFmtId="3" fontId="10" fillId="0" borderId="242" xfId="1" applyNumberFormat="1" applyFont="1" applyFill="1" applyBorder="1" applyAlignment="1">
      <alignment horizontal="right" vertical="center" wrapText="1"/>
    </xf>
    <xf numFmtId="3" fontId="17" fillId="0" borderId="242" xfId="1" applyNumberFormat="1" applyFont="1" applyFill="1" applyBorder="1" applyAlignment="1">
      <alignment horizontal="center" vertical="center" readingOrder="2"/>
    </xf>
    <xf numFmtId="4" fontId="17" fillId="0" borderId="242" xfId="1" applyNumberFormat="1" applyFont="1" applyFill="1" applyBorder="1" applyAlignment="1">
      <alignment horizontal="center" vertical="center" readingOrder="2"/>
    </xf>
    <xf numFmtId="167" fontId="17" fillId="0" borderId="242" xfId="2" applyNumberFormat="1" applyFont="1" applyFill="1" applyBorder="1" applyAlignment="1">
      <alignment horizontal="center" vertical="center" readingOrder="1"/>
    </xf>
    <xf numFmtId="171" fontId="10" fillId="3" borderId="36" xfId="3" applyNumberFormat="1" applyFont="1" applyFill="1" applyBorder="1" applyAlignment="1">
      <alignment vertical="center" wrapText="1" readingOrder="1"/>
    </xf>
    <xf numFmtId="171" fontId="10" fillId="3" borderId="62" xfId="3" applyNumberFormat="1" applyFont="1" applyFill="1" applyBorder="1" applyAlignment="1">
      <alignment vertical="center" wrapText="1" readingOrder="1"/>
    </xf>
    <xf numFmtId="171" fontId="10" fillId="3" borderId="63" xfId="3" applyNumberFormat="1" applyFont="1" applyFill="1" applyBorder="1" applyAlignment="1">
      <alignment vertical="center" wrapText="1" readingOrder="1"/>
    </xf>
    <xf numFmtId="171" fontId="10" fillId="3" borderId="64" xfId="3" applyNumberFormat="1" applyFont="1" applyFill="1" applyBorder="1" applyAlignment="1">
      <alignment vertical="center" wrapText="1" readingOrder="1"/>
    </xf>
    <xf numFmtId="0" fontId="2" fillId="9" borderId="242" xfId="0" applyFont="1" applyFill="1" applyBorder="1" applyAlignment="1">
      <alignment horizontal="center" vertical="center"/>
    </xf>
    <xf numFmtId="0" fontId="10" fillId="9" borderId="242" xfId="0" applyFont="1" applyFill="1" applyBorder="1" applyAlignment="1">
      <alignment horizontal="center" vertical="center"/>
    </xf>
    <xf numFmtId="0" fontId="10" fillId="9" borderId="242" xfId="0" applyFont="1" applyFill="1" applyBorder="1" applyAlignment="1">
      <alignment horizontal="right" vertical="center" wrapText="1" indent="2"/>
    </xf>
    <xf numFmtId="3" fontId="10" fillId="9" borderId="242" xfId="0" applyNumberFormat="1" applyFont="1" applyFill="1" applyBorder="1" applyAlignment="1">
      <alignment horizontal="center" vertical="center" readingOrder="1"/>
    </xf>
    <xf numFmtId="171" fontId="27" fillId="9" borderId="242" xfId="3" applyNumberFormat="1" applyFont="1" applyFill="1" applyBorder="1" applyAlignment="1">
      <alignment horizontal="center" vertical="center" readingOrder="1"/>
    </xf>
    <xf numFmtId="1" fontId="10" fillId="9" borderId="242" xfId="0" applyNumberFormat="1" applyFont="1" applyFill="1" applyBorder="1" applyAlignment="1">
      <alignment horizontal="center" vertical="center" readingOrder="1"/>
    </xf>
    <xf numFmtId="9" fontId="10" fillId="43" borderId="242" xfId="3" applyFont="1" applyFill="1" applyBorder="1" applyAlignment="1">
      <alignment horizontal="center" vertical="center" readingOrder="1"/>
    </xf>
    <xf numFmtId="171" fontId="10" fillId="43" borderId="242" xfId="3" applyNumberFormat="1" applyFont="1" applyFill="1" applyBorder="1" applyAlignment="1">
      <alignment horizontal="center" vertical="center" readingOrder="1"/>
    </xf>
    <xf numFmtId="3" fontId="10" fillId="43" borderId="242" xfId="5" applyNumberFormat="1" applyFont="1" applyFill="1" applyBorder="1" applyAlignment="1">
      <alignment horizontal="center" vertical="center" readingOrder="1"/>
    </xf>
    <xf numFmtId="9" fontId="10" fillId="3" borderId="242" xfId="3" applyFont="1" applyFill="1" applyBorder="1" applyAlignment="1">
      <alignment horizontal="center" vertical="center" readingOrder="1"/>
    </xf>
    <xf numFmtId="171" fontId="10" fillId="3" borderId="242" xfId="3" applyNumberFormat="1" applyFont="1" applyFill="1" applyBorder="1" applyAlignment="1">
      <alignment horizontal="center" vertical="center" readingOrder="1"/>
    </xf>
    <xf numFmtId="3" fontId="10" fillId="3" borderId="242" xfId="5" applyNumberFormat="1" applyFont="1" applyFill="1" applyBorder="1" applyAlignment="1">
      <alignment horizontal="center" vertical="center" readingOrder="1"/>
    </xf>
    <xf numFmtId="9" fontId="16" fillId="2" borderId="242" xfId="3" applyFont="1" applyFill="1" applyBorder="1" applyAlignment="1">
      <alignment horizontal="center" vertical="center"/>
    </xf>
    <xf numFmtId="10" fontId="16" fillId="2" borderId="242" xfId="3" applyNumberFormat="1" applyFont="1" applyFill="1" applyBorder="1" applyAlignment="1">
      <alignment horizontal="center" vertical="center"/>
    </xf>
    <xf numFmtId="3" fontId="16" fillId="2" borderId="242" xfId="1" applyNumberFormat="1" applyFont="1" applyFill="1" applyBorder="1" applyAlignment="1">
      <alignment horizontal="center" vertical="center"/>
    </xf>
    <xf numFmtId="10" fontId="15" fillId="2" borderId="242" xfId="3" applyNumberFormat="1" applyFont="1" applyFill="1" applyBorder="1" applyAlignment="1">
      <alignment horizontal="center" vertical="center"/>
    </xf>
    <xf numFmtId="3" fontId="15" fillId="2" borderId="242" xfId="1" applyNumberFormat="1" applyFont="1" applyFill="1" applyBorder="1" applyAlignment="1">
      <alignment horizontal="center" vertical="center"/>
    </xf>
    <xf numFmtId="0" fontId="10" fillId="0" borderId="242" xfId="0" applyFont="1" applyBorder="1" applyAlignment="1">
      <alignment horizontal="center" vertical="center"/>
    </xf>
    <xf numFmtId="0" fontId="42" fillId="9" borderId="242" xfId="0" applyFont="1" applyFill="1" applyBorder="1" applyAlignment="1">
      <alignment horizontal="center" vertical="center"/>
    </xf>
    <xf numFmtId="0" fontId="42" fillId="9" borderId="242" xfId="0" applyFont="1" applyFill="1" applyBorder="1" applyAlignment="1">
      <alignment horizontal="right" vertical="center" wrapText="1" indent="3"/>
    </xf>
    <xf numFmtId="3" fontId="42" fillId="9" borderId="242" xfId="0" applyNumberFormat="1" applyFont="1" applyFill="1" applyBorder="1" applyAlignment="1">
      <alignment horizontal="center" vertical="center" readingOrder="1"/>
    </xf>
    <xf numFmtId="171" fontId="43" fillId="9" borderId="242" xfId="3" applyNumberFormat="1" applyFont="1" applyFill="1" applyBorder="1" applyAlignment="1">
      <alignment horizontal="center" vertical="center" readingOrder="1"/>
    </xf>
    <xf numFmtId="1" fontId="42" fillId="9" borderId="242" xfId="0" applyNumberFormat="1" applyFont="1" applyFill="1" applyBorder="1" applyAlignment="1">
      <alignment horizontal="center" vertical="center" readingOrder="1"/>
    </xf>
    <xf numFmtId="171" fontId="42" fillId="43" borderId="242" xfId="3" applyNumberFormat="1" applyFont="1" applyFill="1" applyBorder="1" applyAlignment="1">
      <alignment horizontal="center" vertical="center" readingOrder="1"/>
    </xf>
    <xf numFmtId="3" fontId="42" fillId="43" borderId="242" xfId="5" applyNumberFormat="1" applyFont="1" applyFill="1" applyBorder="1" applyAlignment="1">
      <alignment horizontal="center" vertical="center" readingOrder="1"/>
    </xf>
    <xf numFmtId="171" fontId="42" fillId="3" borderId="242" xfId="3" applyNumberFormat="1" applyFont="1" applyFill="1" applyBorder="1" applyAlignment="1">
      <alignment horizontal="center" vertical="center" readingOrder="1"/>
    </xf>
    <xf numFmtId="3" fontId="42" fillId="3" borderId="242" xfId="5" applyNumberFormat="1" applyFont="1" applyFill="1" applyBorder="1" applyAlignment="1">
      <alignment horizontal="center" vertical="center" readingOrder="1"/>
    </xf>
    <xf numFmtId="9" fontId="44" fillId="2" borderId="242" xfId="5" applyFont="1" applyFill="1" applyBorder="1" applyAlignment="1">
      <alignment horizontal="center" vertical="center"/>
    </xf>
    <xf numFmtId="0" fontId="42" fillId="0" borderId="242" xfId="0" applyFont="1" applyBorder="1" applyAlignment="1">
      <alignment horizontal="center" vertical="center"/>
    </xf>
    <xf numFmtId="0" fontId="8" fillId="9" borderId="242" xfId="0" applyFont="1" applyFill="1" applyBorder="1" applyAlignment="1">
      <alignment horizontal="center" vertical="center"/>
    </xf>
    <xf numFmtId="0" fontId="8" fillId="9" borderId="242" xfId="0" applyFont="1" applyFill="1" applyBorder="1" applyAlignment="1">
      <alignment horizontal="right" vertical="center" wrapText="1" indent="1"/>
    </xf>
    <xf numFmtId="3" fontId="8" fillId="9" borderId="242" xfId="0" applyNumberFormat="1" applyFont="1" applyFill="1" applyBorder="1" applyAlignment="1">
      <alignment horizontal="center" vertical="center" readingOrder="1"/>
    </xf>
    <xf numFmtId="171" fontId="23" fillId="9" borderId="242" xfId="3" applyNumberFormat="1" applyFont="1" applyFill="1" applyBorder="1" applyAlignment="1">
      <alignment horizontal="center" vertical="center" readingOrder="1"/>
    </xf>
    <xf numFmtId="1" fontId="8" fillId="9" borderId="242" xfId="0" applyNumberFormat="1" applyFont="1" applyFill="1" applyBorder="1" applyAlignment="1">
      <alignment horizontal="center" vertical="center" readingOrder="1"/>
    </xf>
    <xf numFmtId="10" fontId="8" fillId="43" borderId="242" xfId="3" applyNumberFormat="1" applyFont="1" applyFill="1" applyBorder="1" applyAlignment="1">
      <alignment horizontal="center" vertical="center" readingOrder="1"/>
    </xf>
    <xf numFmtId="3" fontId="8" fillId="43" borderId="242" xfId="5" applyNumberFormat="1" applyFont="1" applyFill="1" applyBorder="1" applyAlignment="1">
      <alignment horizontal="center" vertical="center" readingOrder="1"/>
    </xf>
    <xf numFmtId="9" fontId="8" fillId="3" borderId="242" xfId="3" applyFont="1" applyFill="1" applyBorder="1" applyAlignment="1">
      <alignment horizontal="center" vertical="center" readingOrder="1"/>
    </xf>
    <xf numFmtId="171" fontId="8" fillId="3" borderId="242" xfId="3" applyNumberFormat="1" applyFont="1" applyFill="1" applyBorder="1" applyAlignment="1">
      <alignment horizontal="center" vertical="center" readingOrder="1"/>
    </xf>
    <xf numFmtId="3" fontId="8" fillId="3" borderId="242" xfId="5" applyNumberFormat="1" applyFont="1" applyFill="1" applyBorder="1" applyAlignment="1">
      <alignment horizontal="center" vertical="center" readingOrder="1"/>
    </xf>
    <xf numFmtId="0" fontId="8" fillId="0" borderId="242" xfId="0" applyFont="1" applyBorder="1" applyAlignment="1">
      <alignment horizontal="center" vertical="center"/>
    </xf>
    <xf numFmtId="0" fontId="4" fillId="0" borderId="2" xfId="0" applyFont="1" applyBorder="1" applyAlignment="1">
      <alignment horizontal="center" vertical="center"/>
    </xf>
    <xf numFmtId="10" fontId="39" fillId="3" borderId="246" xfId="3" applyNumberFormat="1" applyFont="1" applyFill="1" applyBorder="1" applyAlignment="1">
      <alignment vertical="center" wrapText="1"/>
    </xf>
    <xf numFmtId="10" fontId="39" fillId="3" borderId="248" xfId="3" applyNumberFormat="1" applyFont="1" applyFill="1" applyBorder="1" applyAlignment="1">
      <alignment vertical="center" wrapText="1"/>
    </xf>
    <xf numFmtId="0" fontId="6" fillId="0" borderId="226" xfId="0" applyFont="1" applyBorder="1" applyAlignment="1">
      <alignment horizontal="left" vertical="center" shrinkToFit="1" readingOrder="2"/>
    </xf>
    <xf numFmtId="0" fontId="6" fillId="0" borderId="227" xfId="0" applyFont="1" applyBorder="1" applyAlignment="1">
      <alignment horizontal="left" vertical="center" shrinkToFit="1" readingOrder="2"/>
    </xf>
    <xf numFmtId="0" fontId="6" fillId="0" borderId="63" xfId="0" applyFont="1" applyBorder="1" applyAlignment="1">
      <alignment horizontal="left" vertical="center" shrinkToFit="1" readingOrder="2"/>
    </xf>
    <xf numFmtId="0" fontId="6" fillId="0" borderId="64" xfId="0" applyFont="1" applyBorder="1" applyAlignment="1">
      <alignment horizontal="left" vertical="center" shrinkToFit="1" readingOrder="2"/>
    </xf>
    <xf numFmtId="0" fontId="113" fillId="0" borderId="225" xfId="0" applyFont="1" applyBorder="1" applyAlignment="1">
      <alignment horizontal="center" vertical="center" shrinkToFit="1" readingOrder="2"/>
    </xf>
    <xf numFmtId="0" fontId="113" fillId="0" borderId="4" xfId="0" applyFont="1" applyBorder="1" applyAlignment="1">
      <alignment horizontal="center" vertical="center" shrinkToFit="1" readingOrder="2"/>
    </xf>
    <xf numFmtId="0" fontId="93" fillId="0" borderId="214" xfId="0" applyFont="1" applyBorder="1" applyAlignment="1">
      <alignment horizontal="left" vertical="center" wrapText="1" readingOrder="2"/>
    </xf>
    <xf numFmtId="0" fontId="93" fillId="0" borderId="214" xfId="0" applyFont="1" applyBorder="1" applyAlignment="1">
      <alignment horizontal="center" vertical="center" wrapText="1" readingOrder="2"/>
    </xf>
    <xf numFmtId="0" fontId="94" fillId="0" borderId="58" xfId="0" applyFont="1" applyBorder="1" applyAlignment="1">
      <alignment horizontal="center"/>
    </xf>
    <xf numFmtId="0" fontId="6" fillId="42" borderId="222" xfId="0" applyFont="1" applyFill="1" applyBorder="1" applyAlignment="1">
      <alignment horizontal="center" vertical="center" shrinkToFit="1" readingOrder="2"/>
    </xf>
    <xf numFmtId="0" fontId="6" fillId="42" borderId="223" xfId="0" applyFont="1" applyFill="1" applyBorder="1" applyAlignment="1">
      <alignment horizontal="center" vertical="center" shrinkToFit="1" readingOrder="2"/>
    </xf>
    <xf numFmtId="0" fontId="6" fillId="42" borderId="224" xfId="0" applyFont="1" applyFill="1" applyBorder="1" applyAlignment="1">
      <alignment horizontal="center" vertical="center" shrinkToFit="1" readingOrder="2"/>
    </xf>
    <xf numFmtId="0" fontId="6" fillId="0" borderId="222" xfId="0" applyFont="1" applyBorder="1" applyAlignment="1">
      <alignment horizontal="right" vertical="center" shrinkToFit="1" readingOrder="2"/>
    </xf>
    <xf numFmtId="0" fontId="6" fillId="0" borderId="223" xfId="0" applyFont="1" applyBorder="1" applyAlignment="1">
      <alignment horizontal="right" vertical="center" shrinkToFit="1" readingOrder="2"/>
    </xf>
    <xf numFmtId="0" fontId="6" fillId="0" borderId="224" xfId="0" applyFont="1" applyBorder="1" applyAlignment="1">
      <alignment horizontal="right" vertical="center" shrinkToFit="1" readingOrder="2"/>
    </xf>
    <xf numFmtId="0" fontId="6" fillId="0" borderId="222" xfId="0" applyFont="1" applyBorder="1" applyAlignment="1">
      <alignment horizontal="left" vertical="center" shrinkToFit="1" readingOrder="2"/>
    </xf>
    <xf numFmtId="0" fontId="6" fillId="0" borderId="223" xfId="0" applyFont="1" applyBorder="1" applyAlignment="1">
      <alignment horizontal="left" vertical="center" shrinkToFit="1" readingOrder="2"/>
    </xf>
    <xf numFmtId="0" fontId="6" fillId="0" borderId="224" xfId="0" applyFont="1" applyBorder="1" applyAlignment="1">
      <alignment horizontal="left" vertical="center" shrinkToFit="1" readingOrder="2"/>
    </xf>
    <xf numFmtId="0" fontId="6" fillId="0" borderId="226" xfId="0" applyFont="1" applyBorder="1" applyAlignment="1">
      <alignment horizontal="center" vertical="center" shrinkToFit="1" readingOrder="2"/>
    </xf>
    <xf numFmtId="0" fontId="6" fillId="0" borderId="228" xfId="0" applyFont="1" applyBorder="1" applyAlignment="1">
      <alignment horizontal="center" vertical="center" shrinkToFit="1" readingOrder="2"/>
    </xf>
    <xf numFmtId="0" fontId="6" fillId="0" borderId="227" xfId="0" applyFont="1" applyBorder="1" applyAlignment="1">
      <alignment horizontal="center" vertical="center" shrinkToFit="1" readingOrder="2"/>
    </xf>
    <xf numFmtId="0" fontId="6" fillId="0" borderId="63" xfId="0" applyFont="1" applyBorder="1" applyAlignment="1">
      <alignment horizontal="center" vertical="center" shrinkToFit="1" readingOrder="2"/>
    </xf>
    <xf numFmtId="0" fontId="6" fillId="0" borderId="58" xfId="0" applyFont="1" applyBorder="1" applyAlignment="1">
      <alignment horizontal="center" vertical="center" shrinkToFit="1" readingOrder="2"/>
    </xf>
    <xf numFmtId="0" fontId="6" fillId="0" borderId="64" xfId="0" applyFont="1" applyBorder="1" applyAlignment="1">
      <alignment horizontal="center" vertical="center" shrinkToFit="1" readingOrder="2"/>
    </xf>
    <xf numFmtId="0" fontId="6" fillId="0" borderId="226" xfId="0" applyFont="1" applyBorder="1" applyAlignment="1">
      <alignment horizontal="right" vertical="center" shrinkToFit="1" readingOrder="2"/>
    </xf>
    <xf numFmtId="0" fontId="6" fillId="0" borderId="228" xfId="0" applyFont="1" applyBorder="1" applyAlignment="1">
      <alignment horizontal="right" vertical="center" shrinkToFit="1" readingOrder="2"/>
    </xf>
    <xf numFmtId="0" fontId="6" fillId="0" borderId="63" xfId="0" applyFont="1" applyBorder="1" applyAlignment="1">
      <alignment horizontal="right" vertical="center" shrinkToFit="1" readingOrder="2"/>
    </xf>
    <xf numFmtId="0" fontId="6" fillId="0" borderId="58" xfId="0" applyFont="1" applyBorder="1" applyAlignment="1">
      <alignment horizontal="right" vertical="center" shrinkToFit="1" readingOrder="2"/>
    </xf>
    <xf numFmtId="0" fontId="112" fillId="0" borderId="228" xfId="0" applyFont="1" applyBorder="1" applyAlignment="1">
      <alignment horizontal="center" vertical="center" shrinkToFit="1" readingOrder="2"/>
    </xf>
    <xf numFmtId="0" fontId="112" fillId="0" borderId="227" xfId="0" applyFont="1" applyBorder="1" applyAlignment="1">
      <alignment horizontal="center" vertical="center" shrinkToFit="1" readingOrder="2"/>
    </xf>
    <xf numFmtId="0" fontId="112" fillId="0" borderId="58" xfId="0" applyFont="1" applyBorder="1" applyAlignment="1">
      <alignment horizontal="center" vertical="center" shrinkToFit="1" readingOrder="2"/>
    </xf>
    <xf numFmtId="0" fontId="112" fillId="0" borderId="64" xfId="0" applyFont="1" applyBorder="1" applyAlignment="1">
      <alignment horizontal="center" vertical="center" shrinkToFit="1" readingOrder="2"/>
    </xf>
    <xf numFmtId="0" fontId="99" fillId="0" borderId="214" xfId="0" applyFont="1" applyBorder="1" applyAlignment="1">
      <alignment horizontal="center" vertical="center" shrinkToFit="1" readingOrder="2"/>
    </xf>
    <xf numFmtId="0" fontId="95" fillId="42" borderId="214" xfId="0" applyFont="1" applyFill="1" applyBorder="1" applyAlignment="1">
      <alignment horizontal="center" vertical="center" shrinkToFit="1" readingOrder="2"/>
    </xf>
    <xf numFmtId="0" fontId="96" fillId="0" borderId="215" xfId="0" applyFont="1" applyBorder="1" applyAlignment="1">
      <alignment horizontal="right" vertical="center" shrinkToFit="1" readingOrder="2"/>
    </xf>
    <xf numFmtId="0" fontId="96" fillId="0" borderId="216" xfId="0" applyFont="1" applyBorder="1" applyAlignment="1">
      <alignment horizontal="right" vertical="center" shrinkToFit="1" readingOrder="2"/>
    </xf>
    <xf numFmtId="0" fontId="98" fillId="0" borderId="216" xfId="0" applyFont="1" applyBorder="1" applyAlignment="1">
      <alignment horizontal="justify" vertical="center" shrinkToFit="1" readingOrder="2"/>
    </xf>
    <xf numFmtId="0" fontId="98" fillId="0" borderId="217" xfId="0" applyFont="1" applyBorder="1" applyAlignment="1">
      <alignment horizontal="justify" vertical="center" shrinkToFit="1" readingOrder="2"/>
    </xf>
    <xf numFmtId="0" fontId="96" fillId="0" borderId="214" xfId="0" applyFont="1" applyBorder="1" applyAlignment="1">
      <alignment horizontal="left" vertical="center" shrinkToFit="1" readingOrder="2"/>
    </xf>
    <xf numFmtId="0" fontId="104" fillId="0" borderId="214" xfId="0" applyFont="1" applyBorder="1" applyAlignment="1">
      <alignment horizontal="center" vertical="center" shrinkToFit="1"/>
    </xf>
    <xf numFmtId="0" fontId="96" fillId="0" borderId="214" xfId="0" applyFont="1" applyBorder="1" applyAlignment="1">
      <alignment horizontal="center" vertical="center" shrinkToFit="1" readingOrder="2"/>
    </xf>
    <xf numFmtId="0" fontId="96" fillId="0" borderId="214" xfId="0" applyFont="1" applyBorder="1" applyAlignment="1">
      <alignment horizontal="right" vertical="center" shrinkToFit="1" readingOrder="2"/>
    </xf>
    <xf numFmtId="0" fontId="107" fillId="0" borderId="215" xfId="0" applyFont="1" applyBorder="1" applyAlignment="1">
      <alignment horizontal="center" vertical="center" shrinkToFit="1"/>
    </xf>
    <xf numFmtId="0" fontId="107" fillId="0" borderId="216" xfId="0" applyFont="1" applyBorder="1" applyAlignment="1">
      <alignment horizontal="center" vertical="center" shrinkToFit="1"/>
    </xf>
    <xf numFmtId="0" fontId="107" fillId="0" borderId="217" xfId="0" applyFont="1" applyBorder="1" applyAlignment="1">
      <alignment horizontal="center" vertical="center" shrinkToFit="1"/>
    </xf>
    <xf numFmtId="0" fontId="107" fillId="0" borderId="214" xfId="0" applyFont="1" applyBorder="1" applyAlignment="1">
      <alignment horizontal="center" vertical="center" shrinkToFit="1"/>
    </xf>
    <xf numFmtId="0" fontId="105" fillId="13" borderId="214" xfId="0" applyFont="1" applyFill="1" applyBorder="1" applyAlignment="1">
      <alignment horizontal="center" vertical="center" wrapText="1" shrinkToFit="1"/>
    </xf>
    <xf numFmtId="0" fontId="109" fillId="0" borderId="214" xfId="0" applyFont="1" applyBorder="1" applyAlignment="1">
      <alignment horizontal="center" vertical="center" wrapText="1" shrinkToFit="1"/>
    </xf>
    <xf numFmtId="3" fontId="110" fillId="0" borderId="214" xfId="0" applyNumberFormat="1" applyFont="1" applyBorder="1" applyAlignment="1">
      <alignment horizontal="center" vertical="center" wrapText="1" shrinkToFit="1"/>
    </xf>
    <xf numFmtId="0" fontId="116" fillId="0" borderId="221" xfId="0" applyFont="1" applyBorder="1" applyAlignment="1">
      <alignment horizontal="center" vertical="center" wrapText="1" shrinkToFit="1"/>
    </xf>
    <xf numFmtId="3" fontId="110" fillId="0" borderId="230" xfId="0" applyNumberFormat="1" applyFont="1" applyBorder="1" applyAlignment="1">
      <alignment horizontal="center" vertical="center" wrapText="1" shrinkToFit="1"/>
    </xf>
    <xf numFmtId="3" fontId="110" fillId="0" borderId="231" xfId="0" applyNumberFormat="1" applyFont="1" applyBorder="1" applyAlignment="1">
      <alignment horizontal="center" vertical="center" wrapText="1" shrinkToFit="1"/>
    </xf>
    <xf numFmtId="3" fontId="110" fillId="0" borderId="215" xfId="0" quotePrefix="1" applyNumberFormat="1" applyFont="1" applyBorder="1" applyAlignment="1">
      <alignment horizontal="center" vertical="center" wrapText="1" shrinkToFit="1"/>
    </xf>
    <xf numFmtId="3" fontId="110" fillId="0" borderId="216" xfId="0" applyNumberFormat="1" applyFont="1" applyBorder="1" applyAlignment="1">
      <alignment horizontal="center" vertical="center" wrapText="1" shrinkToFit="1"/>
    </xf>
    <xf numFmtId="3" fontId="110" fillId="0" borderId="217" xfId="0" applyNumberFormat="1" applyFont="1" applyBorder="1" applyAlignment="1">
      <alignment horizontal="center" vertical="center" wrapText="1" shrinkToFit="1"/>
    </xf>
    <xf numFmtId="0" fontId="111" fillId="0" borderId="214" xfId="0" applyFont="1" applyBorder="1" applyAlignment="1">
      <alignment horizontal="center" vertical="center" shrinkToFit="1"/>
    </xf>
    <xf numFmtId="0" fontId="0" fillId="0" borderId="218" xfId="0" applyBorder="1" applyAlignment="1">
      <alignment horizontal="center" shrinkToFit="1"/>
    </xf>
    <xf numFmtId="0" fontId="0" fillId="0" borderId="65" xfId="0" applyBorder="1" applyAlignment="1">
      <alignment horizontal="center" shrinkToFit="1"/>
    </xf>
    <xf numFmtId="0" fontId="0" fillId="0" borderId="61" xfId="0" applyBorder="1" applyAlignment="1">
      <alignment horizontal="center" shrinkToFit="1"/>
    </xf>
    <xf numFmtId="0" fontId="0" fillId="0" borderId="36" xfId="0" applyBorder="1" applyAlignment="1">
      <alignment horizontal="center" shrinkToFit="1"/>
    </xf>
    <xf numFmtId="0" fontId="0" fillId="0" borderId="0" xfId="0" applyAlignment="1">
      <alignment horizontal="center" shrinkToFit="1"/>
    </xf>
    <xf numFmtId="0" fontId="0" fillId="0" borderId="62" xfId="0" applyBorder="1" applyAlignment="1">
      <alignment horizontal="center" shrinkToFit="1"/>
    </xf>
    <xf numFmtId="0" fontId="0" fillId="0" borderId="63" xfId="0" applyBorder="1" applyAlignment="1">
      <alignment horizontal="center" shrinkToFit="1"/>
    </xf>
    <xf numFmtId="0" fontId="0" fillId="0" borderId="58" xfId="0" applyBorder="1" applyAlignment="1">
      <alignment horizontal="center" shrinkToFit="1"/>
    </xf>
    <xf numFmtId="0" fontId="0" fillId="0" borderId="64" xfId="0" applyBorder="1" applyAlignment="1">
      <alignment horizontal="center" shrinkToFit="1"/>
    </xf>
    <xf numFmtId="0" fontId="111" fillId="0" borderId="214" xfId="0" applyFont="1" applyBorder="1" applyAlignment="1">
      <alignment horizontal="right" vertical="top" shrinkToFit="1"/>
    </xf>
    <xf numFmtId="0" fontId="111" fillId="0" borderId="214" xfId="0" applyFont="1" applyBorder="1" applyAlignment="1">
      <alignment horizontal="right" vertical="center" shrinkToFit="1"/>
    </xf>
    <xf numFmtId="0" fontId="105" fillId="13" borderId="215" xfId="0" applyFont="1" applyFill="1" applyBorder="1" applyAlignment="1">
      <alignment horizontal="center" vertical="center" shrinkToFit="1"/>
    </xf>
    <xf numFmtId="0" fontId="105" fillId="13" borderId="216" xfId="0" applyFont="1" applyFill="1" applyBorder="1" applyAlignment="1">
      <alignment horizontal="center" vertical="center" shrinkToFit="1"/>
    </xf>
    <xf numFmtId="0" fontId="105" fillId="13" borderId="217" xfId="0" applyFont="1" applyFill="1" applyBorder="1" applyAlignment="1">
      <alignment horizontal="center" vertical="center" shrinkToFit="1"/>
    </xf>
    <xf numFmtId="3" fontId="110" fillId="13" borderId="214" xfId="0" applyNumberFormat="1" applyFont="1" applyFill="1" applyBorder="1" applyAlignment="1">
      <alignment horizontal="center" vertical="center" wrapText="1" shrinkToFit="1"/>
    </xf>
    <xf numFmtId="0" fontId="2" fillId="0" borderId="66" xfId="15" applyFont="1" applyBorder="1" applyAlignment="1">
      <alignment horizontal="center" vertical="center" readingOrder="2"/>
    </xf>
    <xf numFmtId="0" fontId="2" fillId="0" borderId="67" xfId="15" applyFont="1" applyBorder="1" applyAlignment="1">
      <alignment horizontal="center" vertical="center" readingOrder="2"/>
    </xf>
    <xf numFmtId="0" fontId="2" fillId="0" borderId="68" xfId="15" applyFont="1" applyBorder="1" applyAlignment="1">
      <alignment horizontal="center" vertical="center" readingOrder="2"/>
    </xf>
    <xf numFmtId="0" fontId="2" fillId="0" borderId="73" xfId="15" applyFont="1" applyBorder="1" applyAlignment="1">
      <alignment horizontal="center" vertical="center" readingOrder="2"/>
    </xf>
    <xf numFmtId="0" fontId="2" fillId="0" borderId="41" xfId="15" applyFont="1" applyBorder="1" applyAlignment="1">
      <alignment horizontal="center" vertical="center" readingOrder="2"/>
    </xf>
    <xf numFmtId="0" fontId="2" fillId="0" borderId="43" xfId="15" applyFont="1" applyBorder="1" applyAlignment="1">
      <alignment horizontal="center" vertical="center" readingOrder="2"/>
    </xf>
    <xf numFmtId="0" fontId="2" fillId="0" borderId="77" xfId="15" applyFont="1" applyBorder="1" applyAlignment="1">
      <alignment horizontal="center" vertical="center" readingOrder="2"/>
    </xf>
    <xf numFmtId="0" fontId="2" fillId="0" borderId="78" xfId="15" applyFont="1" applyBorder="1" applyAlignment="1">
      <alignment horizontal="center" vertical="center" readingOrder="2"/>
    </xf>
    <xf numFmtId="0" fontId="2" fillId="0" borderId="79" xfId="15" applyFont="1" applyBorder="1" applyAlignment="1">
      <alignment horizontal="center" vertical="center" readingOrder="2"/>
    </xf>
    <xf numFmtId="0" fontId="60" fillId="0" borderId="69" xfId="15" applyFont="1" applyBorder="1" applyAlignment="1">
      <alignment horizontal="center" vertical="center" wrapText="1" readingOrder="2"/>
    </xf>
    <xf numFmtId="0" fontId="60" fillId="0" borderId="67" xfId="15" applyFont="1" applyBorder="1" applyAlignment="1">
      <alignment horizontal="center" vertical="center" readingOrder="2"/>
    </xf>
    <xf numFmtId="0" fontId="60" fillId="0" borderId="70" xfId="15" applyFont="1" applyBorder="1" applyAlignment="1">
      <alignment horizontal="center" vertical="center" readingOrder="2"/>
    </xf>
    <xf numFmtId="0" fontId="60" fillId="0" borderId="74" xfId="15" applyFont="1" applyBorder="1" applyAlignment="1">
      <alignment horizontal="center" vertical="center" readingOrder="2"/>
    </xf>
    <xf numFmtId="0" fontId="60" fillId="0" borderId="41" xfId="15" applyFont="1" applyBorder="1" applyAlignment="1">
      <alignment horizontal="center" vertical="center" readingOrder="2"/>
    </xf>
    <xf numFmtId="0" fontId="60" fillId="0" borderId="75" xfId="15" applyFont="1" applyBorder="1" applyAlignment="1">
      <alignment horizontal="center" vertical="center" readingOrder="2"/>
    </xf>
    <xf numFmtId="0" fontId="60" fillId="0" borderId="80" xfId="15" applyFont="1" applyBorder="1" applyAlignment="1">
      <alignment horizontal="center" vertical="center" readingOrder="2"/>
    </xf>
    <xf numFmtId="0" fontId="60" fillId="0" borderId="78" xfId="15" applyFont="1" applyBorder="1" applyAlignment="1">
      <alignment horizontal="center" vertical="center" readingOrder="2"/>
    </xf>
    <xf numFmtId="0" fontId="60" fillId="0" borderId="81" xfId="15" applyFont="1" applyBorder="1" applyAlignment="1">
      <alignment horizontal="center" vertical="center" readingOrder="2"/>
    </xf>
    <xf numFmtId="0" fontId="2" fillId="0" borderId="71" xfId="15" applyFont="1" applyBorder="1" applyAlignment="1">
      <alignment horizontal="center" vertical="center" readingOrder="2"/>
    </xf>
    <xf numFmtId="0" fontId="2" fillId="0" borderId="72" xfId="15" applyFont="1" applyBorder="1" applyAlignment="1">
      <alignment horizontal="center" vertical="center" readingOrder="2"/>
    </xf>
    <xf numFmtId="0" fontId="2" fillId="0" borderId="46" xfId="15" applyFont="1" applyBorder="1" applyAlignment="1">
      <alignment horizontal="center" vertical="center" readingOrder="2"/>
    </xf>
    <xf numFmtId="0" fontId="2" fillId="0" borderId="76" xfId="15" applyFont="1" applyBorder="1" applyAlignment="1">
      <alignment horizontal="center" vertical="center" readingOrder="2"/>
    </xf>
    <xf numFmtId="0" fontId="2" fillId="0" borderId="82" xfId="15" applyFont="1" applyBorder="1" applyAlignment="1">
      <alignment horizontal="center" vertical="center" readingOrder="2"/>
    </xf>
    <xf numFmtId="0" fontId="2" fillId="0" borderId="83" xfId="15" applyFont="1" applyBorder="1" applyAlignment="1">
      <alignment horizontal="center" vertical="center" readingOrder="2"/>
    </xf>
    <xf numFmtId="0" fontId="61" fillId="0" borderId="84" xfId="15" applyFont="1" applyBorder="1" applyAlignment="1">
      <alignment horizontal="center" vertical="center" readingOrder="2"/>
    </xf>
    <xf numFmtId="0" fontId="61" fillId="0" borderId="85" xfId="15" applyFont="1" applyBorder="1" applyAlignment="1">
      <alignment horizontal="center" vertical="center" readingOrder="2"/>
    </xf>
    <xf numFmtId="0" fontId="6" fillId="0" borderId="86" xfId="15" applyFont="1" applyBorder="1" applyAlignment="1">
      <alignment horizontal="center" vertical="center" readingOrder="2"/>
    </xf>
    <xf numFmtId="0" fontId="6" fillId="0" borderId="87" xfId="15" applyFont="1" applyBorder="1" applyAlignment="1">
      <alignment horizontal="center" vertical="center" readingOrder="2"/>
    </xf>
    <xf numFmtId="0" fontId="6" fillId="0" borderId="88" xfId="15" applyFont="1" applyBorder="1" applyAlignment="1">
      <alignment horizontal="center" vertical="center" readingOrder="2"/>
    </xf>
    <xf numFmtId="49" fontId="61" fillId="0" borderId="89" xfId="15" applyNumberFormat="1" applyFont="1" applyBorder="1" applyAlignment="1">
      <alignment horizontal="center" vertical="center" readingOrder="2"/>
    </xf>
    <xf numFmtId="49" fontId="61" fillId="0" borderId="90" xfId="15" applyNumberFormat="1" applyFont="1" applyBorder="1" applyAlignment="1">
      <alignment horizontal="center" vertical="center" readingOrder="2"/>
    </xf>
    <xf numFmtId="49" fontId="61" fillId="0" borderId="91" xfId="15" applyNumberFormat="1" applyFont="1" applyBorder="1" applyAlignment="1">
      <alignment horizontal="center" vertical="center" readingOrder="2"/>
    </xf>
    <xf numFmtId="0" fontId="61" fillId="0" borderId="91" xfId="15" applyFont="1" applyBorder="1" applyAlignment="1">
      <alignment horizontal="center" vertical="center" readingOrder="2"/>
    </xf>
    <xf numFmtId="0" fontId="61" fillId="0" borderId="90" xfId="15" applyFont="1" applyBorder="1" applyAlignment="1">
      <alignment horizontal="center" vertical="center" readingOrder="2"/>
    </xf>
    <xf numFmtId="0" fontId="61" fillId="0" borderId="92" xfId="15" applyFont="1" applyBorder="1" applyAlignment="1">
      <alignment horizontal="center" vertical="center" readingOrder="2"/>
    </xf>
    <xf numFmtId="0" fontId="6" fillId="0" borderId="91" xfId="15" applyFont="1" applyBorder="1" applyAlignment="1">
      <alignment horizontal="center" vertical="center" readingOrder="2"/>
    </xf>
    <xf numFmtId="0" fontId="6" fillId="0" borderId="93" xfId="15" applyFont="1" applyBorder="1" applyAlignment="1">
      <alignment horizontal="center" vertical="center" readingOrder="2"/>
    </xf>
    <xf numFmtId="0" fontId="6" fillId="0" borderId="94" xfId="15" applyFont="1" applyBorder="1" applyAlignment="1">
      <alignment horizontal="center" vertical="center" readingOrder="2"/>
    </xf>
    <xf numFmtId="0" fontId="6" fillId="0" borderId="112" xfId="15" applyFont="1" applyBorder="1" applyAlignment="1">
      <alignment horizontal="center" vertical="center" wrapText="1" readingOrder="2"/>
    </xf>
    <xf numFmtId="0" fontId="6" fillId="0" borderId="113" xfId="15" applyFont="1" applyBorder="1" applyAlignment="1">
      <alignment horizontal="center" vertical="center" wrapText="1" readingOrder="2"/>
    </xf>
    <xf numFmtId="0" fontId="6" fillId="0" borderId="114" xfId="15" applyFont="1" applyBorder="1" applyAlignment="1">
      <alignment horizontal="center" vertical="center" wrapText="1" readingOrder="2"/>
    </xf>
    <xf numFmtId="0" fontId="6" fillId="0" borderId="115" xfId="15" applyFont="1" applyBorder="1" applyAlignment="1">
      <alignment horizontal="center" vertical="center" wrapText="1" readingOrder="2"/>
    </xf>
    <xf numFmtId="0" fontId="6" fillId="0" borderId="117" xfId="15" applyFont="1" applyBorder="1" applyAlignment="1">
      <alignment horizontal="center" vertical="center" readingOrder="2"/>
    </xf>
    <xf numFmtId="0" fontId="6" fillId="0" borderId="114" xfId="15" applyFont="1" applyBorder="1" applyAlignment="1">
      <alignment horizontal="center" vertical="center" readingOrder="2"/>
    </xf>
    <xf numFmtId="0" fontId="6" fillId="0" borderId="118" xfId="15" applyFont="1" applyBorder="1" applyAlignment="1">
      <alignment horizontal="center" vertical="center" readingOrder="2"/>
    </xf>
    <xf numFmtId="0" fontId="6" fillId="0" borderId="119" xfId="15" applyFont="1" applyBorder="1" applyAlignment="1">
      <alignment horizontal="center" vertical="center" readingOrder="2"/>
    </xf>
    <xf numFmtId="0" fontId="6" fillId="0" borderId="120" xfId="15" applyFont="1" applyBorder="1" applyAlignment="1">
      <alignment horizontal="center" vertical="center" readingOrder="2"/>
    </xf>
    <xf numFmtId="3" fontId="6" fillId="16" borderId="114" xfId="15" applyNumberFormat="1" applyFont="1" applyFill="1" applyBorder="1" applyAlignment="1">
      <alignment horizontal="center" vertical="center" readingOrder="2"/>
    </xf>
    <xf numFmtId="177" fontId="7" fillId="2" borderId="121" xfId="15" applyNumberFormat="1" applyFont="1" applyFill="1" applyBorder="1" applyAlignment="1">
      <alignment horizontal="center" vertical="center" readingOrder="2"/>
    </xf>
    <xf numFmtId="177" fontId="7" fillId="2" borderId="122" xfId="15" applyNumberFormat="1" applyFont="1" applyFill="1" applyBorder="1" applyAlignment="1">
      <alignment horizontal="center" vertical="center" readingOrder="2"/>
    </xf>
    <xf numFmtId="177" fontId="7" fillId="2" borderId="123" xfId="15" applyNumberFormat="1" applyFont="1" applyFill="1" applyBorder="1" applyAlignment="1">
      <alignment horizontal="center" vertical="center" readingOrder="2"/>
    </xf>
    <xf numFmtId="177" fontId="64" fillId="14" borderId="114" xfId="15" applyNumberFormat="1" applyFont="1" applyFill="1" applyBorder="1" applyAlignment="1">
      <alignment horizontal="center" vertical="center" readingOrder="2"/>
    </xf>
    <xf numFmtId="177" fontId="64" fillId="14" borderId="124" xfId="15" applyNumberFormat="1" applyFont="1" applyFill="1" applyBorder="1" applyAlignment="1">
      <alignment horizontal="center" vertical="center" readingOrder="2"/>
    </xf>
    <xf numFmtId="0" fontId="2" fillId="0" borderId="0" xfId="15" applyFont="1" applyAlignment="1">
      <alignment horizontal="center" vertical="center" readingOrder="2"/>
    </xf>
    <xf numFmtId="0" fontId="2" fillId="0" borderId="7" xfId="15" applyFont="1" applyBorder="1" applyAlignment="1">
      <alignment horizontal="center" vertical="center" readingOrder="2"/>
    </xf>
    <xf numFmtId="0" fontId="2" fillId="0" borderId="6" xfId="15" applyFont="1" applyBorder="1" applyAlignment="1">
      <alignment horizontal="center" vertical="center" readingOrder="2"/>
    </xf>
    <xf numFmtId="0" fontId="2" fillId="0" borderId="8" xfId="15" applyFont="1" applyBorder="1" applyAlignment="1">
      <alignment horizontal="center" vertical="center" readingOrder="2"/>
    </xf>
    <xf numFmtId="0" fontId="8" fillId="0" borderId="9" xfId="15" applyFont="1" applyBorder="1" applyAlignment="1">
      <alignment horizontal="center" vertical="center" readingOrder="2"/>
    </xf>
    <xf numFmtId="0" fontId="8" fillId="0" borderId="0" xfId="15" applyFont="1" applyAlignment="1">
      <alignment horizontal="center" vertical="center" readingOrder="2"/>
    </xf>
    <xf numFmtId="0" fontId="8" fillId="0" borderId="10" xfId="15" applyFont="1" applyBorder="1" applyAlignment="1">
      <alignment horizontal="center" vertical="center" readingOrder="2"/>
    </xf>
    <xf numFmtId="0" fontId="6" fillId="0" borderId="9" xfId="15" applyFont="1" applyBorder="1" applyAlignment="1">
      <alignment horizontal="center" vertical="center" readingOrder="2"/>
    </xf>
    <xf numFmtId="0" fontId="6" fillId="0" borderId="0" xfId="15" applyFont="1" applyAlignment="1">
      <alignment horizontal="center" vertical="center" readingOrder="2"/>
    </xf>
    <xf numFmtId="0" fontId="6" fillId="0" borderId="10" xfId="15" applyFont="1" applyBorder="1" applyAlignment="1">
      <alignment horizontal="center" vertical="center" readingOrder="2"/>
    </xf>
    <xf numFmtId="0" fontId="6" fillId="0" borderId="95" xfId="15" applyFont="1" applyBorder="1" applyAlignment="1">
      <alignment horizontal="center" vertical="center" readingOrder="2"/>
    </xf>
    <xf numFmtId="0" fontId="6" fillId="0" borderId="51" xfId="15" applyFont="1" applyBorder="1" applyAlignment="1">
      <alignment horizontal="center" vertical="center" wrapText="1" readingOrder="2"/>
    </xf>
    <xf numFmtId="0" fontId="6" fillId="0" borderId="6" xfId="15" applyFont="1" applyBorder="1" applyAlignment="1">
      <alignment horizontal="center" vertical="center" wrapText="1" readingOrder="2"/>
    </xf>
    <xf numFmtId="0" fontId="6" fillId="0" borderId="96" xfId="15" applyFont="1" applyBorder="1" applyAlignment="1">
      <alignment horizontal="center" vertical="center" wrapText="1" readingOrder="2"/>
    </xf>
    <xf numFmtId="0" fontId="6" fillId="0" borderId="105" xfId="15" applyFont="1" applyBorder="1" applyAlignment="1">
      <alignment horizontal="center" vertical="center" wrapText="1" readingOrder="2"/>
    </xf>
    <xf numFmtId="0" fontId="6" fillId="0" borderId="106" xfId="15" applyFont="1" applyBorder="1" applyAlignment="1">
      <alignment horizontal="center" vertical="center" wrapText="1" readingOrder="2"/>
    </xf>
    <xf numFmtId="0" fontId="6" fillId="0" borderId="107" xfId="15" applyFont="1" applyBorder="1" applyAlignment="1">
      <alignment horizontal="center" vertical="center" wrapText="1" readingOrder="2"/>
    </xf>
    <xf numFmtId="0" fontId="6" fillId="16" borderId="97" xfId="15" applyFont="1" applyFill="1" applyBorder="1" applyAlignment="1">
      <alignment horizontal="center" vertical="center" wrapText="1" readingOrder="2"/>
    </xf>
    <xf numFmtId="0" fontId="6" fillId="16" borderId="98" xfId="15" applyFont="1" applyFill="1" applyBorder="1" applyAlignment="1">
      <alignment horizontal="center" vertical="center" wrapText="1" readingOrder="2"/>
    </xf>
    <xf numFmtId="0" fontId="6" fillId="16" borderId="99" xfId="15" applyFont="1" applyFill="1" applyBorder="1" applyAlignment="1">
      <alignment horizontal="center" vertical="center" wrapText="1" readingOrder="2"/>
    </xf>
    <xf numFmtId="0" fontId="6" fillId="16" borderId="108" xfId="15" applyFont="1" applyFill="1" applyBorder="1" applyAlignment="1">
      <alignment horizontal="center" vertical="center" wrapText="1" readingOrder="2"/>
    </xf>
    <xf numFmtId="0" fontId="6" fillId="16" borderId="103" xfId="15" applyFont="1" applyFill="1" applyBorder="1" applyAlignment="1">
      <alignment horizontal="center" vertical="center" wrapText="1" readingOrder="2"/>
    </xf>
    <xf numFmtId="0" fontId="6" fillId="16" borderId="109" xfId="15" applyFont="1" applyFill="1" applyBorder="1" applyAlignment="1">
      <alignment horizontal="center" vertical="center" wrapText="1" readingOrder="2"/>
    </xf>
    <xf numFmtId="0" fontId="62" fillId="2" borderId="97" xfId="15" applyFont="1" applyFill="1" applyBorder="1" applyAlignment="1">
      <alignment horizontal="center" vertical="center" wrapText="1" readingOrder="2"/>
    </xf>
    <xf numFmtId="0" fontId="62" fillId="2" borderId="98" xfId="15" applyFont="1" applyFill="1" applyBorder="1" applyAlignment="1">
      <alignment horizontal="center" vertical="center" wrapText="1" readingOrder="2"/>
    </xf>
    <xf numFmtId="0" fontId="62" fillId="2" borderId="99" xfId="15" applyFont="1" applyFill="1" applyBorder="1" applyAlignment="1">
      <alignment horizontal="center" vertical="center" wrapText="1" readingOrder="2"/>
    </xf>
    <xf numFmtId="0" fontId="62" fillId="2" borderId="108" xfId="15" applyFont="1" applyFill="1" applyBorder="1" applyAlignment="1">
      <alignment horizontal="center" vertical="center" wrapText="1" readingOrder="2"/>
    </xf>
    <xf numFmtId="0" fontId="62" fillId="2" borderId="103" xfId="15" applyFont="1" applyFill="1" applyBorder="1" applyAlignment="1">
      <alignment horizontal="center" vertical="center" wrapText="1" readingOrder="2"/>
    </xf>
    <xf numFmtId="0" fontId="62" fillId="2" borderId="109" xfId="15" applyFont="1" applyFill="1" applyBorder="1" applyAlignment="1">
      <alignment horizontal="center" vertical="center" wrapText="1" readingOrder="2"/>
    </xf>
    <xf numFmtId="0" fontId="62" fillId="14" borderId="100" xfId="15" applyFont="1" applyFill="1" applyBorder="1" applyAlignment="1">
      <alignment horizontal="center" vertical="center" wrapText="1" readingOrder="2"/>
    </xf>
    <xf numFmtId="0" fontId="62" fillId="14" borderId="98" xfId="15" applyFont="1" applyFill="1" applyBorder="1" applyAlignment="1">
      <alignment horizontal="center" vertical="center" wrapText="1" readingOrder="2"/>
    </xf>
    <xf numFmtId="0" fontId="62" fillId="14" borderId="101" xfId="15" applyFont="1" applyFill="1" applyBorder="1" applyAlignment="1">
      <alignment horizontal="center" vertical="center" wrapText="1" readingOrder="2"/>
    </xf>
    <xf numFmtId="0" fontId="62" fillId="14" borderId="110" xfId="15" applyFont="1" applyFill="1" applyBorder="1" applyAlignment="1">
      <alignment horizontal="center" vertical="center" wrapText="1" readingOrder="2"/>
    </xf>
    <xf numFmtId="0" fontId="62" fillId="14" borderId="103" xfId="15" applyFont="1" applyFill="1" applyBorder="1" applyAlignment="1">
      <alignment horizontal="center" vertical="center" wrapText="1" readingOrder="2"/>
    </xf>
    <xf numFmtId="0" fontId="62" fillId="14" borderId="111" xfId="15" applyFont="1" applyFill="1" applyBorder="1" applyAlignment="1">
      <alignment horizontal="center" vertical="center" wrapText="1" readingOrder="2"/>
    </xf>
    <xf numFmtId="0" fontId="6" fillId="0" borderId="103" xfId="15" applyFont="1" applyBorder="1" applyAlignment="1">
      <alignment horizontal="center" vertical="center" wrapText="1" readingOrder="2"/>
    </xf>
    <xf numFmtId="0" fontId="6" fillId="0" borderId="104" xfId="15" applyFont="1" applyBorder="1" applyAlignment="1">
      <alignment horizontal="center" vertical="center" wrapText="1" readingOrder="2"/>
    </xf>
    <xf numFmtId="0" fontId="6" fillId="0" borderId="126" xfId="15" applyFont="1" applyBorder="1" applyAlignment="1">
      <alignment horizontal="center" vertical="center" readingOrder="2"/>
    </xf>
    <xf numFmtId="0" fontId="6" fillId="0" borderId="127" xfId="15" applyFont="1" applyBorder="1" applyAlignment="1">
      <alignment horizontal="center" vertical="center" readingOrder="2"/>
    </xf>
    <xf numFmtId="0" fontId="6" fillId="0" borderId="128" xfId="15" applyFont="1" applyBorder="1" applyAlignment="1">
      <alignment horizontal="center" vertical="center" readingOrder="2"/>
    </xf>
    <xf numFmtId="0" fontId="6" fillId="0" borderId="129" xfId="15" applyFont="1" applyBorder="1" applyAlignment="1">
      <alignment horizontal="center" vertical="center" readingOrder="2"/>
    </xf>
    <xf numFmtId="0" fontId="6" fillId="0" borderId="130" xfId="15" applyFont="1" applyBorder="1" applyAlignment="1">
      <alignment horizontal="center" vertical="center" readingOrder="2"/>
    </xf>
    <xf numFmtId="3" fontId="6" fillId="16" borderId="127" xfId="15" applyNumberFormat="1" applyFont="1" applyFill="1" applyBorder="1" applyAlignment="1">
      <alignment horizontal="center" vertical="center" readingOrder="2"/>
    </xf>
    <xf numFmtId="177" fontId="7" fillId="2" borderId="131" xfId="15" applyNumberFormat="1" applyFont="1" applyFill="1" applyBorder="1" applyAlignment="1">
      <alignment horizontal="center" vertical="center" readingOrder="2"/>
    </xf>
    <xf numFmtId="177" fontId="7" fillId="2" borderId="127" xfId="15" applyNumberFormat="1" applyFont="1" applyFill="1" applyBorder="1" applyAlignment="1">
      <alignment horizontal="center" vertical="center" readingOrder="2"/>
    </xf>
    <xf numFmtId="177" fontId="7" fillId="2" borderId="132" xfId="15" applyNumberFormat="1" applyFont="1" applyFill="1" applyBorder="1" applyAlignment="1">
      <alignment horizontal="center" vertical="center" readingOrder="2"/>
    </xf>
    <xf numFmtId="177" fontId="64" fillId="14" borderId="127" xfId="15" applyNumberFormat="1" applyFont="1" applyFill="1" applyBorder="1" applyAlignment="1">
      <alignment horizontal="center" vertical="center" readingOrder="2"/>
    </xf>
    <xf numFmtId="177" fontId="64" fillId="14" borderId="133" xfId="15" applyNumberFormat="1" applyFont="1" applyFill="1" applyBorder="1" applyAlignment="1">
      <alignment horizontal="center" vertical="center" readingOrder="2"/>
    </xf>
    <xf numFmtId="3" fontId="6" fillId="16" borderId="132" xfId="15" applyNumberFormat="1" applyFont="1" applyFill="1" applyBorder="1" applyAlignment="1">
      <alignment horizontal="center" vertical="center" readingOrder="2"/>
    </xf>
    <xf numFmtId="0" fontId="6" fillId="0" borderId="134" xfId="15" applyFont="1" applyBorder="1" applyAlignment="1">
      <alignment horizontal="center" vertical="center" readingOrder="2"/>
    </xf>
    <xf numFmtId="0" fontId="6" fillId="0" borderId="135" xfId="15" applyFont="1" applyBorder="1" applyAlignment="1">
      <alignment horizontal="center" vertical="center" readingOrder="2"/>
    </xf>
    <xf numFmtId="0" fontId="6" fillId="0" borderId="136" xfId="15" applyFont="1" applyBorder="1" applyAlignment="1">
      <alignment horizontal="center" vertical="center" readingOrder="2"/>
    </xf>
    <xf numFmtId="0" fontId="6" fillId="0" borderId="137" xfId="15" applyFont="1" applyBorder="1" applyAlignment="1">
      <alignment horizontal="center" vertical="center" readingOrder="2"/>
    </xf>
    <xf numFmtId="0" fontId="6" fillId="0" borderId="138" xfId="15" applyFont="1" applyBorder="1" applyAlignment="1">
      <alignment horizontal="center" vertical="center" readingOrder="2"/>
    </xf>
    <xf numFmtId="3" fontId="6" fillId="16" borderId="135" xfId="15" applyNumberFormat="1" applyFont="1" applyFill="1" applyBorder="1" applyAlignment="1">
      <alignment horizontal="center" vertical="center" readingOrder="2"/>
    </xf>
    <xf numFmtId="0" fontId="6" fillId="0" borderId="140" xfId="15" applyFont="1" applyBorder="1" applyAlignment="1">
      <alignment horizontal="center" vertical="center" readingOrder="2"/>
    </xf>
    <xf numFmtId="0" fontId="6" fillId="0" borderId="141" xfId="15" applyFont="1" applyBorder="1" applyAlignment="1">
      <alignment horizontal="center" vertical="center" readingOrder="2"/>
    </xf>
    <xf numFmtId="0" fontId="6" fillId="0" borderId="142" xfId="15" applyFont="1" applyBorder="1" applyAlignment="1">
      <alignment horizontal="center" vertical="center" readingOrder="2"/>
    </xf>
    <xf numFmtId="0" fontId="6" fillId="0" borderId="143" xfId="15" applyFont="1" applyBorder="1" applyAlignment="1">
      <alignment horizontal="center" vertical="center" readingOrder="2"/>
    </xf>
    <xf numFmtId="3" fontId="6" fillId="16" borderId="93" xfId="15" applyNumberFormat="1" applyFont="1" applyFill="1" applyBorder="1" applyAlignment="1">
      <alignment horizontal="center" vertical="center" readingOrder="2"/>
    </xf>
    <xf numFmtId="177" fontId="7" fillId="2" borderId="91" xfId="15" applyNumberFormat="1" applyFont="1" applyFill="1" applyBorder="1" applyAlignment="1">
      <alignment horizontal="center" vertical="center" readingOrder="2"/>
    </xf>
    <xf numFmtId="177" fontId="7" fillId="2" borderId="93" xfId="15" applyNumberFormat="1" applyFont="1" applyFill="1" applyBorder="1" applyAlignment="1">
      <alignment horizontal="center" vertical="center" readingOrder="2"/>
    </xf>
    <xf numFmtId="177" fontId="7" fillId="2" borderId="90" xfId="15" applyNumberFormat="1" applyFont="1" applyFill="1" applyBorder="1" applyAlignment="1">
      <alignment horizontal="center" vertical="center" readingOrder="2"/>
    </xf>
    <xf numFmtId="177" fontId="64" fillId="14" borderId="93" xfId="15" applyNumberFormat="1" applyFont="1" applyFill="1" applyBorder="1" applyAlignment="1">
      <alignment horizontal="center" vertical="center" readingOrder="2"/>
    </xf>
    <xf numFmtId="177" fontId="64" fillId="14" borderId="94" xfId="15" applyNumberFormat="1" applyFont="1" applyFill="1" applyBorder="1" applyAlignment="1">
      <alignment horizontal="center" vertical="center" readingOrder="2"/>
    </xf>
    <xf numFmtId="3" fontId="2" fillId="0" borderId="0" xfId="15" applyNumberFormat="1" applyFont="1" applyAlignment="1">
      <alignment horizontal="center" vertical="center" readingOrder="2"/>
    </xf>
    <xf numFmtId="177" fontId="7" fillId="18" borderId="131" xfId="15" applyNumberFormat="1" applyFont="1" applyFill="1" applyBorder="1" applyAlignment="1">
      <alignment horizontal="center" vertical="center" readingOrder="2"/>
    </xf>
    <xf numFmtId="177" fontId="7" fillId="18" borderId="127" xfId="15" applyNumberFormat="1" applyFont="1" applyFill="1" applyBorder="1" applyAlignment="1">
      <alignment horizontal="center" vertical="center" readingOrder="2"/>
    </xf>
    <xf numFmtId="177" fontId="7" fillId="18" borderId="158" xfId="15" applyNumberFormat="1" applyFont="1" applyFill="1" applyBorder="1" applyAlignment="1">
      <alignment horizontal="center" vertical="center" readingOrder="2"/>
    </xf>
    <xf numFmtId="177" fontId="7" fillId="18" borderId="126" xfId="15" applyNumberFormat="1" applyFont="1" applyFill="1" applyBorder="1" applyAlignment="1">
      <alignment horizontal="center" vertical="center" readingOrder="2"/>
    </xf>
    <xf numFmtId="177" fontId="0" fillId="0" borderId="127" xfId="0" applyNumberFormat="1" applyBorder="1"/>
    <xf numFmtId="177" fontId="0" fillId="0" borderId="158" xfId="0" applyNumberFormat="1" applyBorder="1"/>
    <xf numFmtId="0" fontId="5" fillId="0" borderId="219" xfId="15" applyFont="1" applyBorder="1" applyAlignment="1">
      <alignment horizontal="center" vertical="center" readingOrder="2"/>
    </xf>
    <xf numFmtId="0" fontId="5" fillId="0" borderId="73" xfId="15" applyFont="1" applyBorder="1" applyAlignment="1">
      <alignment horizontal="center" vertical="center" readingOrder="2"/>
    </xf>
    <xf numFmtId="0" fontId="5" fillId="0" borderId="174" xfId="15" applyFont="1" applyBorder="1" applyAlignment="1">
      <alignment horizontal="center" vertical="center" readingOrder="2"/>
    </xf>
    <xf numFmtId="0" fontId="6" fillId="0" borderId="169" xfId="15" applyFont="1" applyBorder="1" applyAlignment="1">
      <alignment horizontal="center" vertical="center" readingOrder="2"/>
    </xf>
    <xf numFmtId="0" fontId="6" fillId="0" borderId="65" xfId="15" applyFont="1" applyBorder="1" applyAlignment="1">
      <alignment horizontal="center" vertical="center" readingOrder="2"/>
    </xf>
    <xf numFmtId="0" fontId="6" fillId="0" borderId="43" xfId="15" applyFont="1" applyBorder="1" applyAlignment="1">
      <alignment horizontal="center" vertical="center" readingOrder="2"/>
    </xf>
    <xf numFmtId="0" fontId="6" fillId="0" borderId="175" xfId="15" applyFont="1" applyBorder="1" applyAlignment="1">
      <alignment horizontal="center" vertical="center" readingOrder="2"/>
    </xf>
    <xf numFmtId="0" fontId="6" fillId="0" borderId="58" xfId="15" applyFont="1" applyBorder="1" applyAlignment="1">
      <alignment horizontal="center" vertical="center" readingOrder="2"/>
    </xf>
    <xf numFmtId="177" fontId="6" fillId="16" borderId="74" xfId="15" applyNumberFormat="1" applyFont="1" applyFill="1" applyBorder="1" applyAlignment="1">
      <alignment horizontal="center" vertical="center" readingOrder="2"/>
    </xf>
    <xf numFmtId="177" fontId="6" fillId="16" borderId="41" xfId="15" applyNumberFormat="1" applyFont="1" applyFill="1" applyBorder="1" applyAlignment="1">
      <alignment horizontal="center" vertical="center" readingOrder="2"/>
    </xf>
    <xf numFmtId="177" fontId="6" fillId="16" borderId="170" xfId="15" applyNumberFormat="1" applyFont="1" applyFill="1" applyBorder="1" applyAlignment="1">
      <alignment horizontal="center" vertical="center" readingOrder="2"/>
    </xf>
    <xf numFmtId="177" fontId="6" fillId="16" borderId="171" xfId="15" applyNumberFormat="1" applyFont="1" applyFill="1" applyBorder="1" applyAlignment="1">
      <alignment horizontal="center" vertical="center" readingOrder="2"/>
    </xf>
    <xf numFmtId="177" fontId="6" fillId="16" borderId="172" xfId="15" applyNumberFormat="1" applyFont="1" applyFill="1" applyBorder="1" applyAlignment="1">
      <alignment horizontal="center" vertical="center" readingOrder="2"/>
    </xf>
    <xf numFmtId="177" fontId="6" fillId="16" borderId="173" xfId="15" applyNumberFormat="1" applyFont="1" applyFill="1" applyBorder="1" applyAlignment="1">
      <alignment horizontal="center" vertical="center" readingOrder="2"/>
    </xf>
    <xf numFmtId="0" fontId="6" fillId="16" borderId="173" xfId="15" applyFont="1" applyFill="1" applyBorder="1" applyAlignment="1">
      <alignment horizontal="center" vertical="center" readingOrder="2"/>
    </xf>
    <xf numFmtId="0" fontId="6" fillId="16" borderId="180" xfId="15" applyFont="1" applyFill="1" applyBorder="1" applyAlignment="1">
      <alignment horizontal="center" vertical="center" readingOrder="2"/>
    </xf>
    <xf numFmtId="0" fontId="12" fillId="0" borderId="208" xfId="15" applyFont="1" applyBorder="1" applyAlignment="1">
      <alignment horizontal="center" vertical="center" wrapText="1" readingOrder="2"/>
    </xf>
    <xf numFmtId="0" fontId="6" fillId="0" borderId="212" xfId="15" applyFont="1" applyBorder="1" applyAlignment="1">
      <alignment horizontal="center" vertical="center" readingOrder="2"/>
    </xf>
    <xf numFmtId="0" fontId="6" fillId="0" borderId="213" xfId="15" applyFont="1" applyBorder="1" applyAlignment="1">
      <alignment horizontal="center" vertical="center" readingOrder="2"/>
    </xf>
    <xf numFmtId="177" fontId="6" fillId="16" borderId="211" xfId="15" applyNumberFormat="1" applyFont="1" applyFill="1" applyBorder="1" applyAlignment="1">
      <alignment horizontal="center" vertical="center" readingOrder="2"/>
    </xf>
    <xf numFmtId="177" fontId="6" fillId="16" borderId="209" xfId="15" applyNumberFormat="1" applyFont="1" applyFill="1" applyBorder="1" applyAlignment="1">
      <alignment horizontal="center" vertical="center" readingOrder="2"/>
    </xf>
    <xf numFmtId="0" fontId="2" fillId="0" borderId="226" xfId="15" applyFont="1" applyBorder="1" applyAlignment="1">
      <alignment horizontal="center" vertical="center" readingOrder="2"/>
    </xf>
    <xf numFmtId="0" fontId="2" fillId="0" borderId="234" xfId="15" applyFont="1" applyBorder="1" applyAlignment="1">
      <alignment horizontal="center" vertical="center" readingOrder="2"/>
    </xf>
    <xf numFmtId="0" fontId="2" fillId="0" borderId="227" xfId="15" applyFont="1" applyBorder="1" applyAlignment="1">
      <alignment horizontal="center" vertical="center" readingOrder="2"/>
    </xf>
    <xf numFmtId="0" fontId="2" fillId="0" borderId="36" xfId="15" applyFont="1" applyBorder="1" applyAlignment="1">
      <alignment horizontal="center" vertical="center" readingOrder="2"/>
    </xf>
    <xf numFmtId="0" fontId="2" fillId="0" borderId="62" xfId="15" applyFont="1" applyBorder="1" applyAlignment="1">
      <alignment horizontal="center" vertical="center" readingOrder="2"/>
    </xf>
    <xf numFmtId="0" fontId="2" fillId="0" borderId="63" xfId="15" applyFont="1" applyBorder="1" applyAlignment="1">
      <alignment horizontal="center" vertical="center" readingOrder="2"/>
    </xf>
    <xf numFmtId="0" fontId="2" fillId="0" borderId="58" xfId="15" applyFont="1" applyBorder="1" applyAlignment="1">
      <alignment horizontal="center" vertical="center" readingOrder="2"/>
    </xf>
    <xf numFmtId="0" fontId="2" fillId="0" borderId="64" xfId="15" applyFont="1" applyBorder="1" applyAlignment="1">
      <alignment horizontal="center" vertical="center" readingOrder="2"/>
    </xf>
    <xf numFmtId="177" fontId="7" fillId="2" borderId="230" xfId="15" applyNumberFormat="1" applyFont="1" applyFill="1" applyBorder="1" applyAlignment="1">
      <alignment horizontal="center" vertical="center" readingOrder="2"/>
    </xf>
    <xf numFmtId="177" fontId="7" fillId="2" borderId="232" xfId="15" applyNumberFormat="1" applyFont="1" applyFill="1" applyBorder="1" applyAlignment="1">
      <alignment horizontal="center" vertical="center" readingOrder="2"/>
    </xf>
    <xf numFmtId="177" fontId="7" fillId="2" borderId="233" xfId="15" applyNumberFormat="1" applyFont="1" applyFill="1" applyBorder="1" applyAlignment="1">
      <alignment horizontal="center" vertical="center" readingOrder="2"/>
    </xf>
    <xf numFmtId="177" fontId="7" fillId="2" borderId="238" xfId="15" applyNumberFormat="1" applyFont="1" applyFill="1" applyBorder="1" applyAlignment="1">
      <alignment horizontal="center" vertical="center" readingOrder="2"/>
    </xf>
    <xf numFmtId="0" fontId="6" fillId="2" borderId="238" xfId="15" applyFont="1" applyFill="1" applyBorder="1" applyAlignment="1">
      <alignment horizontal="center" vertical="center" readingOrder="2"/>
    </xf>
    <xf numFmtId="0" fontId="6" fillId="2" borderId="232" xfId="15" applyFont="1" applyFill="1" applyBorder="1" applyAlignment="1">
      <alignment horizontal="center" vertical="center" readingOrder="2"/>
    </xf>
    <xf numFmtId="0" fontId="6" fillId="2" borderId="231" xfId="15" applyFont="1" applyFill="1" applyBorder="1" applyAlignment="1">
      <alignment horizontal="center" vertical="center" readingOrder="2"/>
    </xf>
    <xf numFmtId="177" fontId="6" fillId="7" borderId="230" xfId="15" applyNumberFormat="1" applyFont="1" applyFill="1" applyBorder="1" applyAlignment="1">
      <alignment horizontal="center" vertical="center" readingOrder="2"/>
    </xf>
    <xf numFmtId="177" fontId="6" fillId="7" borderId="232" xfId="15" applyNumberFormat="1" applyFont="1" applyFill="1" applyBorder="1" applyAlignment="1">
      <alignment horizontal="center" vertical="center" readingOrder="2"/>
    </xf>
    <xf numFmtId="177" fontId="6" fillId="7" borderId="233" xfId="15" applyNumberFormat="1" applyFont="1" applyFill="1" applyBorder="1" applyAlignment="1">
      <alignment horizontal="center" vertical="center" readingOrder="2"/>
    </xf>
    <xf numFmtId="177" fontId="6" fillId="7" borderId="238" xfId="15" applyNumberFormat="1" applyFont="1" applyFill="1" applyBorder="1" applyAlignment="1">
      <alignment horizontal="center" vertical="center" readingOrder="2"/>
    </xf>
    <xf numFmtId="0" fontId="6" fillId="7" borderId="238" xfId="15" applyFont="1" applyFill="1" applyBorder="1" applyAlignment="1">
      <alignment horizontal="center" vertical="center" readingOrder="2"/>
    </xf>
    <xf numFmtId="0" fontId="6" fillId="7" borderId="232" xfId="15" applyFont="1" applyFill="1" applyBorder="1" applyAlignment="1">
      <alignment horizontal="center" vertical="center" readingOrder="2"/>
    </xf>
    <xf numFmtId="0" fontId="6" fillId="7" borderId="231" xfId="15" applyFont="1" applyFill="1" applyBorder="1" applyAlignment="1">
      <alignment horizontal="center" vertical="center" readingOrder="2"/>
    </xf>
    <xf numFmtId="0" fontId="6" fillId="16" borderId="238" xfId="15" applyFont="1" applyFill="1" applyBorder="1" applyAlignment="1">
      <alignment horizontal="center" vertical="center" readingOrder="2"/>
    </xf>
    <xf numFmtId="0" fontId="6" fillId="16" borderId="232" xfId="15" applyFont="1" applyFill="1" applyBorder="1" applyAlignment="1">
      <alignment horizontal="center" vertical="center" readingOrder="2"/>
    </xf>
    <xf numFmtId="0" fontId="6" fillId="16" borderId="231" xfId="15" applyFont="1" applyFill="1" applyBorder="1" applyAlignment="1">
      <alignment horizontal="center" vertical="center" readingOrder="2"/>
    </xf>
    <xf numFmtId="0" fontId="2" fillId="0" borderId="96" xfId="15" applyFont="1" applyBorder="1" applyAlignment="1">
      <alignment horizontal="center" vertical="center" readingOrder="2"/>
    </xf>
    <xf numFmtId="0" fontId="2" fillId="0" borderId="9" xfId="15" applyFont="1" applyBorder="1" applyAlignment="1">
      <alignment horizontal="center" vertical="center" readingOrder="2"/>
    </xf>
    <xf numFmtId="0" fontId="2" fillId="0" borderId="144" xfId="15" applyFont="1" applyBorder="1" applyAlignment="1">
      <alignment horizontal="center" vertical="center" readingOrder="2"/>
    </xf>
    <xf numFmtId="0" fontId="2" fillId="0" borderId="145" xfId="15" applyFont="1" applyBorder="1" applyAlignment="1">
      <alignment horizontal="center" vertical="center" readingOrder="2"/>
    </xf>
    <xf numFmtId="0" fontId="2" fillId="0" borderId="146" xfId="15" applyFont="1" applyBorder="1" applyAlignment="1">
      <alignment horizontal="center" vertical="center" readingOrder="2"/>
    </xf>
    <xf numFmtId="0" fontId="60" fillId="0" borderId="6" xfId="15" applyFont="1" applyBorder="1" applyAlignment="1">
      <alignment horizontal="center" vertical="center" wrapText="1" readingOrder="2"/>
    </xf>
    <xf numFmtId="0" fontId="60" fillId="0" borderId="96" xfId="15" applyFont="1" applyBorder="1" applyAlignment="1">
      <alignment horizontal="center" vertical="center" wrapText="1" readingOrder="2"/>
    </xf>
    <xf numFmtId="0" fontId="60" fillId="0" borderId="0" xfId="15" applyFont="1" applyAlignment="1">
      <alignment horizontal="center" vertical="center" wrapText="1" readingOrder="2"/>
    </xf>
    <xf numFmtId="0" fontId="60" fillId="0" borderId="62" xfId="15" applyFont="1" applyBorder="1" applyAlignment="1">
      <alignment horizontal="center" vertical="center" wrapText="1" readingOrder="2"/>
    </xf>
    <xf numFmtId="0" fontId="60" fillId="0" borderId="145" xfId="15" applyFont="1" applyBorder="1" applyAlignment="1">
      <alignment horizontal="center" vertical="center" wrapText="1" readingOrder="2"/>
    </xf>
    <xf numFmtId="0" fontId="60" fillId="0" borderId="146" xfId="15" applyFont="1" applyBorder="1" applyAlignment="1">
      <alignment horizontal="center" vertical="center" wrapText="1" readingOrder="2"/>
    </xf>
    <xf numFmtId="0" fontId="2" fillId="0" borderId="10" xfId="15" applyFont="1" applyBorder="1" applyAlignment="1">
      <alignment horizontal="center" vertical="center" readingOrder="2"/>
    </xf>
    <xf numFmtId="0" fontId="2" fillId="0" borderId="147" xfId="15" applyFont="1" applyBorder="1" applyAlignment="1">
      <alignment horizontal="center" vertical="center" readingOrder="2"/>
    </xf>
    <xf numFmtId="0" fontId="61" fillId="0" borderId="95" xfId="15" applyFont="1" applyBorder="1" applyAlignment="1">
      <alignment horizontal="center" vertical="center" readingOrder="2"/>
    </xf>
    <xf numFmtId="0" fontId="61" fillId="0" borderId="87" xfId="15" applyFont="1" applyBorder="1" applyAlignment="1">
      <alignment horizontal="center" vertical="center" readingOrder="2"/>
    </xf>
    <xf numFmtId="0" fontId="61" fillId="0" borderId="148" xfId="15" applyFont="1" applyBorder="1" applyAlignment="1">
      <alignment horizontal="center" vertical="center" readingOrder="2"/>
    </xf>
    <xf numFmtId="0" fontId="61" fillId="0" borderId="149" xfId="15" applyFont="1" applyBorder="1" applyAlignment="1">
      <alignment horizontal="center" vertical="center" readingOrder="2"/>
    </xf>
    <xf numFmtId="0" fontId="61" fillId="0" borderId="86" xfId="15" applyFont="1" applyBorder="1" applyAlignment="1">
      <alignment horizontal="center" vertical="center" readingOrder="2"/>
    </xf>
    <xf numFmtId="49" fontId="61" fillId="0" borderId="93" xfId="15" applyNumberFormat="1" applyFont="1" applyBorder="1" applyAlignment="1">
      <alignment horizontal="center" vertical="center" readingOrder="2"/>
    </xf>
    <xf numFmtId="0" fontId="61" fillId="0" borderId="93" xfId="15" applyFont="1" applyBorder="1" applyAlignment="1">
      <alignment horizontal="center" vertical="center" readingOrder="2"/>
    </xf>
    <xf numFmtId="0" fontId="6" fillId="0" borderId="145" xfId="15" applyFont="1" applyBorder="1" applyAlignment="1">
      <alignment horizontal="center" vertical="center" readingOrder="2"/>
    </xf>
    <xf numFmtId="0" fontId="6" fillId="0" borderId="150" xfId="15" applyFont="1" applyBorder="1" applyAlignment="1">
      <alignment horizontal="center" vertical="center" readingOrder="2"/>
    </xf>
    <xf numFmtId="0" fontId="6" fillId="0" borderId="98" xfId="15" applyFont="1" applyBorder="1" applyAlignment="1">
      <alignment horizontal="center" vertical="center" readingOrder="2"/>
    </xf>
    <xf numFmtId="0" fontId="6" fillId="0" borderId="151" xfId="15" applyFont="1" applyBorder="1" applyAlignment="1">
      <alignment horizontal="center" vertical="center" readingOrder="2"/>
    </xf>
    <xf numFmtId="0" fontId="12" fillId="0" borderId="151" xfId="15" applyFont="1" applyBorder="1" applyAlignment="1">
      <alignment horizontal="center" vertical="center" wrapText="1" readingOrder="2"/>
    </xf>
    <xf numFmtId="0" fontId="12" fillId="0" borderId="87" xfId="15" applyFont="1" applyBorder="1" applyAlignment="1">
      <alignment horizontal="center" vertical="center" wrapText="1" readingOrder="2"/>
    </xf>
    <xf numFmtId="0" fontId="12" fillId="0" borderId="88" xfId="15" applyFont="1" applyBorder="1" applyAlignment="1">
      <alignment horizontal="center" vertical="center" wrapText="1" readingOrder="2"/>
    </xf>
    <xf numFmtId="0" fontId="69" fillId="0" borderId="87" xfId="15" applyFont="1" applyBorder="1" applyAlignment="1">
      <alignment horizontal="center" vertical="center" wrapText="1" readingOrder="2"/>
    </xf>
    <xf numFmtId="0" fontId="69" fillId="0" borderId="88" xfId="15" applyFont="1" applyBorder="1" applyAlignment="1">
      <alignment horizontal="center" vertical="center" wrapText="1" readingOrder="2"/>
    </xf>
    <xf numFmtId="0" fontId="6" fillId="0" borderId="139" xfId="15" applyFont="1" applyBorder="1" applyAlignment="1">
      <alignment horizontal="center" vertical="center" readingOrder="2"/>
    </xf>
    <xf numFmtId="0" fontId="12" fillId="0" borderId="140" xfId="15" applyFont="1" applyBorder="1" applyAlignment="1">
      <alignment horizontal="center" vertical="center" readingOrder="2"/>
    </xf>
    <xf numFmtId="0" fontId="12" fillId="0" borderId="93" xfId="15" applyFont="1" applyBorder="1" applyAlignment="1">
      <alignment horizontal="center" vertical="center" readingOrder="2"/>
    </xf>
    <xf numFmtId="0" fontId="12" fillId="0" borderId="94" xfId="15" applyFont="1" applyBorder="1" applyAlignment="1">
      <alignment horizontal="center" vertical="center" readingOrder="2"/>
    </xf>
    <xf numFmtId="0" fontId="12" fillId="0" borderId="139" xfId="15" applyFont="1" applyBorder="1" applyAlignment="1">
      <alignment horizontal="center" vertical="center" readingOrder="2"/>
    </xf>
    <xf numFmtId="0" fontId="12" fillId="0" borderId="142" xfId="15" applyFont="1" applyBorder="1" applyAlignment="1">
      <alignment horizontal="center" vertical="center" readingOrder="2"/>
    </xf>
    <xf numFmtId="0" fontId="6" fillId="43" borderId="93" xfId="15" applyFont="1" applyFill="1" applyBorder="1" applyAlignment="1">
      <alignment horizontal="center" vertical="center" readingOrder="2"/>
    </xf>
    <xf numFmtId="0" fontId="6" fillId="43" borderId="94" xfId="15" applyFont="1" applyFill="1" applyBorder="1" applyAlignment="1">
      <alignment horizontal="center" vertical="center" readingOrder="2"/>
    </xf>
    <xf numFmtId="0" fontId="6" fillId="0" borderId="125" xfId="15" applyFont="1" applyBorder="1" applyAlignment="1">
      <alignment horizontal="center" vertical="center" readingOrder="2"/>
    </xf>
    <xf numFmtId="0" fontId="12" fillId="0" borderId="126" xfId="15" applyFont="1" applyBorder="1" applyAlignment="1">
      <alignment horizontal="center" vertical="center" wrapText="1" readingOrder="2"/>
    </xf>
    <xf numFmtId="0" fontId="12" fillId="0" borderId="127" xfId="15" applyFont="1" applyBorder="1" applyAlignment="1">
      <alignment horizontal="center" vertical="center" wrapText="1" readingOrder="2"/>
    </xf>
    <xf numFmtId="0" fontId="12" fillId="0" borderId="133" xfId="15" applyFont="1" applyBorder="1" applyAlignment="1">
      <alignment horizontal="center" vertical="center" wrapText="1" readingOrder="2"/>
    </xf>
    <xf numFmtId="0" fontId="6" fillId="0" borderId="133" xfId="15" applyFont="1" applyBorder="1" applyAlignment="1">
      <alignment horizontal="center" vertical="center" readingOrder="2"/>
    </xf>
    <xf numFmtId="0" fontId="69" fillId="0" borderId="154" xfId="15" applyFont="1" applyBorder="1" applyAlignment="1">
      <alignment horizontal="center" vertical="center" readingOrder="2"/>
    </xf>
    <xf numFmtId="0" fontId="69" fillId="0" borderId="73" xfId="15" applyFont="1" applyBorder="1" applyAlignment="1">
      <alignment horizontal="center" vertical="center" readingOrder="2"/>
    </xf>
    <xf numFmtId="0" fontId="6" fillId="16" borderId="41" xfId="15" applyFont="1" applyFill="1" applyBorder="1" applyAlignment="1">
      <alignment horizontal="center" vertical="center" readingOrder="2"/>
    </xf>
    <xf numFmtId="0" fontId="6" fillId="16" borderId="43" xfId="15" applyFont="1" applyFill="1" applyBorder="1" applyAlignment="1">
      <alignment horizontal="center" vertical="center" readingOrder="2"/>
    </xf>
    <xf numFmtId="0" fontId="6" fillId="0" borderId="152" xfId="15" applyFont="1" applyBorder="1" applyAlignment="1">
      <alignment horizontal="center" vertical="center" readingOrder="2"/>
    </xf>
    <xf numFmtId="0" fontId="6" fillId="17" borderId="150" xfId="15" applyFont="1" applyFill="1" applyBorder="1" applyAlignment="1">
      <alignment horizontal="center" vertical="center" readingOrder="2"/>
    </xf>
    <xf numFmtId="0" fontId="6" fillId="17" borderId="102" xfId="15" applyFont="1" applyFill="1" applyBorder="1" applyAlignment="1">
      <alignment horizontal="center" vertical="center" readingOrder="2"/>
    </xf>
    <xf numFmtId="0" fontId="6" fillId="17" borderId="68" xfId="15" applyFont="1" applyFill="1" applyBorder="1" applyAlignment="1">
      <alignment horizontal="center" vertical="center" readingOrder="2"/>
    </xf>
    <xf numFmtId="0" fontId="6" fillId="17" borderId="6" xfId="15" applyFont="1" applyFill="1" applyBorder="1" applyAlignment="1">
      <alignment horizontal="center" vertical="center" readingOrder="2"/>
    </xf>
    <xf numFmtId="0" fontId="6" fillId="17" borderId="153" xfId="15" applyFont="1" applyFill="1" applyBorder="1" applyAlignment="1">
      <alignment horizontal="center" vertical="center" readingOrder="2"/>
    </xf>
    <xf numFmtId="0" fontId="6" fillId="17" borderId="106" xfId="15" applyFont="1" applyFill="1" applyBorder="1" applyAlignment="1">
      <alignment horizontal="center" vertical="center" readingOrder="2"/>
    </xf>
    <xf numFmtId="0" fontId="6" fillId="17" borderId="97" xfId="15" applyFont="1" applyFill="1" applyBorder="1" applyAlignment="1">
      <alignment horizontal="center" vertical="center" readingOrder="2"/>
    </xf>
    <xf numFmtId="0" fontId="6" fillId="17" borderId="98" xfId="15" applyFont="1" applyFill="1" applyBorder="1" applyAlignment="1">
      <alignment horizontal="center" vertical="center" readingOrder="2"/>
    </xf>
    <xf numFmtId="0" fontId="6" fillId="17" borderId="151" xfId="15" applyFont="1" applyFill="1" applyBorder="1" applyAlignment="1">
      <alignment horizontal="center" vertical="center" readingOrder="2"/>
    </xf>
    <xf numFmtId="0" fontId="6" fillId="17" borderId="103" xfId="15" applyFont="1" applyFill="1" applyBorder="1" applyAlignment="1">
      <alignment horizontal="center" vertical="center" readingOrder="2"/>
    </xf>
    <xf numFmtId="0" fontId="6" fillId="17" borderId="104" xfId="15" applyFont="1" applyFill="1" applyBorder="1" applyAlignment="1">
      <alignment horizontal="center" vertical="center" readingOrder="2"/>
    </xf>
    <xf numFmtId="0" fontId="6" fillId="17" borderId="101" xfId="15" applyFont="1" applyFill="1" applyBorder="1" applyAlignment="1">
      <alignment horizontal="center" vertical="center" readingOrder="2"/>
    </xf>
    <xf numFmtId="0" fontId="6" fillId="17" borderId="108" xfId="15" applyFont="1" applyFill="1" applyBorder="1" applyAlignment="1">
      <alignment horizontal="center" vertical="center" readingOrder="2"/>
    </xf>
    <xf numFmtId="0" fontId="6" fillId="17" borderId="111" xfId="15" applyFont="1" applyFill="1" applyBorder="1" applyAlignment="1">
      <alignment horizontal="center" vertical="center" readingOrder="2"/>
    </xf>
    <xf numFmtId="0" fontId="12" fillId="17" borderId="108" xfId="15" applyFont="1" applyFill="1" applyBorder="1" applyAlignment="1">
      <alignment horizontal="center" vertical="center" wrapText="1" readingOrder="2"/>
    </xf>
    <xf numFmtId="0" fontId="12" fillId="17" borderId="103" xfId="15" applyFont="1" applyFill="1" applyBorder="1" applyAlignment="1">
      <alignment horizontal="center" vertical="center" wrapText="1" readingOrder="2"/>
    </xf>
    <xf numFmtId="0" fontId="6" fillId="17" borderId="103" xfId="15" applyFont="1" applyFill="1" applyBorder="1" applyAlignment="1">
      <alignment horizontal="center" vertical="center" wrapText="1" readingOrder="2"/>
    </xf>
    <xf numFmtId="0" fontId="2" fillId="0" borderId="155" xfId="15" applyFont="1" applyBorder="1" applyAlignment="1">
      <alignment horizontal="center" vertical="center" readingOrder="2"/>
    </xf>
    <xf numFmtId="0" fontId="2" fillId="0" borderId="156" xfId="15" applyFont="1" applyBorder="1" applyAlignment="1">
      <alignment horizontal="center" vertical="center" readingOrder="2"/>
    </xf>
    <xf numFmtId="0" fontId="2" fillId="0" borderId="157" xfId="15" applyFont="1" applyBorder="1" applyAlignment="1">
      <alignment horizontal="center" vertical="center" readingOrder="2"/>
    </xf>
    <xf numFmtId="0" fontId="2" fillId="0" borderId="31" xfId="15" applyFont="1" applyBorder="1" applyAlignment="1">
      <alignment horizontal="center" vertical="center" readingOrder="2"/>
    </xf>
    <xf numFmtId="0" fontId="2" fillId="0" borderId="59" xfId="15" applyFont="1" applyBorder="1" applyAlignment="1">
      <alignment horizontal="center" vertical="center" readingOrder="2"/>
    </xf>
    <xf numFmtId="0" fontId="2" fillId="0" borderId="159" xfId="15" applyFont="1" applyBorder="1" applyAlignment="1">
      <alignment horizontal="center" vertical="center" readingOrder="2"/>
    </xf>
    <xf numFmtId="0" fontId="2" fillId="0" borderId="60" xfId="15" applyFont="1" applyBorder="1" applyAlignment="1">
      <alignment horizontal="center" vertical="center" readingOrder="2"/>
    </xf>
    <xf numFmtId="0" fontId="2" fillId="0" borderId="65" xfId="15" applyFont="1" applyBorder="1" applyAlignment="1">
      <alignment horizontal="center" vertical="center" readingOrder="2"/>
    </xf>
    <xf numFmtId="0" fontId="2" fillId="0" borderId="167" xfId="15" applyFont="1" applyBorder="1" applyAlignment="1">
      <alignment horizontal="center" vertical="center" readingOrder="2"/>
    </xf>
    <xf numFmtId="177" fontId="7" fillId="2" borderId="128" xfId="15" applyNumberFormat="1" applyFont="1" applyFill="1" applyBorder="1" applyAlignment="1">
      <alignment horizontal="center" vertical="center" readingOrder="2"/>
    </xf>
    <xf numFmtId="177" fontId="7" fillId="2" borderId="129" xfId="15" applyNumberFormat="1" applyFont="1" applyFill="1" applyBorder="1" applyAlignment="1">
      <alignment horizontal="center" vertical="center" readingOrder="2"/>
    </xf>
    <xf numFmtId="177" fontId="7" fillId="2" borderId="126" xfId="15" applyNumberFormat="1" applyFont="1" applyFill="1" applyBorder="1" applyAlignment="1">
      <alignment horizontal="center" vertical="center" readingOrder="2"/>
    </xf>
    <xf numFmtId="177" fontId="7" fillId="2" borderId="158" xfId="15" applyNumberFormat="1" applyFont="1" applyFill="1" applyBorder="1" applyAlignment="1">
      <alignment horizontal="center" vertical="center" readingOrder="2"/>
    </xf>
    <xf numFmtId="0" fontId="6" fillId="2" borderId="129" xfId="15" applyFont="1" applyFill="1" applyBorder="1" applyAlignment="1">
      <alignment horizontal="center" vertical="center" readingOrder="2"/>
    </xf>
    <xf numFmtId="0" fontId="6" fillId="2" borderId="126" xfId="15" applyFont="1" applyFill="1" applyBorder="1" applyAlignment="1">
      <alignment horizontal="center" vertical="center" readingOrder="2"/>
    </xf>
    <xf numFmtId="177" fontId="6" fillId="7" borderId="160" xfId="15" applyNumberFormat="1" applyFont="1" applyFill="1" applyBorder="1" applyAlignment="1">
      <alignment horizontal="center" vertical="center" readingOrder="2"/>
    </xf>
    <xf numFmtId="177" fontId="6" fillId="7" borderId="161" xfId="15" applyNumberFormat="1" applyFont="1" applyFill="1" applyBorder="1" applyAlignment="1">
      <alignment horizontal="center" vertical="center" readingOrder="2"/>
    </xf>
    <xf numFmtId="177" fontId="6" fillId="7" borderId="162" xfId="15" applyNumberFormat="1" applyFont="1" applyFill="1" applyBorder="1" applyAlignment="1">
      <alignment horizontal="center" vertical="center" readingOrder="2"/>
    </xf>
    <xf numFmtId="177" fontId="6" fillId="7" borderId="163" xfId="15" applyNumberFormat="1" applyFont="1" applyFill="1" applyBorder="1" applyAlignment="1">
      <alignment horizontal="center" vertical="center" readingOrder="2"/>
    </xf>
    <xf numFmtId="177" fontId="6" fillId="7" borderId="164" xfId="15" applyNumberFormat="1" applyFont="1" applyFill="1" applyBorder="1" applyAlignment="1">
      <alignment horizontal="center" vertical="center" readingOrder="2"/>
    </xf>
    <xf numFmtId="177" fontId="6" fillId="7" borderId="165" xfId="15" applyNumberFormat="1" applyFont="1" applyFill="1" applyBorder="1" applyAlignment="1">
      <alignment horizontal="center" vertical="center" readingOrder="2"/>
    </xf>
    <xf numFmtId="0" fontId="6" fillId="7" borderId="165" xfId="15" applyFont="1" applyFill="1" applyBorder="1" applyAlignment="1">
      <alignment horizontal="center" vertical="center" readingOrder="2"/>
    </xf>
    <xf numFmtId="0" fontId="6" fillId="7" borderId="166" xfId="15" applyFont="1" applyFill="1" applyBorder="1" applyAlignment="1">
      <alignment horizontal="center" vertical="center" readingOrder="2"/>
    </xf>
    <xf numFmtId="0" fontId="6" fillId="16" borderId="169" xfId="15" applyFont="1" applyFill="1" applyBorder="1" applyAlignment="1">
      <alignment horizontal="center" vertical="center" readingOrder="2"/>
    </xf>
    <xf numFmtId="0" fontId="2" fillId="0" borderId="2" xfId="15" applyFont="1" applyBorder="1" applyAlignment="1">
      <alignment horizontal="center" vertical="center" readingOrder="2"/>
    </xf>
    <xf numFmtId="177" fontId="7" fillId="2" borderId="211" xfId="15" applyNumberFormat="1" applyFont="1" applyFill="1" applyBorder="1" applyAlignment="1">
      <alignment horizontal="center" vertical="center" readingOrder="2"/>
    </xf>
    <xf numFmtId="177" fontId="7" fillId="2" borderId="209" xfId="15" applyNumberFormat="1" applyFont="1" applyFill="1" applyBorder="1" applyAlignment="1">
      <alignment horizontal="center" vertical="center" readingOrder="2"/>
    </xf>
    <xf numFmtId="0" fontId="6" fillId="7" borderId="161" xfId="15" applyFont="1" applyFill="1" applyBorder="1" applyAlignment="1">
      <alignment horizontal="center" vertical="center" readingOrder="2"/>
    </xf>
    <xf numFmtId="0" fontId="6" fillId="7" borderId="162" xfId="15" applyFont="1" applyFill="1" applyBorder="1" applyAlignment="1">
      <alignment horizontal="center" vertical="center" readingOrder="2"/>
    </xf>
    <xf numFmtId="0" fontId="6" fillId="2" borderId="209" xfId="15" applyFont="1" applyFill="1" applyBorder="1" applyAlignment="1">
      <alignment horizontal="center" vertical="center" readingOrder="2"/>
    </xf>
    <xf numFmtId="0" fontId="6" fillId="2" borderId="210" xfId="15" applyFont="1" applyFill="1" applyBorder="1" applyAlignment="1">
      <alignment horizontal="center" vertical="center" readingOrder="2"/>
    </xf>
    <xf numFmtId="177" fontId="6" fillId="7" borderId="211" xfId="15" applyNumberFormat="1" applyFont="1" applyFill="1" applyBorder="1" applyAlignment="1">
      <alignment horizontal="center" vertical="center" readingOrder="2"/>
    </xf>
    <xf numFmtId="177" fontId="6" fillId="7" borderId="209" xfId="15" applyNumberFormat="1" applyFont="1" applyFill="1" applyBorder="1" applyAlignment="1">
      <alignment horizontal="center" vertical="center" readingOrder="2"/>
    </xf>
    <xf numFmtId="0" fontId="6" fillId="7" borderId="209" xfId="15" applyFont="1" applyFill="1" applyBorder="1" applyAlignment="1">
      <alignment horizontal="center" vertical="center" readingOrder="2"/>
    </xf>
    <xf numFmtId="0" fontId="6" fillId="7" borderId="210" xfId="15" applyFont="1" applyFill="1" applyBorder="1" applyAlignment="1">
      <alignment horizontal="center" vertical="center" readingOrder="2"/>
    </xf>
    <xf numFmtId="0" fontId="6" fillId="16" borderId="209" xfId="15" applyFont="1" applyFill="1" applyBorder="1" applyAlignment="1">
      <alignment horizontal="center" vertical="center" readingOrder="2"/>
    </xf>
    <xf numFmtId="0" fontId="6" fillId="16" borderId="210" xfId="15" applyFont="1" applyFill="1" applyBorder="1" applyAlignment="1">
      <alignment horizontal="center" vertical="center" readingOrder="2"/>
    </xf>
    <xf numFmtId="0" fontId="12" fillId="0" borderId="168" xfId="15" applyFont="1" applyBorder="1" applyAlignment="1">
      <alignment horizontal="center" vertical="center" readingOrder="2"/>
    </xf>
    <xf numFmtId="0" fontId="12" fillId="0" borderId="73" xfId="15" applyFont="1" applyBorder="1" applyAlignment="1">
      <alignment horizontal="center" vertical="center" readingOrder="2"/>
    </xf>
    <xf numFmtId="0" fontId="12" fillId="0" borderId="174" xfId="15" applyFont="1" applyBorder="1" applyAlignment="1">
      <alignment horizontal="center" vertical="center" readingOrder="2"/>
    </xf>
    <xf numFmtId="0" fontId="6" fillId="0" borderId="169" xfId="15" applyFont="1" applyBorder="1" applyAlignment="1">
      <alignment horizontal="center" vertical="center" wrapText="1" readingOrder="2"/>
    </xf>
    <xf numFmtId="0" fontId="6" fillId="0" borderId="65" xfId="15" applyFont="1" applyBorder="1" applyAlignment="1">
      <alignment horizontal="center" vertical="center" wrapText="1" readingOrder="2"/>
    </xf>
    <xf numFmtId="0" fontId="6" fillId="0" borderId="43" xfId="15" applyFont="1" applyBorder="1" applyAlignment="1">
      <alignment horizontal="center" vertical="center" wrapText="1" readingOrder="2"/>
    </xf>
    <xf numFmtId="0" fontId="6" fillId="0" borderId="0" xfId="15" applyFont="1" applyAlignment="1">
      <alignment horizontal="center" vertical="center" wrapText="1" readingOrder="2"/>
    </xf>
    <xf numFmtId="0" fontId="6" fillId="0" borderId="175" xfId="15" applyFont="1" applyBorder="1" applyAlignment="1">
      <alignment horizontal="center" vertical="center" wrapText="1" readingOrder="2"/>
    </xf>
    <xf numFmtId="0" fontId="6" fillId="0" borderId="58" xfId="15" applyFont="1" applyBorder="1" applyAlignment="1">
      <alignment horizontal="center" vertical="center" wrapText="1" readingOrder="2"/>
    </xf>
    <xf numFmtId="0" fontId="12" fillId="0" borderId="240" xfId="15" applyFont="1" applyBorder="1" applyAlignment="1">
      <alignment horizontal="center" vertical="center" wrapText="1" readingOrder="2"/>
    </xf>
    <xf numFmtId="0" fontId="12" fillId="0" borderId="74" xfId="15" applyFont="1" applyBorder="1" applyAlignment="1">
      <alignment horizontal="center" vertical="center" wrapText="1" readingOrder="2"/>
    </xf>
    <xf numFmtId="0" fontId="12" fillId="0" borderId="241" xfId="15" applyFont="1" applyBorder="1" applyAlignment="1">
      <alignment horizontal="center" vertical="center" wrapText="1" readingOrder="2"/>
    </xf>
    <xf numFmtId="0" fontId="6" fillId="0" borderId="239" xfId="15" applyFont="1" applyBorder="1" applyAlignment="1">
      <alignment horizontal="center" vertical="center" wrapText="1" readingOrder="2"/>
    </xf>
    <xf numFmtId="0" fontId="6" fillId="0" borderId="234" xfId="15" applyFont="1" applyBorder="1" applyAlignment="1">
      <alignment horizontal="center" vertical="center" wrapText="1" readingOrder="2"/>
    </xf>
    <xf numFmtId="0" fontId="6" fillId="0" borderId="227" xfId="15" applyFont="1" applyBorder="1" applyAlignment="1">
      <alignment horizontal="center" vertical="center" wrapText="1" readingOrder="2"/>
    </xf>
    <xf numFmtId="0" fontId="6" fillId="0" borderId="62" xfId="15" applyFont="1" applyBorder="1" applyAlignment="1">
      <alignment horizontal="center" vertical="center" wrapText="1" readingOrder="2"/>
    </xf>
    <xf numFmtId="0" fontId="6" fillId="0" borderId="64" xfId="15" applyFont="1" applyBorder="1" applyAlignment="1">
      <alignment horizontal="center" vertical="center" wrapText="1" readingOrder="2"/>
    </xf>
    <xf numFmtId="177" fontId="6" fillId="16" borderId="230" xfId="15" applyNumberFormat="1" applyFont="1" applyFill="1" applyBorder="1" applyAlignment="1">
      <alignment horizontal="center" vertical="center" readingOrder="2"/>
    </xf>
    <xf numFmtId="177" fontId="6" fillId="16" borderId="232" xfId="15" applyNumberFormat="1" applyFont="1" applyFill="1" applyBorder="1" applyAlignment="1">
      <alignment horizontal="center" vertical="center" readingOrder="2"/>
    </xf>
    <xf numFmtId="177" fontId="6" fillId="16" borderId="233" xfId="15" applyNumberFormat="1" applyFont="1" applyFill="1" applyBorder="1" applyAlignment="1">
      <alignment horizontal="center" vertical="center" readingOrder="2"/>
    </xf>
    <xf numFmtId="177" fontId="6" fillId="16" borderId="238" xfId="15" applyNumberFormat="1" applyFont="1" applyFill="1" applyBorder="1" applyAlignment="1">
      <alignment horizontal="center" vertical="center" readingOrder="2"/>
    </xf>
    <xf numFmtId="0" fontId="2" fillId="0" borderId="176" xfId="15" applyFont="1" applyBorder="1" applyAlignment="1">
      <alignment horizontal="center" vertical="center" readingOrder="2"/>
    </xf>
    <xf numFmtId="0" fontId="6" fillId="2" borderId="130" xfId="15" applyFont="1" applyFill="1" applyBorder="1" applyAlignment="1">
      <alignment horizontal="center" vertical="center" readingOrder="2"/>
    </xf>
    <xf numFmtId="177" fontId="6" fillId="7" borderId="181" xfId="15" applyNumberFormat="1" applyFont="1" applyFill="1" applyBorder="1" applyAlignment="1">
      <alignment horizontal="center" vertical="center" readingOrder="2"/>
    </xf>
    <xf numFmtId="0" fontId="6" fillId="7" borderId="182" xfId="15" applyFont="1" applyFill="1" applyBorder="1" applyAlignment="1">
      <alignment horizontal="center" vertical="center" readingOrder="2"/>
    </xf>
    <xf numFmtId="177" fontId="6" fillId="16" borderId="178" xfId="15" applyNumberFormat="1" applyFont="1" applyFill="1" applyBorder="1" applyAlignment="1">
      <alignment horizontal="center" vertical="center" readingOrder="2"/>
    </xf>
    <xf numFmtId="177" fontId="6" fillId="16" borderId="179" xfId="15" applyNumberFormat="1" applyFont="1" applyFill="1" applyBorder="1" applyAlignment="1">
      <alignment horizontal="center" vertical="center" readingOrder="2"/>
    </xf>
    <xf numFmtId="0" fontId="6" fillId="0" borderId="184" xfId="15" applyFont="1" applyBorder="1" applyAlignment="1">
      <alignment horizontal="center" vertical="center" readingOrder="2"/>
    </xf>
    <xf numFmtId="0" fontId="6" fillId="0" borderId="59" xfId="15" applyFont="1" applyBorder="1" applyAlignment="1">
      <alignment horizontal="center" vertical="center" readingOrder="2"/>
    </xf>
    <xf numFmtId="177" fontId="6" fillId="16" borderId="185" xfId="15" applyNumberFormat="1" applyFont="1" applyFill="1" applyBorder="1" applyAlignment="1">
      <alignment horizontal="center" vertical="center" readingOrder="2"/>
    </xf>
    <xf numFmtId="177" fontId="6" fillId="7" borderId="186" xfId="15" applyNumberFormat="1" applyFont="1" applyFill="1" applyBorder="1" applyAlignment="1">
      <alignment horizontal="center" vertical="center" readingOrder="2"/>
    </xf>
    <xf numFmtId="177" fontId="6" fillId="7" borderId="187" xfId="15" applyNumberFormat="1" applyFont="1" applyFill="1" applyBorder="1" applyAlignment="1">
      <alignment horizontal="center" vertical="center" readingOrder="2"/>
    </xf>
    <xf numFmtId="177" fontId="6" fillId="7" borderId="188" xfId="15" applyNumberFormat="1" applyFont="1" applyFill="1" applyBorder="1" applyAlignment="1">
      <alignment horizontal="center" vertical="center" readingOrder="2"/>
    </xf>
    <xf numFmtId="177" fontId="6" fillId="7" borderId="166" xfId="15" applyNumberFormat="1" applyFont="1" applyFill="1" applyBorder="1" applyAlignment="1">
      <alignment horizontal="center" vertical="center" readingOrder="2"/>
    </xf>
    <xf numFmtId="0" fontId="6" fillId="7" borderId="189" xfId="15" applyFont="1" applyFill="1" applyBorder="1" applyAlignment="1">
      <alignment horizontal="center" vertical="center" readingOrder="2"/>
    </xf>
    <xf numFmtId="0" fontId="2" fillId="0" borderId="139" xfId="15" applyFont="1" applyBorder="1" applyAlignment="1">
      <alignment horizontal="center" vertical="center" readingOrder="2"/>
    </xf>
    <xf numFmtId="0" fontId="2" fillId="0" borderId="142" xfId="15" applyFont="1" applyBorder="1" applyAlignment="1">
      <alignment horizontal="center" vertical="center" readingOrder="2"/>
    </xf>
    <xf numFmtId="0" fontId="2" fillId="0" borderId="197" xfId="15" applyFont="1" applyBorder="1" applyAlignment="1">
      <alignment horizontal="center" vertical="center" readingOrder="2"/>
    </xf>
    <xf numFmtId="0" fontId="5" fillId="0" borderId="220" xfId="15" applyFont="1" applyBorder="1" applyAlignment="1">
      <alignment horizontal="center" vertical="center" readingOrder="2"/>
    </xf>
    <xf numFmtId="177" fontId="62" fillId="18" borderId="131" xfId="15" applyNumberFormat="1" applyFont="1" applyFill="1" applyBorder="1" applyAlignment="1">
      <alignment horizontal="center" vertical="center" readingOrder="2"/>
    </xf>
    <xf numFmtId="177" fontId="62" fillId="18" borderId="127" xfId="15" applyNumberFormat="1" applyFont="1" applyFill="1" applyBorder="1" applyAlignment="1">
      <alignment horizontal="center" vertical="center" readingOrder="2"/>
    </xf>
    <xf numFmtId="177" fontId="62" fillId="18" borderId="158" xfId="15" applyNumberFormat="1" applyFont="1" applyFill="1" applyBorder="1" applyAlignment="1">
      <alignment horizontal="center" vertical="center" readingOrder="2"/>
    </xf>
    <xf numFmtId="177" fontId="6" fillId="18" borderId="91" xfId="15" applyNumberFormat="1" applyFont="1" applyFill="1" applyBorder="1" applyAlignment="1">
      <alignment horizontal="center" vertical="center" readingOrder="2"/>
    </xf>
    <xf numFmtId="177" fontId="6" fillId="18" borderId="93" xfId="15" applyNumberFormat="1" applyFont="1" applyFill="1" applyBorder="1" applyAlignment="1">
      <alignment horizontal="center" vertical="center" readingOrder="2"/>
    </xf>
    <xf numFmtId="177" fontId="6" fillId="18" borderId="193" xfId="15" applyNumberFormat="1" applyFont="1" applyFill="1" applyBorder="1" applyAlignment="1">
      <alignment horizontal="center" vertical="center" readingOrder="2"/>
    </xf>
    <xf numFmtId="177" fontId="6" fillId="18" borderId="140" xfId="15" applyNumberFormat="1" applyFont="1" applyFill="1" applyBorder="1" applyAlignment="1">
      <alignment horizontal="center" vertical="center" readingOrder="2"/>
    </xf>
    <xf numFmtId="0" fontId="6" fillId="18" borderId="142" xfId="15" applyFont="1" applyFill="1" applyBorder="1" applyAlignment="1">
      <alignment horizontal="center" vertical="center" readingOrder="2"/>
    </xf>
    <xf numFmtId="0" fontId="6" fillId="18" borderId="143" xfId="15" applyFont="1" applyFill="1" applyBorder="1" applyAlignment="1">
      <alignment horizontal="center" vertical="center" readingOrder="2"/>
    </xf>
    <xf numFmtId="0" fontId="6" fillId="0" borderId="98" xfId="15" applyFont="1" applyBorder="1" applyAlignment="1">
      <alignment horizontal="center" vertical="center" wrapText="1" readingOrder="2"/>
    </xf>
    <xf numFmtId="0" fontId="6" fillId="0" borderId="101" xfId="15" applyFont="1" applyBorder="1" applyAlignment="1">
      <alignment horizontal="center" vertical="center" readingOrder="2"/>
    </xf>
    <xf numFmtId="0" fontId="6" fillId="18" borderId="190" xfId="15" applyFont="1" applyFill="1" applyBorder="1" applyAlignment="1">
      <alignment horizontal="center" vertical="center" readingOrder="2"/>
    </xf>
    <xf numFmtId="0" fontId="6" fillId="18" borderId="114" xfId="15" applyFont="1" applyFill="1" applyBorder="1" applyAlignment="1">
      <alignment horizontal="center" vertical="center" readingOrder="2"/>
    </xf>
    <xf numFmtId="0" fontId="6" fillId="18" borderId="9" xfId="15" applyFont="1" applyFill="1" applyBorder="1" applyAlignment="1">
      <alignment horizontal="center" vertical="center" readingOrder="2"/>
    </xf>
    <xf numFmtId="0" fontId="6" fillId="18" borderId="0" xfId="15" applyFont="1" applyFill="1" applyAlignment="1">
      <alignment horizontal="center" vertical="center" readingOrder="2"/>
    </xf>
    <xf numFmtId="0" fontId="6" fillId="18" borderId="144" xfId="15" applyFont="1" applyFill="1" applyBorder="1" applyAlignment="1">
      <alignment horizontal="center" vertical="center" readingOrder="2"/>
    </xf>
    <xf numFmtId="0" fontId="6" fillId="18" borderId="145" xfId="15" applyFont="1" applyFill="1" applyBorder="1" applyAlignment="1">
      <alignment horizontal="center" vertical="center" readingOrder="2"/>
    </xf>
    <xf numFmtId="177" fontId="6" fillId="18" borderId="121" xfId="15" applyNumberFormat="1" applyFont="1" applyFill="1" applyBorder="1" applyAlignment="1">
      <alignment horizontal="center" vertical="center" readingOrder="2"/>
    </xf>
    <xf numFmtId="177" fontId="6" fillId="18" borderId="122" xfId="15" applyNumberFormat="1" applyFont="1" applyFill="1" applyBorder="1" applyAlignment="1">
      <alignment horizontal="center" vertical="center" readingOrder="2"/>
    </xf>
    <xf numFmtId="177" fontId="6" fillId="18" borderId="191" xfId="15" applyNumberFormat="1" applyFont="1" applyFill="1" applyBorder="1" applyAlignment="1">
      <alignment horizontal="center" vertical="center" readingOrder="2"/>
    </xf>
    <xf numFmtId="177" fontId="6" fillId="18" borderId="192" xfId="15" applyNumberFormat="1" applyFont="1" applyFill="1" applyBorder="1" applyAlignment="1">
      <alignment horizontal="center" vertical="center" readingOrder="2"/>
    </xf>
    <xf numFmtId="0" fontId="6" fillId="18" borderId="119" xfId="15" applyFont="1" applyFill="1" applyBorder="1" applyAlignment="1">
      <alignment horizontal="center" vertical="center" readingOrder="2"/>
    </xf>
    <xf numFmtId="0" fontId="6" fillId="18" borderId="120" xfId="15" applyFont="1" applyFill="1" applyBorder="1" applyAlignment="1">
      <alignment horizontal="center" vertical="center" readingOrder="2"/>
    </xf>
    <xf numFmtId="0" fontId="2" fillId="18" borderId="155" xfId="15" applyFont="1" applyFill="1" applyBorder="1" applyAlignment="1">
      <alignment horizontal="center" vertical="center" readingOrder="2"/>
    </xf>
    <xf numFmtId="0" fontId="2" fillId="18" borderId="156" xfId="15" applyFont="1" applyFill="1" applyBorder="1" applyAlignment="1">
      <alignment horizontal="center" vertical="center" readingOrder="2"/>
    </xf>
    <xf numFmtId="0" fontId="2" fillId="18" borderId="157" xfId="15" applyFont="1" applyFill="1" applyBorder="1" applyAlignment="1">
      <alignment horizontal="center" vertical="center" readingOrder="2"/>
    </xf>
    <xf numFmtId="0" fontId="2" fillId="18" borderId="31" xfId="15" applyFont="1" applyFill="1" applyBorder="1" applyAlignment="1">
      <alignment horizontal="center" vertical="center" readingOrder="2"/>
    </xf>
    <xf numFmtId="0" fontId="2" fillId="18" borderId="59" xfId="15" applyFont="1" applyFill="1" applyBorder="1" applyAlignment="1">
      <alignment horizontal="center" vertical="center" readingOrder="2"/>
    </xf>
    <xf numFmtId="0" fontId="2" fillId="18" borderId="159" xfId="15" applyFont="1" applyFill="1" applyBorder="1" applyAlignment="1">
      <alignment horizontal="center" vertical="center" readingOrder="2"/>
    </xf>
    <xf numFmtId="0" fontId="2" fillId="18" borderId="194" xfId="15" applyFont="1" applyFill="1" applyBorder="1" applyAlignment="1">
      <alignment horizontal="center" vertical="center" readingOrder="2"/>
    </xf>
    <xf numFmtId="0" fontId="2" fillId="18" borderId="195" xfId="15" applyFont="1" applyFill="1" applyBorder="1" applyAlignment="1">
      <alignment horizontal="center" vertical="center" readingOrder="2"/>
    </xf>
    <xf numFmtId="0" fontId="2" fillId="18" borderId="196" xfId="15" applyFont="1" applyFill="1" applyBorder="1" applyAlignment="1">
      <alignment horizontal="center" vertical="center" readingOrder="2"/>
    </xf>
    <xf numFmtId="0" fontId="6" fillId="18" borderId="129" xfId="15" applyFont="1" applyFill="1" applyBorder="1" applyAlignment="1">
      <alignment horizontal="center" vertical="center" readingOrder="2"/>
    </xf>
    <xf numFmtId="0" fontId="6" fillId="18" borderId="130" xfId="15" applyFont="1" applyFill="1" applyBorder="1" applyAlignment="1">
      <alignment horizontal="center" vertical="center" readingOrder="2"/>
    </xf>
    <xf numFmtId="177" fontId="62" fillId="18" borderId="126" xfId="15" applyNumberFormat="1" applyFont="1" applyFill="1" applyBorder="1" applyAlignment="1">
      <alignment horizontal="center" vertical="center" readingOrder="2"/>
    </xf>
    <xf numFmtId="177" fontId="118" fillId="0" borderId="127" xfId="0" applyNumberFormat="1" applyFont="1" applyBorder="1"/>
    <xf numFmtId="177" fontId="118" fillId="0" borderId="158" xfId="0" applyNumberFormat="1" applyFont="1" applyBorder="1"/>
    <xf numFmtId="0" fontId="17" fillId="0" borderId="0" xfId="15" applyFont="1" applyAlignment="1">
      <alignment horizontal="center" vertical="center" readingOrder="2"/>
    </xf>
    <xf numFmtId="177" fontId="6" fillId="16" borderId="198" xfId="15" applyNumberFormat="1" applyFont="1" applyFill="1" applyBorder="1" applyAlignment="1">
      <alignment horizontal="center" vertical="center" readingOrder="2"/>
    </xf>
    <xf numFmtId="0" fontId="6" fillId="17" borderId="97" xfId="15" applyFont="1" applyFill="1" applyBorder="1" applyAlignment="1">
      <alignment horizontal="center" vertical="center" wrapText="1" readingOrder="2"/>
    </xf>
    <xf numFmtId="0" fontId="6" fillId="17" borderId="108" xfId="15" applyFont="1" applyFill="1" applyBorder="1" applyAlignment="1">
      <alignment horizontal="center" vertical="center" wrapText="1" readingOrder="2"/>
    </xf>
    <xf numFmtId="0" fontId="70" fillId="0" borderId="60" xfId="15" applyFont="1" applyBorder="1" applyAlignment="1">
      <alignment horizontal="center" vertical="center" wrapText="1" readingOrder="2"/>
    </xf>
    <xf numFmtId="0" fontId="70" fillId="0" borderId="65" xfId="15" applyFont="1" applyBorder="1" applyAlignment="1">
      <alignment horizontal="center" vertical="center" wrapText="1" readingOrder="2"/>
    </xf>
    <xf numFmtId="0" fontId="70" fillId="0" borderId="167" xfId="15" applyFont="1" applyBorder="1" applyAlignment="1">
      <alignment horizontal="center" vertical="center" wrapText="1" readingOrder="2"/>
    </xf>
    <xf numFmtId="0" fontId="70" fillId="0" borderId="36" xfId="15" applyFont="1" applyBorder="1" applyAlignment="1">
      <alignment horizontal="center" vertical="center" wrapText="1" readingOrder="2"/>
    </xf>
    <xf numFmtId="0" fontId="70" fillId="0" borderId="0" xfId="15" applyFont="1" applyAlignment="1">
      <alignment horizontal="center" vertical="center" wrapText="1" readingOrder="2"/>
    </xf>
    <xf numFmtId="0" fontId="70" fillId="0" borderId="10" xfId="15" applyFont="1" applyBorder="1" applyAlignment="1">
      <alignment horizontal="center" vertical="center" wrapText="1" readingOrder="2"/>
    </xf>
    <xf numFmtId="0" fontId="70" fillId="0" borderId="63" xfId="15" applyFont="1" applyBorder="1" applyAlignment="1">
      <alignment horizontal="center" vertical="center" wrapText="1" readingOrder="2"/>
    </xf>
    <xf numFmtId="0" fontId="70" fillId="0" borderId="58" xfId="15" applyFont="1" applyBorder="1" applyAlignment="1">
      <alignment horizontal="center" vertical="center" wrapText="1" readingOrder="2"/>
    </xf>
    <xf numFmtId="0" fontId="70" fillId="0" borderId="176" xfId="15" applyFont="1" applyBorder="1" applyAlignment="1">
      <alignment horizontal="center" vertical="center" wrapText="1" readingOrder="2"/>
    </xf>
    <xf numFmtId="0" fontId="12" fillId="0" borderId="168" xfId="15" applyFont="1" applyBorder="1" applyAlignment="1">
      <alignment horizontal="center" vertical="center" wrapText="1" readingOrder="2"/>
    </xf>
    <xf numFmtId="0" fontId="12" fillId="0" borderId="73" xfId="15" applyFont="1" applyBorder="1" applyAlignment="1">
      <alignment horizontal="center" vertical="center" wrapText="1" readingOrder="2"/>
    </xf>
    <xf numFmtId="0" fontId="12" fillId="0" borderId="174" xfId="15" applyFont="1" applyBorder="1" applyAlignment="1">
      <alignment horizontal="center" vertical="center" wrapText="1" readingOrder="2"/>
    </xf>
    <xf numFmtId="0" fontId="6" fillId="0" borderId="61" xfId="15" applyFont="1" applyBorder="1" applyAlignment="1">
      <alignment horizontal="center" vertical="center" readingOrder="2"/>
    </xf>
    <xf numFmtId="0" fontId="6" fillId="0" borderId="62" xfId="15" applyFont="1" applyBorder="1" applyAlignment="1">
      <alignment horizontal="center" vertical="center" readingOrder="2"/>
    </xf>
    <xf numFmtId="0" fontId="6" fillId="0" borderId="64" xfId="15" applyFont="1" applyBorder="1" applyAlignment="1">
      <alignment horizontal="center" vertical="center" readingOrder="2"/>
    </xf>
    <xf numFmtId="0" fontId="69" fillId="0" borderId="60" xfId="15" applyFont="1" applyBorder="1" applyAlignment="1">
      <alignment horizontal="center" vertical="center" wrapText="1" readingOrder="2"/>
    </xf>
    <xf numFmtId="0" fontId="69" fillId="0" borderId="65" xfId="15" applyFont="1" applyBorder="1" applyAlignment="1">
      <alignment horizontal="center" vertical="center" wrapText="1" readingOrder="2"/>
    </xf>
    <xf numFmtId="0" fontId="69" fillId="0" borderId="167" xfId="15" applyFont="1" applyBorder="1" applyAlignment="1">
      <alignment horizontal="center" vertical="center" wrapText="1" readingOrder="2"/>
    </xf>
    <xf numFmtId="0" fontId="69" fillId="0" borderId="36" xfId="15" applyFont="1" applyBorder="1" applyAlignment="1">
      <alignment horizontal="center" vertical="center" wrapText="1" readingOrder="2"/>
    </xf>
    <xf numFmtId="0" fontId="69" fillId="0" borderId="0" xfId="15" applyFont="1" applyAlignment="1">
      <alignment horizontal="center" vertical="center" wrapText="1" readingOrder="2"/>
    </xf>
    <xf numFmtId="0" fontId="69" fillId="0" borderId="10" xfId="15" applyFont="1" applyBorder="1" applyAlignment="1">
      <alignment horizontal="center" vertical="center" wrapText="1" readingOrder="2"/>
    </xf>
    <xf numFmtId="0" fontId="69" fillId="0" borderId="63" xfId="15" applyFont="1" applyBorder="1" applyAlignment="1">
      <alignment horizontal="center" vertical="center" wrapText="1" readingOrder="2"/>
    </xf>
    <xf numFmtId="0" fontId="69" fillId="0" borderId="58" xfId="15" applyFont="1" applyBorder="1" applyAlignment="1">
      <alignment horizontal="center" vertical="center" wrapText="1" readingOrder="2"/>
    </xf>
    <xf numFmtId="0" fontId="69" fillId="0" borderId="176" xfId="15" applyFont="1" applyBorder="1" applyAlignment="1">
      <alignment horizontal="center" vertical="center" wrapText="1" readingOrder="2"/>
    </xf>
    <xf numFmtId="177" fontId="6" fillId="7" borderId="177" xfId="15" applyNumberFormat="1" applyFont="1" applyFill="1" applyBorder="1" applyAlignment="1">
      <alignment horizontal="center" vertical="center" readingOrder="2"/>
    </xf>
    <xf numFmtId="0" fontId="5" fillId="0" borderId="168" xfId="15" applyFont="1" applyBorder="1" applyAlignment="1">
      <alignment horizontal="center" vertical="center" readingOrder="2"/>
    </xf>
    <xf numFmtId="0" fontId="5" fillId="0" borderId="183" xfId="15" applyFont="1" applyBorder="1" applyAlignment="1">
      <alignment horizontal="center" vertical="center" readingOrder="2"/>
    </xf>
    <xf numFmtId="0" fontId="69" fillId="0" borderId="37" xfId="15" applyFont="1" applyBorder="1" applyAlignment="1">
      <alignment horizontal="center" vertical="center" wrapText="1" readingOrder="2"/>
    </xf>
    <xf numFmtId="0" fontId="69" fillId="0" borderId="145" xfId="15" applyFont="1" applyBorder="1" applyAlignment="1">
      <alignment horizontal="center" vertical="center" wrapText="1" readingOrder="2"/>
    </xf>
    <xf numFmtId="0" fontId="69" fillId="0" borderId="147" xfId="15" applyFont="1" applyBorder="1" applyAlignment="1">
      <alignment horizontal="center" vertical="center" wrapText="1" readingOrder="2"/>
    </xf>
    <xf numFmtId="177" fontId="6" fillId="7" borderId="91" xfId="15" applyNumberFormat="1" applyFont="1" applyFill="1" applyBorder="1" applyAlignment="1">
      <alignment horizontal="center" vertical="center" readingOrder="2"/>
    </xf>
    <xf numFmtId="177" fontId="6" fillId="7" borderId="93" xfId="15" applyNumberFormat="1" applyFont="1" applyFill="1" applyBorder="1" applyAlignment="1">
      <alignment horizontal="center" vertical="center" readingOrder="2"/>
    </xf>
    <xf numFmtId="177" fontId="6" fillId="7" borderId="193" xfId="15" applyNumberFormat="1" applyFont="1" applyFill="1" applyBorder="1" applyAlignment="1">
      <alignment horizontal="center" vertical="center" readingOrder="2"/>
    </xf>
    <xf numFmtId="177" fontId="6" fillId="7" borderId="140" xfId="15" applyNumberFormat="1" applyFont="1" applyFill="1" applyBorder="1" applyAlignment="1">
      <alignment horizontal="center" vertical="center" readingOrder="2"/>
    </xf>
    <xf numFmtId="0" fontId="6" fillId="7" borderId="142" xfId="15" applyFont="1" applyFill="1" applyBorder="1" applyAlignment="1">
      <alignment horizontal="center" vertical="center" readingOrder="2"/>
    </xf>
    <xf numFmtId="0" fontId="6" fillId="7" borderId="143" xfId="15" applyFont="1" applyFill="1" applyBorder="1" applyAlignment="1">
      <alignment horizontal="center" vertical="center" readingOrder="2"/>
    </xf>
    <xf numFmtId="0" fontId="5" fillId="0" borderId="77" xfId="15" applyFont="1" applyBorder="1" applyAlignment="1">
      <alignment horizontal="center" vertical="center" readingOrder="2"/>
    </xf>
    <xf numFmtId="0" fontId="6" fillId="0" borderId="79" xfId="15" applyFont="1" applyBorder="1" applyAlignment="1">
      <alignment horizontal="center" vertical="center" readingOrder="2"/>
    </xf>
    <xf numFmtId="0" fontId="122" fillId="0" borderId="243" xfId="0" applyFont="1" applyBorder="1" applyAlignment="1">
      <alignment horizontal="center" vertical="center" wrapText="1" readingOrder="2"/>
    </xf>
    <xf numFmtId="0" fontId="122" fillId="0" borderId="244" xfId="0" applyFont="1" applyBorder="1" applyAlignment="1">
      <alignment horizontal="center" vertical="center" wrapText="1" readingOrder="2"/>
    </xf>
    <xf numFmtId="0" fontId="122" fillId="0" borderId="245" xfId="0" applyFont="1" applyBorder="1" applyAlignment="1">
      <alignment horizontal="center" vertical="center" wrapText="1" readingOrder="2"/>
    </xf>
    <xf numFmtId="0" fontId="122" fillId="0" borderId="63" xfId="0" applyFont="1" applyBorder="1" applyAlignment="1">
      <alignment horizontal="center" vertical="center" wrapText="1" readingOrder="2"/>
    </xf>
    <xf numFmtId="0" fontId="122" fillId="0" borderId="58" xfId="0" applyFont="1" applyBorder="1" applyAlignment="1">
      <alignment horizontal="center" vertical="center" wrapText="1" readingOrder="2"/>
    </xf>
    <xf numFmtId="0" fontId="122" fillId="0" borderId="64" xfId="0" applyFont="1" applyBorder="1" applyAlignment="1">
      <alignment horizontal="center" vertical="center" wrapText="1" readingOrder="2"/>
    </xf>
    <xf numFmtId="0" fontId="5" fillId="0" borderId="0" xfId="0" applyFont="1" applyAlignment="1">
      <alignment horizontal="center" vertical="center" wrapText="1" readingOrder="2"/>
    </xf>
    <xf numFmtId="0" fontId="8" fillId="0" borderId="243" xfId="0" applyFont="1" applyBorder="1" applyAlignment="1">
      <alignment horizontal="right" vertical="center" wrapText="1" readingOrder="2"/>
    </xf>
    <xf numFmtId="0" fontId="8" fillId="0" borderId="244" xfId="0" applyFont="1" applyBorder="1" applyAlignment="1">
      <alignment horizontal="right" vertical="center" wrapText="1" readingOrder="2"/>
    </xf>
    <xf numFmtId="0" fontId="8" fillId="0" borderId="245" xfId="0" applyFont="1" applyBorder="1" applyAlignment="1">
      <alignment horizontal="right" vertical="center" wrapText="1" readingOrder="2"/>
    </xf>
    <xf numFmtId="0" fontId="8" fillId="0" borderId="36" xfId="0" applyFont="1" applyBorder="1" applyAlignment="1">
      <alignment horizontal="right" vertical="center" wrapText="1" readingOrder="2"/>
    </xf>
    <xf numFmtId="0" fontId="8" fillId="0" borderId="0" xfId="0" applyFont="1" applyAlignment="1">
      <alignment horizontal="right" vertical="center" wrapText="1" readingOrder="2"/>
    </xf>
    <xf numFmtId="0" fontId="8" fillId="0" borderId="62" xfId="0" applyFont="1" applyBorder="1" applyAlignment="1">
      <alignment horizontal="right" vertical="center" wrapText="1" readingOrder="2"/>
    </xf>
    <xf numFmtId="0" fontId="8" fillId="0" borderId="63" xfId="0" applyFont="1" applyBorder="1" applyAlignment="1">
      <alignment horizontal="right" vertical="center" wrapText="1" readingOrder="2"/>
    </xf>
    <xf numFmtId="0" fontId="8" fillId="0" borderId="58" xfId="0" applyFont="1" applyBorder="1" applyAlignment="1">
      <alignment horizontal="right" vertical="center" wrapText="1" readingOrder="2"/>
    </xf>
    <xf numFmtId="0" fontId="8" fillId="0" borderId="64" xfId="0" applyFont="1" applyBorder="1" applyAlignment="1">
      <alignment horizontal="right" vertical="center" wrapText="1" readingOrder="2"/>
    </xf>
    <xf numFmtId="0" fontId="5" fillId="0" borderId="0" xfId="0" applyFont="1" applyAlignment="1">
      <alignment horizontal="right" vertical="center" wrapText="1" indent="1" readingOrder="2"/>
    </xf>
    <xf numFmtId="0" fontId="5" fillId="0" borderId="0" xfId="0" applyFont="1" applyAlignment="1">
      <alignment horizontal="left" vertical="center" readingOrder="2"/>
    </xf>
    <xf numFmtId="0" fontId="5" fillId="0" borderId="58" xfId="0" applyFont="1" applyBorder="1" applyAlignment="1">
      <alignment horizontal="left" vertical="center" readingOrder="2"/>
    </xf>
    <xf numFmtId="169" fontId="5" fillId="0" borderId="0" xfId="1" applyNumberFormat="1" applyFont="1" applyBorder="1" applyAlignment="1">
      <alignment horizontal="right" vertical="center" wrapText="1" readingOrder="2"/>
    </xf>
    <xf numFmtId="169" fontId="5" fillId="0" borderId="58" xfId="1" applyNumberFormat="1" applyFont="1" applyBorder="1" applyAlignment="1">
      <alignment horizontal="right" vertical="center" wrapText="1" readingOrder="2"/>
    </xf>
    <xf numFmtId="0" fontId="5" fillId="0" borderId="0" xfId="0" applyFont="1" applyAlignment="1">
      <alignment horizontal="center" vertical="center" readingOrder="2"/>
    </xf>
    <xf numFmtId="0" fontId="5" fillId="0" borderId="58" xfId="0" applyFont="1" applyBorder="1" applyAlignment="1">
      <alignment horizontal="center" vertical="center" readingOrder="2"/>
    </xf>
    <xf numFmtId="167" fontId="8" fillId="43" borderId="226" xfId="1" applyNumberFormat="1" applyFont="1" applyFill="1" applyBorder="1" applyAlignment="1">
      <alignment horizontal="center" vertical="center" wrapText="1" readingOrder="2"/>
    </xf>
    <xf numFmtId="167" fontId="8" fillId="43" borderId="63" xfId="1" applyNumberFormat="1" applyFont="1" applyFill="1" applyBorder="1" applyAlignment="1">
      <alignment horizontal="center" vertical="center" wrapText="1" readingOrder="2"/>
    </xf>
    <xf numFmtId="167" fontId="8" fillId="5" borderId="237" xfId="1" applyNumberFormat="1" applyFont="1" applyFill="1" applyBorder="1" applyAlignment="1">
      <alignment horizontal="center" vertical="center" readingOrder="2"/>
    </xf>
    <xf numFmtId="167" fontId="8" fillId="7" borderId="237" xfId="1" applyNumberFormat="1" applyFont="1" applyFill="1" applyBorder="1" applyAlignment="1">
      <alignment horizontal="center" vertical="center" wrapText="1" readingOrder="2"/>
    </xf>
    <xf numFmtId="167" fontId="8" fillId="12" borderId="237" xfId="1" applyNumberFormat="1" applyFont="1" applyFill="1" applyBorder="1" applyAlignment="1">
      <alignment horizontal="center" vertical="center" wrapText="1" readingOrder="2"/>
    </xf>
    <xf numFmtId="0" fontId="10" fillId="9" borderId="2" xfId="0" applyFont="1" applyFill="1" applyBorder="1" applyAlignment="1">
      <alignment horizontal="right" vertical="center" indent="6" readingOrder="2"/>
    </xf>
    <xf numFmtId="0" fontId="8" fillId="9" borderId="2" xfId="0" applyFont="1" applyFill="1" applyBorder="1" applyAlignment="1">
      <alignment horizontal="right" vertical="center" indent="2" readingOrder="2"/>
    </xf>
    <xf numFmtId="0" fontId="8" fillId="8" borderId="4" xfId="0" applyFont="1" applyFill="1" applyBorder="1" applyAlignment="1">
      <alignment horizontal="center" vertical="center" wrapText="1" readingOrder="2"/>
    </xf>
    <xf numFmtId="0" fontId="8" fillId="8" borderId="2" xfId="0" applyFont="1" applyFill="1" applyBorder="1" applyAlignment="1">
      <alignment horizontal="center" vertical="center" wrapText="1" readingOrder="2"/>
    </xf>
    <xf numFmtId="0" fontId="48" fillId="9" borderId="2" xfId="0" applyFont="1" applyFill="1" applyBorder="1" applyAlignment="1">
      <alignment horizontal="right" vertical="center" wrapText="1" readingOrder="2"/>
    </xf>
    <xf numFmtId="0" fontId="27" fillId="9" borderId="2" xfId="0" applyFont="1" applyFill="1" applyBorder="1" applyAlignment="1">
      <alignment horizontal="right" vertical="center" indent="6" readingOrder="2"/>
    </xf>
    <xf numFmtId="0" fontId="5" fillId="8" borderId="4" xfId="0" applyFont="1" applyFill="1" applyBorder="1" applyAlignment="1">
      <alignment horizontal="center" vertical="center" textRotation="90" wrapText="1" readingOrder="2"/>
    </xf>
    <xf numFmtId="0" fontId="5" fillId="8" borderId="2" xfId="0" applyFont="1" applyFill="1" applyBorder="1" applyAlignment="1">
      <alignment horizontal="center" vertical="center" textRotation="90" wrapText="1" readingOrder="2"/>
    </xf>
    <xf numFmtId="0" fontId="12" fillId="8" borderId="4" xfId="0" applyFont="1" applyFill="1" applyBorder="1" applyAlignment="1">
      <alignment horizontal="center" vertical="center" wrapText="1" readingOrder="2"/>
    </xf>
    <xf numFmtId="0" fontId="12" fillId="8" borderId="2" xfId="0" applyFont="1" applyFill="1" applyBorder="1" applyAlignment="1">
      <alignment horizontal="center" vertical="center" wrapText="1" readingOrder="2"/>
    </xf>
    <xf numFmtId="0" fontId="2" fillId="8" borderId="51" xfId="0" applyFont="1" applyFill="1" applyBorder="1" applyAlignment="1">
      <alignment horizontal="center" vertical="center" wrapText="1"/>
    </xf>
    <xf numFmtId="0" fontId="2" fillId="8" borderId="37" xfId="0" applyFont="1" applyFill="1" applyBorder="1" applyAlignment="1">
      <alignment horizontal="center" vertical="center" wrapText="1"/>
    </xf>
    <xf numFmtId="0" fontId="2" fillId="0" borderId="11" xfId="0" applyFont="1" applyBorder="1" applyAlignment="1">
      <alignment horizontal="center" vertical="center"/>
    </xf>
    <xf numFmtId="0" fontId="2" fillId="0" borderId="0" xfId="0" applyFont="1" applyAlignment="1">
      <alignment horizontal="center" vertical="center"/>
    </xf>
    <xf numFmtId="0" fontId="2" fillId="8" borderId="39" xfId="0" applyFont="1" applyFill="1" applyBorder="1" applyAlignment="1">
      <alignment horizontal="center" vertical="center" textRotation="90" wrapText="1"/>
    </xf>
    <xf numFmtId="0" fontId="2" fillId="8" borderId="38" xfId="0" applyFont="1" applyFill="1" applyBorder="1" applyAlignment="1">
      <alignment horizontal="center" vertical="center" textRotation="90" wrapText="1"/>
    </xf>
    <xf numFmtId="0" fontId="2" fillId="8" borderId="4"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4" borderId="52" xfId="0" applyFont="1" applyFill="1" applyBorder="1" applyAlignment="1">
      <alignment horizontal="center" vertical="center" wrapText="1"/>
    </xf>
    <xf numFmtId="0" fontId="2" fillId="4" borderId="53" xfId="0" applyFont="1" applyFill="1" applyBorder="1" applyAlignment="1">
      <alignment horizontal="center" vertical="center" wrapText="1"/>
    </xf>
    <xf numFmtId="0" fontId="2" fillId="4" borderId="55" xfId="0" applyFont="1" applyFill="1" applyBorder="1" applyAlignment="1">
      <alignment horizontal="center" vertical="center" wrapText="1"/>
    </xf>
    <xf numFmtId="0" fontId="2" fillId="0" borderId="26" xfId="0" applyFont="1" applyBorder="1" applyAlignment="1">
      <alignment horizontal="center" vertical="center"/>
    </xf>
    <xf numFmtId="0" fontId="2" fillId="0" borderId="45" xfId="0" applyFont="1" applyBorder="1" applyAlignment="1">
      <alignment horizontal="center" vertical="center"/>
    </xf>
    <xf numFmtId="0" fontId="2" fillId="0" borderId="18" xfId="0" applyFont="1" applyBorder="1" applyAlignment="1">
      <alignment horizontal="center" vertical="center"/>
    </xf>
    <xf numFmtId="0" fontId="2" fillId="0" borderId="46"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47" xfId="0" applyFont="1" applyBorder="1" applyAlignment="1">
      <alignment horizontal="center" vertical="center"/>
    </xf>
    <xf numFmtId="0" fontId="2" fillId="5" borderId="52" xfId="0" applyFont="1" applyFill="1" applyBorder="1" applyAlignment="1">
      <alignment horizontal="center" vertical="center" wrapText="1"/>
    </xf>
    <xf numFmtId="0" fontId="2" fillId="5" borderId="53" xfId="0" applyFont="1" applyFill="1" applyBorder="1" applyAlignment="1">
      <alignment horizontal="center" vertical="center" wrapText="1"/>
    </xf>
    <xf numFmtId="0" fontId="2" fillId="5" borderId="54" xfId="0" applyFont="1" applyFill="1" applyBorder="1" applyAlignment="1">
      <alignment horizontal="center" vertical="center" wrapText="1"/>
    </xf>
    <xf numFmtId="0" fontId="2" fillId="7" borderId="52" xfId="0" applyFont="1" applyFill="1" applyBorder="1" applyAlignment="1">
      <alignment horizontal="center" vertical="center" wrapText="1"/>
    </xf>
    <xf numFmtId="0" fontId="2" fillId="7" borderId="53"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0" borderId="7" xfId="0" applyFont="1" applyBorder="1" applyAlignment="1">
      <alignment horizontal="right" vertical="top" wrapText="1"/>
    </xf>
    <xf numFmtId="0" fontId="2" fillId="0" borderId="6" xfId="0" applyFont="1" applyBorder="1" applyAlignment="1">
      <alignment horizontal="right" vertical="top" wrapText="1"/>
    </xf>
    <xf numFmtId="0" fontId="2" fillId="0" borderId="8" xfId="0" applyFont="1" applyBorder="1" applyAlignment="1">
      <alignment horizontal="right" vertical="top" wrapText="1"/>
    </xf>
    <xf numFmtId="0" fontId="2" fillId="0" borderId="9" xfId="0" applyFont="1" applyBorder="1" applyAlignment="1">
      <alignment horizontal="right" vertical="top" wrapText="1"/>
    </xf>
    <xf numFmtId="0" fontId="2" fillId="0" borderId="0" xfId="0" applyFont="1" applyAlignment="1">
      <alignment horizontal="right" vertical="top" wrapText="1"/>
    </xf>
    <xf numFmtId="0" fontId="2" fillId="0" borderId="10" xfId="0" applyFont="1" applyBorder="1" applyAlignment="1">
      <alignment horizontal="right" vertical="top" wrapText="1"/>
    </xf>
    <xf numFmtId="0" fontId="2" fillId="0" borderId="23" xfId="0" applyFont="1" applyBorder="1" applyAlignment="1">
      <alignment horizontal="right" vertical="top" wrapText="1"/>
    </xf>
    <xf numFmtId="0" fontId="2" fillId="0" borderId="21" xfId="0" applyFont="1" applyBorder="1" applyAlignment="1">
      <alignment horizontal="right" vertical="top" wrapText="1"/>
    </xf>
    <xf numFmtId="0" fontId="2" fillId="0" borderId="22" xfId="0" applyFont="1" applyBorder="1" applyAlignment="1">
      <alignment horizontal="right" vertical="top" wrapText="1"/>
    </xf>
    <xf numFmtId="0" fontId="2" fillId="0" borderId="49" xfId="0" applyFont="1" applyBorder="1" applyAlignment="1">
      <alignment horizontal="right" vertical="top" wrapText="1"/>
    </xf>
    <xf numFmtId="0" fontId="2" fillId="0" borderId="19" xfId="0" applyFont="1" applyBorder="1" applyAlignment="1">
      <alignment horizontal="right" vertical="top" wrapText="1"/>
    </xf>
    <xf numFmtId="0" fontId="2" fillId="0" borderId="24" xfId="0" applyFont="1" applyBorder="1" applyAlignment="1">
      <alignment horizontal="right" vertical="top" wrapText="1"/>
    </xf>
    <xf numFmtId="0" fontId="6" fillId="0" borderId="40" xfId="0" applyFont="1" applyBorder="1" applyAlignment="1">
      <alignment horizontal="left" vertical="center"/>
    </xf>
    <xf numFmtId="0" fontId="6" fillId="0" borderId="41" xfId="0" applyFont="1" applyBorder="1" applyAlignment="1">
      <alignment horizontal="left" vertical="center"/>
    </xf>
    <xf numFmtId="0" fontId="6" fillId="0" borderId="42" xfId="0" applyFont="1" applyBorder="1" applyAlignment="1">
      <alignment horizontal="left" vertical="center"/>
    </xf>
    <xf numFmtId="0" fontId="4" fillId="0" borderId="4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0" xfId="0" applyFont="1" applyAlignment="1">
      <alignment horizontal="center" vertical="center" wrapText="1"/>
    </xf>
    <xf numFmtId="0" fontId="4" fillId="0" borderId="19" xfId="0" applyFont="1" applyBorder="1" applyAlignment="1">
      <alignment horizontal="center" vertical="center" wrapText="1"/>
    </xf>
    <xf numFmtId="0" fontId="6" fillId="0" borderId="43" xfId="0" applyFont="1" applyBorder="1" applyAlignment="1">
      <alignment horizontal="right" vertical="center" wrapText="1"/>
    </xf>
    <xf numFmtId="0" fontId="6" fillId="0" borderId="0" xfId="0" applyFont="1" applyAlignment="1">
      <alignment horizontal="right" vertical="center"/>
    </xf>
    <xf numFmtId="0" fontId="6" fillId="0" borderId="19" xfId="0" applyFont="1" applyBorder="1" applyAlignment="1">
      <alignment horizontal="right" vertical="center"/>
    </xf>
    <xf numFmtId="169" fontId="6" fillId="0" borderId="43" xfId="1" applyNumberFormat="1" applyFont="1" applyBorder="1" applyAlignment="1">
      <alignment horizontal="center" vertical="center"/>
    </xf>
    <xf numFmtId="169" fontId="6" fillId="0" borderId="0" xfId="1" applyNumberFormat="1" applyFont="1" applyBorder="1" applyAlignment="1">
      <alignment horizontal="center" vertical="center"/>
    </xf>
    <xf numFmtId="169" fontId="6" fillId="0" borderId="19" xfId="1" applyNumberFormat="1" applyFont="1" applyBorder="1" applyAlignment="1">
      <alignment horizontal="center" vertical="center"/>
    </xf>
    <xf numFmtId="169" fontId="6" fillId="0" borderId="44" xfId="1" applyNumberFormat="1" applyFont="1" applyBorder="1" applyAlignment="1">
      <alignment horizontal="center" vertical="center"/>
    </xf>
    <xf numFmtId="169" fontId="6" fillId="0" borderId="21" xfId="1" applyNumberFormat="1" applyFont="1" applyBorder="1" applyAlignment="1">
      <alignment horizontal="center" vertical="center"/>
    </xf>
    <xf numFmtId="169" fontId="6" fillId="0" borderId="24" xfId="1" applyNumberFormat="1" applyFont="1" applyBorder="1" applyAlignment="1">
      <alignment horizontal="center" vertical="center"/>
    </xf>
    <xf numFmtId="9" fontId="10" fillId="3" borderId="230" xfId="3" applyFont="1" applyFill="1" applyBorder="1" applyAlignment="1">
      <alignment horizontal="center" vertical="center"/>
    </xf>
    <xf numFmtId="9" fontId="10" fillId="3" borderId="231" xfId="3" applyFont="1" applyFill="1" applyBorder="1" applyAlignment="1">
      <alignment horizontal="center" vertical="center"/>
    </xf>
    <xf numFmtId="9" fontId="10" fillId="3" borderId="230" xfId="3" applyFont="1" applyFill="1" applyBorder="1" applyAlignment="1">
      <alignment horizontal="center" vertical="center" wrapText="1"/>
    </xf>
    <xf numFmtId="9" fontId="10" fillId="3" borderId="231" xfId="3" applyFont="1" applyFill="1" applyBorder="1" applyAlignment="1">
      <alignment horizontal="center" vertical="center" wrapText="1"/>
    </xf>
    <xf numFmtId="171" fontId="16" fillId="2" borderId="230" xfId="3" applyNumberFormat="1" applyFont="1" applyFill="1" applyBorder="1" applyAlignment="1">
      <alignment horizontal="center" vertical="center"/>
    </xf>
    <xf numFmtId="171" fontId="16" fillId="2" borderId="231" xfId="3" applyNumberFormat="1" applyFont="1" applyFill="1" applyBorder="1" applyAlignment="1">
      <alignment horizontal="center" vertical="center"/>
    </xf>
    <xf numFmtId="0" fontId="5" fillId="0" borderId="0" xfId="0" applyFont="1" applyAlignment="1">
      <alignment horizontal="right" vertical="center" indent="2" readingOrder="2"/>
    </xf>
    <xf numFmtId="0" fontId="5" fillId="0" borderId="58" xfId="0" applyFont="1" applyBorder="1" applyAlignment="1">
      <alignment horizontal="right" vertical="center" indent="2" readingOrder="2"/>
    </xf>
    <xf numFmtId="0" fontId="5" fillId="5" borderId="230" xfId="0" applyFont="1" applyFill="1" applyBorder="1" applyAlignment="1">
      <alignment horizontal="center" vertical="center" wrapText="1" readingOrder="2"/>
    </xf>
    <xf numFmtId="0" fontId="5" fillId="5" borderId="232" xfId="0" applyFont="1" applyFill="1" applyBorder="1" applyAlignment="1">
      <alignment horizontal="center" vertical="center" wrapText="1" readingOrder="2"/>
    </xf>
    <xf numFmtId="0" fontId="5" fillId="5" borderId="231" xfId="0" applyFont="1" applyFill="1" applyBorder="1" applyAlignment="1">
      <alignment horizontal="center" vertical="center" wrapText="1" readingOrder="2"/>
    </xf>
    <xf numFmtId="0" fontId="5" fillId="11" borderId="225" xfId="0" applyFont="1" applyFill="1" applyBorder="1" applyAlignment="1">
      <alignment horizontal="center" vertical="center" wrapText="1" readingOrder="2"/>
    </xf>
    <xf numFmtId="0" fontId="5" fillId="11" borderId="4" xfId="0" applyFont="1" applyFill="1" applyBorder="1" applyAlignment="1">
      <alignment horizontal="center" vertical="center" wrapText="1" readingOrder="2"/>
    </xf>
    <xf numFmtId="169" fontId="5" fillId="0" borderId="0" xfId="1" applyNumberFormat="1" applyFont="1" applyBorder="1" applyAlignment="1">
      <alignment horizontal="center" vertical="center" readingOrder="2"/>
    </xf>
    <xf numFmtId="169" fontId="5" fillId="0" borderId="58" xfId="1" applyNumberFormat="1" applyFont="1" applyBorder="1" applyAlignment="1">
      <alignment horizontal="center" vertical="center" readingOrder="2"/>
    </xf>
    <xf numFmtId="0" fontId="5" fillId="5" borderId="226" xfId="0" applyFont="1" applyFill="1" applyBorder="1" applyAlignment="1">
      <alignment horizontal="center" vertical="center" wrapText="1" readingOrder="2"/>
    </xf>
    <xf numFmtId="0" fontId="5" fillId="5" borderId="227" xfId="0" applyFont="1" applyFill="1" applyBorder="1" applyAlignment="1">
      <alignment horizontal="center" vertical="center" wrapText="1" readingOrder="2"/>
    </xf>
    <xf numFmtId="0" fontId="5" fillId="5" borderId="63" xfId="0" applyFont="1" applyFill="1" applyBorder="1" applyAlignment="1">
      <alignment horizontal="center" vertical="center" wrapText="1" readingOrder="2"/>
    </xf>
    <xf numFmtId="0" fontId="5" fillId="5" borderId="64" xfId="0" applyFont="1" applyFill="1" applyBorder="1" applyAlignment="1">
      <alignment horizontal="center" vertical="center" wrapText="1" readingOrder="2"/>
    </xf>
    <xf numFmtId="0" fontId="5" fillId="4" borderId="226" xfId="0" applyFont="1" applyFill="1" applyBorder="1" applyAlignment="1">
      <alignment horizontal="center" vertical="center" wrapText="1" readingOrder="2"/>
    </xf>
    <xf numFmtId="0" fontId="5" fillId="4" borderId="227" xfId="0" applyFont="1" applyFill="1" applyBorder="1" applyAlignment="1">
      <alignment horizontal="center" vertical="center" wrapText="1" readingOrder="2"/>
    </xf>
    <xf numFmtId="0" fontId="5" fillId="4" borderId="63" xfId="0" applyFont="1" applyFill="1" applyBorder="1" applyAlignment="1">
      <alignment horizontal="center" vertical="center" wrapText="1" readingOrder="2"/>
    </xf>
    <xf numFmtId="0" fontId="5" fillId="4" borderId="64" xfId="0" applyFont="1" applyFill="1" applyBorder="1" applyAlignment="1">
      <alignment horizontal="center" vertical="center" wrapText="1" readingOrder="2"/>
    </xf>
    <xf numFmtId="0" fontId="5" fillId="0" borderId="0" xfId="0" applyFont="1" applyAlignment="1">
      <alignment horizontal="left" vertical="center" wrapText="1" readingOrder="2"/>
    </xf>
    <xf numFmtId="0" fontId="5" fillId="0" borderId="58" xfId="0" applyFont="1" applyBorder="1" applyAlignment="1">
      <alignment horizontal="left" vertical="center" wrapText="1" readingOrder="2"/>
    </xf>
    <xf numFmtId="0" fontId="5" fillId="8" borderId="225" xfId="0" applyFont="1" applyFill="1" applyBorder="1" applyAlignment="1">
      <alignment horizontal="center" vertical="center" textRotation="90" wrapText="1" readingOrder="2"/>
    </xf>
    <xf numFmtId="0" fontId="12" fillId="8" borderId="225" xfId="0" applyFont="1" applyFill="1" applyBorder="1" applyAlignment="1">
      <alignment horizontal="center" vertical="center" wrapText="1" readingOrder="1"/>
    </xf>
    <xf numFmtId="0" fontId="12" fillId="8" borderId="4" xfId="0" applyFont="1" applyFill="1" applyBorder="1" applyAlignment="1">
      <alignment horizontal="center" vertical="center" wrapText="1" readingOrder="1"/>
    </xf>
    <xf numFmtId="0" fontId="5" fillId="8" borderId="225" xfId="0" applyFont="1" applyFill="1" applyBorder="1" applyAlignment="1">
      <alignment horizontal="center" vertical="center" wrapText="1" readingOrder="2"/>
    </xf>
    <xf numFmtId="0" fontId="5" fillId="8" borderId="4" xfId="0" applyFont="1" applyFill="1" applyBorder="1" applyAlignment="1">
      <alignment horizontal="center" vertical="center" wrapText="1" readingOrder="2"/>
    </xf>
    <xf numFmtId="0" fontId="5" fillId="4" borderId="230" xfId="0" applyFont="1" applyFill="1" applyBorder="1" applyAlignment="1">
      <alignment horizontal="center" vertical="center" wrapText="1" readingOrder="2"/>
    </xf>
    <xf numFmtId="0" fontId="5" fillId="4" borderId="232" xfId="0" applyFont="1" applyFill="1" applyBorder="1" applyAlignment="1">
      <alignment horizontal="center" vertical="center" wrapText="1" readingOrder="2"/>
    </xf>
    <xf numFmtId="0" fontId="5" fillId="4" borderId="231" xfId="0" applyFont="1" applyFill="1" applyBorder="1" applyAlignment="1">
      <alignment horizontal="center" vertical="center" wrapText="1" readingOrder="2"/>
    </xf>
    <xf numFmtId="0" fontId="5" fillId="8" borderId="230" xfId="0" applyFont="1" applyFill="1" applyBorder="1" applyAlignment="1">
      <alignment horizontal="center" vertical="center" wrapText="1" readingOrder="2"/>
    </xf>
    <xf numFmtId="0" fontId="5" fillId="8" borderId="231" xfId="0" applyFont="1" applyFill="1" applyBorder="1" applyAlignment="1">
      <alignment horizontal="center" vertical="center" wrapText="1" readingOrder="2"/>
    </xf>
    <xf numFmtId="0" fontId="5" fillId="43" borderId="230" xfId="0" applyFont="1" applyFill="1" applyBorder="1" applyAlignment="1">
      <alignment horizontal="center" vertical="center" wrapText="1" readingOrder="2"/>
    </xf>
    <xf numFmtId="0" fontId="5" fillId="43" borderId="232" xfId="0" applyFont="1" applyFill="1" applyBorder="1" applyAlignment="1">
      <alignment horizontal="center" vertical="center" wrapText="1" readingOrder="2"/>
    </xf>
    <xf numFmtId="0" fontId="5" fillId="43" borderId="231" xfId="0" applyFont="1" applyFill="1" applyBorder="1" applyAlignment="1">
      <alignment horizontal="center" vertical="center" wrapText="1" readingOrder="2"/>
    </xf>
    <xf numFmtId="171" fontId="10" fillId="3" borderId="226" xfId="3" applyNumberFormat="1" applyFont="1" applyFill="1" applyBorder="1" applyAlignment="1">
      <alignment horizontal="center" vertical="center" wrapText="1" readingOrder="1"/>
    </xf>
    <xf numFmtId="171" fontId="10" fillId="3" borderId="227" xfId="3" applyNumberFormat="1" applyFont="1" applyFill="1" applyBorder="1" applyAlignment="1">
      <alignment horizontal="center" vertical="center" wrapText="1" readingOrder="1"/>
    </xf>
    <xf numFmtId="171" fontId="10" fillId="3" borderId="36" xfId="3" applyNumberFormat="1" applyFont="1" applyFill="1" applyBorder="1" applyAlignment="1">
      <alignment horizontal="center" vertical="center" wrapText="1" readingOrder="1"/>
    </xf>
    <xf numFmtId="171" fontId="10" fillId="3" borderId="62" xfId="3" applyNumberFormat="1" applyFont="1" applyFill="1" applyBorder="1" applyAlignment="1">
      <alignment horizontal="center" vertical="center" wrapText="1" readingOrder="1"/>
    </xf>
    <xf numFmtId="171" fontId="10" fillId="3" borderId="63" xfId="3" applyNumberFormat="1" applyFont="1" applyFill="1" applyBorder="1" applyAlignment="1">
      <alignment horizontal="center" vertical="center" wrapText="1" readingOrder="1"/>
    </xf>
    <xf numFmtId="171" fontId="10" fillId="3" borderId="64" xfId="3" applyNumberFormat="1" applyFont="1" applyFill="1" applyBorder="1" applyAlignment="1">
      <alignment horizontal="center" vertical="center" wrapText="1" readingOrder="1"/>
    </xf>
    <xf numFmtId="0" fontId="5" fillId="0" borderId="0" xfId="0" applyFont="1" applyAlignment="1">
      <alignment horizontal="right" vertical="center" indent="1" readingOrder="2"/>
    </xf>
    <xf numFmtId="0" fontId="5" fillId="0" borderId="58" xfId="0" applyFont="1" applyBorder="1" applyAlignment="1">
      <alignment horizontal="right" vertical="center" indent="1" readingOrder="2"/>
    </xf>
    <xf numFmtId="171" fontId="15" fillId="2" borderId="230" xfId="3" applyNumberFormat="1" applyFont="1" applyFill="1" applyBorder="1" applyAlignment="1">
      <alignment horizontal="center" vertical="center"/>
    </xf>
    <xf numFmtId="171" fontId="15" fillId="2" borderId="231" xfId="3" applyNumberFormat="1" applyFont="1" applyFill="1" applyBorder="1" applyAlignment="1">
      <alignment horizontal="center" vertical="center"/>
    </xf>
    <xf numFmtId="169" fontId="5" fillId="0" borderId="0" xfId="1" applyNumberFormat="1" applyFont="1" applyBorder="1" applyAlignment="1">
      <alignment horizontal="center" vertical="center"/>
    </xf>
    <xf numFmtId="169" fontId="5" fillId="0" borderId="58" xfId="1" applyNumberFormat="1" applyFont="1" applyBorder="1" applyAlignment="1">
      <alignment horizontal="center" vertical="center"/>
    </xf>
    <xf numFmtId="3" fontId="8" fillId="3" borderId="226" xfId="5" applyNumberFormat="1" applyFont="1" applyFill="1" applyBorder="1" applyAlignment="1">
      <alignment horizontal="center" vertical="center" wrapText="1" readingOrder="1"/>
    </xf>
    <xf numFmtId="3" fontId="8" fillId="3" borderId="227" xfId="5" applyNumberFormat="1" applyFont="1" applyFill="1" applyBorder="1" applyAlignment="1">
      <alignment horizontal="center" vertical="center" wrapText="1" readingOrder="1"/>
    </xf>
    <xf numFmtId="3" fontId="8" fillId="3" borderId="36" xfId="5" applyNumberFormat="1" applyFont="1" applyFill="1" applyBorder="1" applyAlignment="1">
      <alignment horizontal="center" vertical="center" wrapText="1" readingOrder="1"/>
    </xf>
    <xf numFmtId="3" fontId="8" fillId="3" borderId="62" xfId="5" applyNumberFormat="1" applyFont="1" applyFill="1" applyBorder="1" applyAlignment="1">
      <alignment horizontal="center" vertical="center" wrapText="1" readingOrder="1"/>
    </xf>
    <xf numFmtId="3" fontId="8" fillId="3" borderId="63" xfId="5" applyNumberFormat="1" applyFont="1" applyFill="1" applyBorder="1" applyAlignment="1">
      <alignment horizontal="center" vertical="center" wrapText="1" readingOrder="1"/>
    </xf>
    <xf numFmtId="3" fontId="8" fillId="3" borderId="64" xfId="5" applyNumberFormat="1" applyFont="1" applyFill="1" applyBorder="1" applyAlignment="1">
      <alignment horizontal="center" vertical="center" wrapText="1" readingOrder="1"/>
    </xf>
    <xf numFmtId="0" fontId="5" fillId="0" borderId="58" xfId="0" applyFont="1" applyBorder="1" applyAlignment="1">
      <alignment horizontal="right" vertical="center" indent="1"/>
    </xf>
    <xf numFmtId="0" fontId="5" fillId="0" borderId="0" xfId="0" applyFont="1" applyAlignment="1">
      <alignment horizontal="right" vertical="center" indent="1"/>
    </xf>
    <xf numFmtId="171" fontId="10" fillId="3" borderId="243" xfId="3" applyNumberFormat="1" applyFont="1" applyFill="1" applyBorder="1" applyAlignment="1">
      <alignment horizontal="center" vertical="center" wrapText="1" readingOrder="1"/>
    </xf>
    <xf numFmtId="171" fontId="10" fillId="3" borderId="245" xfId="3" applyNumberFormat="1" applyFont="1" applyFill="1" applyBorder="1" applyAlignment="1">
      <alignment horizontal="center" vertical="center" wrapText="1" readingOrder="1"/>
    </xf>
    <xf numFmtId="0" fontId="5" fillId="0" borderId="0" xfId="0" applyFont="1" applyAlignment="1">
      <alignment horizontal="right" vertical="center" wrapText="1" indent="2" readingOrder="2"/>
    </xf>
    <xf numFmtId="171" fontId="15" fillId="2" borderId="226" xfId="3" applyNumberFormat="1" applyFont="1" applyFill="1" applyBorder="1" applyAlignment="1">
      <alignment horizontal="center" vertical="center"/>
    </xf>
    <xf numFmtId="171" fontId="15" fillId="2" borderId="227" xfId="3" applyNumberFormat="1" applyFont="1" applyFill="1" applyBorder="1" applyAlignment="1">
      <alignment horizontal="center" vertical="center"/>
    </xf>
    <xf numFmtId="171" fontId="15" fillId="2" borderId="36" xfId="3" applyNumberFormat="1" applyFont="1" applyFill="1" applyBorder="1" applyAlignment="1">
      <alignment horizontal="center" vertical="center"/>
    </xf>
    <xf numFmtId="171" fontId="15" fillId="2" borderId="62" xfId="3" applyNumberFormat="1" applyFont="1" applyFill="1" applyBorder="1" applyAlignment="1">
      <alignment horizontal="center" vertical="center"/>
    </xf>
    <xf numFmtId="171" fontId="15" fillId="2" borderId="63" xfId="3" applyNumberFormat="1" applyFont="1" applyFill="1" applyBorder="1" applyAlignment="1">
      <alignment horizontal="center" vertical="center"/>
    </xf>
    <xf numFmtId="171" fontId="15" fillId="2" borderId="64" xfId="3" applyNumberFormat="1" applyFont="1" applyFill="1" applyBorder="1" applyAlignment="1">
      <alignment horizontal="center" vertical="center"/>
    </xf>
    <xf numFmtId="0" fontId="2" fillId="4"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11" borderId="35" xfId="0" applyFont="1" applyFill="1" applyBorder="1" applyAlignment="1">
      <alignment horizontal="center" vertical="center" wrapText="1"/>
    </xf>
    <xf numFmtId="0" fontId="2" fillId="11" borderId="16" xfId="0" applyFont="1" applyFill="1" applyBorder="1" applyAlignment="1">
      <alignment horizontal="center" vertical="center" wrapText="1"/>
    </xf>
    <xf numFmtId="0" fontId="2" fillId="0" borderId="9" xfId="0" applyFont="1" applyBorder="1" applyAlignment="1">
      <alignment horizontal="right" vertical="top"/>
    </xf>
    <xf numFmtId="0" fontId="2" fillId="0" borderId="0" xfId="0" applyFont="1" applyAlignment="1">
      <alignment horizontal="right" vertical="top"/>
    </xf>
    <xf numFmtId="0" fontId="2" fillId="0" borderId="19" xfId="0" applyFont="1" applyBorder="1" applyAlignment="1">
      <alignment horizontal="right" vertical="top"/>
    </xf>
    <xf numFmtId="0" fontId="2" fillId="0" borderId="23" xfId="0" applyFont="1" applyBorder="1" applyAlignment="1">
      <alignment horizontal="right" vertical="top"/>
    </xf>
    <xf numFmtId="0" fontId="2" fillId="0" borderId="21" xfId="0" applyFont="1" applyBorder="1" applyAlignment="1">
      <alignment horizontal="right" vertical="top"/>
    </xf>
    <xf numFmtId="0" fontId="2" fillId="0" borderId="24" xfId="0" applyFont="1" applyBorder="1" applyAlignment="1">
      <alignment horizontal="right" vertical="top"/>
    </xf>
    <xf numFmtId="166" fontId="5" fillId="0" borderId="21" xfId="1" applyFont="1" applyBorder="1" applyAlignment="1">
      <alignment horizontal="left" vertical="center" readingOrder="1"/>
    </xf>
    <xf numFmtId="0" fontId="2" fillId="0" borderId="11" xfId="0" applyFont="1" applyBorder="1" applyAlignment="1">
      <alignment horizontal="right" vertical="center"/>
    </xf>
    <xf numFmtId="0" fontId="2" fillId="0" borderId="17" xfId="0" applyFont="1" applyBorder="1" applyAlignment="1">
      <alignment horizontal="right" vertical="top" wrapText="1"/>
    </xf>
    <xf numFmtId="0" fontId="2" fillId="0" borderId="18" xfId="0" applyFont="1" applyBorder="1" applyAlignment="1">
      <alignment horizontal="right" vertical="top" wrapText="1"/>
    </xf>
    <xf numFmtId="0" fontId="2" fillId="0" borderId="20" xfId="0" applyFont="1" applyBorder="1" applyAlignment="1">
      <alignment horizontal="right" vertical="top" wrapText="1"/>
    </xf>
    <xf numFmtId="0" fontId="2" fillId="8" borderId="28" xfId="0" applyFont="1" applyFill="1" applyBorder="1" applyAlignment="1">
      <alignment horizontal="center" vertical="center" textRotation="90" wrapText="1"/>
    </xf>
    <xf numFmtId="0" fontId="2" fillId="8" borderId="16" xfId="0" applyFont="1" applyFill="1" applyBorder="1" applyAlignment="1">
      <alignment horizontal="center" vertical="center" textRotation="90" wrapText="1"/>
    </xf>
    <xf numFmtId="0" fontId="2" fillId="8" borderId="30" xfId="0" applyFont="1" applyFill="1" applyBorder="1" applyAlignment="1">
      <alignment horizontal="center" vertical="center" wrapText="1"/>
    </xf>
    <xf numFmtId="0" fontId="2" fillId="8" borderId="5" xfId="0" applyFont="1" applyFill="1" applyBorder="1" applyAlignment="1">
      <alignment horizontal="center" vertical="center" wrapText="1"/>
    </xf>
    <xf numFmtId="171" fontId="41" fillId="2" borderId="230" xfId="3" applyNumberFormat="1" applyFont="1" applyFill="1" applyBorder="1" applyAlignment="1">
      <alignment horizontal="center" vertical="center"/>
    </xf>
    <xf numFmtId="171" fontId="41" fillId="2" borderId="231" xfId="3" applyNumberFormat="1" applyFont="1" applyFill="1" applyBorder="1" applyAlignment="1">
      <alignment horizontal="center" vertical="center"/>
    </xf>
    <xf numFmtId="171" fontId="32" fillId="3" borderId="246" xfId="3" applyNumberFormat="1" applyFont="1" applyFill="1" applyBorder="1" applyAlignment="1">
      <alignment horizontal="center" vertical="center" wrapText="1" readingOrder="1"/>
    </xf>
    <xf numFmtId="171" fontId="32" fillId="3" borderId="247" xfId="3" applyNumberFormat="1" applyFont="1" applyFill="1" applyBorder="1" applyAlignment="1">
      <alignment horizontal="center" vertical="center" wrapText="1" readingOrder="1"/>
    </xf>
    <xf numFmtId="171" fontId="32" fillId="3" borderId="248" xfId="3" applyNumberFormat="1" applyFont="1" applyFill="1" applyBorder="1" applyAlignment="1">
      <alignment horizontal="center" vertical="center" wrapText="1" readingOrder="1"/>
    </xf>
    <xf numFmtId="171" fontId="32" fillId="3" borderId="230" xfId="3" applyNumberFormat="1" applyFont="1" applyFill="1" applyBorder="1" applyAlignment="1">
      <alignment horizontal="center" vertical="center" readingOrder="1"/>
    </xf>
    <xf numFmtId="171" fontId="32" fillId="3" borderId="231" xfId="3" applyNumberFormat="1" applyFont="1" applyFill="1" applyBorder="1" applyAlignment="1">
      <alignment horizontal="center" vertical="center" readingOrder="1"/>
    </xf>
    <xf numFmtId="171" fontId="5" fillId="3" borderId="230" xfId="3" applyNumberFormat="1" applyFont="1" applyFill="1" applyBorder="1" applyAlignment="1">
      <alignment horizontal="center" vertical="center" wrapText="1" readingOrder="1"/>
    </xf>
    <xf numFmtId="171" fontId="5" fillId="3" borderId="231" xfId="3" applyNumberFormat="1" applyFont="1" applyFill="1" applyBorder="1" applyAlignment="1">
      <alignment horizontal="center" vertical="center" wrapText="1" readingOrder="1"/>
    </xf>
    <xf numFmtId="171" fontId="32" fillId="3" borderId="230" xfId="3" applyNumberFormat="1" applyFont="1" applyFill="1" applyBorder="1" applyAlignment="1">
      <alignment horizontal="center" vertical="center" wrapText="1" readingOrder="1"/>
    </xf>
    <xf numFmtId="171" fontId="32" fillId="3" borderId="231" xfId="3" applyNumberFormat="1" applyFont="1" applyFill="1" applyBorder="1" applyAlignment="1">
      <alignment horizontal="center" vertical="center" wrapText="1" readingOrder="1"/>
    </xf>
    <xf numFmtId="10" fontId="30" fillId="3" borderId="36" xfId="3" applyNumberFormat="1" applyFont="1" applyFill="1" applyBorder="1" applyAlignment="1">
      <alignment horizontal="center" vertical="center" wrapText="1"/>
    </xf>
    <xf numFmtId="10" fontId="30" fillId="3" borderId="62" xfId="3" applyNumberFormat="1" applyFont="1" applyFill="1" applyBorder="1" applyAlignment="1">
      <alignment horizontal="center" vertical="center" wrapText="1"/>
    </xf>
    <xf numFmtId="10" fontId="41" fillId="2" borderId="230" xfId="3" applyNumberFormat="1" applyFont="1" applyFill="1" applyBorder="1" applyAlignment="1">
      <alignment horizontal="center" vertical="center"/>
    </xf>
    <xf numFmtId="10" fontId="41" fillId="2" borderId="231" xfId="3" applyNumberFormat="1" applyFont="1" applyFill="1" applyBorder="1" applyAlignment="1">
      <alignment horizontal="center" vertical="center"/>
    </xf>
    <xf numFmtId="10" fontId="39" fillId="3" borderId="230" xfId="3" applyNumberFormat="1" applyFont="1" applyFill="1" applyBorder="1" applyAlignment="1">
      <alignment horizontal="center" vertical="center"/>
    </xf>
    <xf numFmtId="10" fontId="39" fillId="3" borderId="231" xfId="3" applyNumberFormat="1" applyFont="1" applyFill="1" applyBorder="1" applyAlignment="1">
      <alignment horizontal="center" vertical="center"/>
    </xf>
    <xf numFmtId="10" fontId="30" fillId="3" borderId="230" xfId="3" applyNumberFormat="1" applyFont="1" applyFill="1" applyBorder="1" applyAlignment="1">
      <alignment horizontal="center" vertical="center" wrapText="1"/>
    </xf>
    <xf numFmtId="10" fontId="30" fillId="3" borderId="231" xfId="3" applyNumberFormat="1" applyFont="1" applyFill="1" applyBorder="1" applyAlignment="1">
      <alignment horizontal="center" vertical="center" wrapText="1"/>
    </xf>
    <xf numFmtId="10" fontId="39" fillId="3" borderId="246" xfId="3" applyNumberFormat="1" applyFont="1" applyFill="1" applyBorder="1" applyAlignment="1">
      <alignment horizontal="center" vertical="center"/>
    </xf>
    <xf numFmtId="10" fontId="39" fillId="3" borderId="248" xfId="3" applyNumberFormat="1" applyFont="1" applyFill="1" applyBorder="1" applyAlignment="1">
      <alignment horizontal="center" vertical="center"/>
    </xf>
    <xf numFmtId="169" fontId="5" fillId="0" borderId="0" xfId="1" applyNumberFormat="1" applyFont="1" applyBorder="1" applyAlignment="1">
      <alignment horizontal="right" vertical="center" shrinkToFit="1" readingOrder="2"/>
    </xf>
    <xf numFmtId="169" fontId="5" fillId="0" borderId="58" xfId="1" applyNumberFormat="1" applyFont="1" applyBorder="1" applyAlignment="1">
      <alignment horizontal="right" vertical="center" shrinkToFit="1" readingOrder="2"/>
    </xf>
    <xf numFmtId="10" fontId="27" fillId="3" borderId="243" xfId="3" applyNumberFormat="1" applyFont="1" applyFill="1" applyBorder="1" applyAlignment="1">
      <alignment horizontal="center" vertical="center" wrapText="1"/>
    </xf>
    <xf numFmtId="10" fontId="27" fillId="3" borderId="245" xfId="3" applyNumberFormat="1" applyFont="1" applyFill="1" applyBorder="1" applyAlignment="1">
      <alignment horizontal="center" vertical="center" wrapText="1"/>
    </xf>
    <xf numFmtId="10" fontId="27" fillId="3" borderId="36" xfId="3" applyNumberFormat="1" applyFont="1" applyFill="1" applyBorder="1" applyAlignment="1">
      <alignment horizontal="center" vertical="center" wrapText="1"/>
    </xf>
    <xf numFmtId="10" fontId="27" fillId="3" borderId="62" xfId="3" applyNumberFormat="1" applyFont="1" applyFill="1" applyBorder="1" applyAlignment="1">
      <alignment horizontal="center" vertical="center" wrapText="1"/>
    </xf>
    <xf numFmtId="171" fontId="27" fillId="3" borderId="230" xfId="2" applyNumberFormat="1" applyFont="1" applyFill="1" applyBorder="1" applyAlignment="1">
      <alignment horizontal="center" vertical="center" readingOrder="2"/>
    </xf>
    <xf numFmtId="171" fontId="27" fillId="3" borderId="231" xfId="2" applyNumberFormat="1" applyFont="1" applyFill="1" applyBorder="1" applyAlignment="1">
      <alignment horizontal="center" vertical="center" readingOrder="2"/>
    </xf>
    <xf numFmtId="175" fontId="15" fillId="2" borderId="230" xfId="3" applyNumberFormat="1" applyFont="1" applyFill="1" applyBorder="1" applyAlignment="1">
      <alignment horizontal="center" vertical="center" readingOrder="2"/>
    </xf>
    <xf numFmtId="175" fontId="15" fillId="2" borderId="231" xfId="3" applyNumberFormat="1" applyFont="1" applyFill="1" applyBorder="1" applyAlignment="1">
      <alignment horizontal="center" vertical="center" readingOrder="2"/>
    </xf>
    <xf numFmtId="0" fontId="6" fillId="0" borderId="33" xfId="4" applyFont="1" applyBorder="1" applyAlignment="1">
      <alignment horizontal="center" vertical="center" wrapText="1"/>
    </xf>
    <xf numFmtId="0" fontId="6" fillId="0" borderId="29" xfId="4" applyFont="1" applyBorder="1" applyAlignment="1">
      <alignment horizontal="center" vertical="center" wrapText="1"/>
    </xf>
    <xf numFmtId="0" fontId="6" fillId="0" borderId="4" xfId="4" applyFont="1" applyBorder="1" applyAlignment="1">
      <alignment horizontal="center" vertical="center" wrapText="1"/>
    </xf>
    <xf numFmtId="0" fontId="2" fillId="0" borderId="33" xfId="4" applyFont="1" applyBorder="1" applyAlignment="1">
      <alignment horizontal="center" vertical="center" wrapText="1"/>
    </xf>
    <xf numFmtId="0" fontId="2" fillId="0" borderId="29" xfId="4" applyFont="1" applyBorder="1" applyAlignment="1">
      <alignment horizontal="center" vertical="center" wrapText="1"/>
    </xf>
    <xf numFmtId="10" fontId="2" fillId="0" borderId="63" xfId="5" applyNumberFormat="1" applyFont="1" applyBorder="1" applyAlignment="1">
      <alignment horizontal="center" vertical="center"/>
    </xf>
    <xf numFmtId="10" fontId="2" fillId="0" borderId="64" xfId="5" applyNumberFormat="1" applyFont="1" applyBorder="1" applyAlignment="1">
      <alignment horizontal="center" vertical="center"/>
    </xf>
    <xf numFmtId="0" fontId="5" fillId="0" borderId="2" xfId="4" applyFont="1" applyBorder="1" applyAlignment="1">
      <alignment horizontal="center" vertical="center" wrapText="1"/>
    </xf>
  </cellXfs>
  <cellStyles count="80">
    <cellStyle name="20% - Accent1 2" xfId="17" xr:uid="{00000000-0005-0000-0000-000000000000}"/>
    <cellStyle name="20% - Accent2 2" xfId="18" xr:uid="{00000000-0005-0000-0000-000001000000}"/>
    <cellStyle name="20% - Accent3 2" xfId="19" xr:uid="{00000000-0005-0000-0000-000002000000}"/>
    <cellStyle name="20% - Accent4 2" xfId="20" xr:uid="{00000000-0005-0000-0000-000003000000}"/>
    <cellStyle name="20% - Accent5 2" xfId="21" xr:uid="{00000000-0005-0000-0000-000004000000}"/>
    <cellStyle name="20% - Accent6 2" xfId="22" xr:uid="{00000000-0005-0000-0000-000005000000}"/>
    <cellStyle name="40% - Accent1 2" xfId="23" xr:uid="{00000000-0005-0000-0000-000006000000}"/>
    <cellStyle name="40% - Accent2 2" xfId="24" xr:uid="{00000000-0005-0000-0000-000007000000}"/>
    <cellStyle name="40% - Accent3 2" xfId="25" xr:uid="{00000000-0005-0000-0000-000008000000}"/>
    <cellStyle name="40% - Accent4 2" xfId="26" xr:uid="{00000000-0005-0000-0000-000009000000}"/>
    <cellStyle name="40% - Accent5 2" xfId="27" xr:uid="{00000000-0005-0000-0000-00000A000000}"/>
    <cellStyle name="40% - Accent6 2" xfId="28" xr:uid="{00000000-0005-0000-0000-00000B000000}"/>
    <cellStyle name="60% - Accent1 2" xfId="29" xr:uid="{00000000-0005-0000-0000-00000C000000}"/>
    <cellStyle name="60% - Accent2 2" xfId="30" xr:uid="{00000000-0005-0000-0000-00000D000000}"/>
    <cellStyle name="60% - Accent3 2" xfId="31" xr:uid="{00000000-0005-0000-0000-00000E000000}"/>
    <cellStyle name="60% - Accent4 2" xfId="32" xr:uid="{00000000-0005-0000-0000-00000F000000}"/>
    <cellStyle name="60% - Accent5 2" xfId="33" xr:uid="{00000000-0005-0000-0000-000010000000}"/>
    <cellStyle name="60% - Accent6 2" xfId="34" xr:uid="{00000000-0005-0000-0000-000011000000}"/>
    <cellStyle name="Accent1 2" xfId="35" xr:uid="{00000000-0005-0000-0000-000012000000}"/>
    <cellStyle name="Accent2 2" xfId="36" xr:uid="{00000000-0005-0000-0000-000013000000}"/>
    <cellStyle name="Accent3 2" xfId="37" xr:uid="{00000000-0005-0000-0000-000014000000}"/>
    <cellStyle name="Accent4 2" xfId="38" xr:uid="{00000000-0005-0000-0000-000015000000}"/>
    <cellStyle name="Accent5 2" xfId="39" xr:uid="{00000000-0005-0000-0000-000016000000}"/>
    <cellStyle name="Accent6 2" xfId="40" xr:uid="{00000000-0005-0000-0000-000017000000}"/>
    <cellStyle name="Bad 2" xfId="41" xr:uid="{00000000-0005-0000-0000-000018000000}"/>
    <cellStyle name="Calculation 2" xfId="42" xr:uid="{00000000-0005-0000-0000-000019000000}"/>
    <cellStyle name="Calculation 3" xfId="43" xr:uid="{00000000-0005-0000-0000-00001A000000}"/>
    <cellStyle name="Check Cell 2" xfId="44" xr:uid="{00000000-0005-0000-0000-00001B000000}"/>
    <cellStyle name="Check Cell 3" xfId="45" xr:uid="{00000000-0005-0000-0000-00001C000000}"/>
    <cellStyle name="Check Cell 4" xfId="46" xr:uid="{00000000-0005-0000-0000-00001D000000}"/>
    <cellStyle name="Comma" xfId="1" builtinId="3"/>
    <cellStyle name="Comma 2" xfId="11" xr:uid="{00000000-0005-0000-0000-00001F000000}"/>
    <cellStyle name="Comma 2 2" xfId="47" xr:uid="{00000000-0005-0000-0000-000020000000}"/>
    <cellStyle name="Comma 3" xfId="7" xr:uid="{00000000-0005-0000-0000-000021000000}"/>
    <cellStyle name="Comma 4" xfId="16" xr:uid="{00000000-0005-0000-0000-000022000000}"/>
    <cellStyle name="Currency" xfId="2" builtinId="4"/>
    <cellStyle name="Currency 2" xfId="8" xr:uid="{00000000-0005-0000-0000-000024000000}"/>
    <cellStyle name="Explanatory Text 2" xfId="48" xr:uid="{00000000-0005-0000-0000-000025000000}"/>
    <cellStyle name="Good 2" xfId="49" xr:uid="{00000000-0005-0000-0000-000026000000}"/>
    <cellStyle name="Heading 1 2" xfId="50" xr:uid="{00000000-0005-0000-0000-000027000000}"/>
    <cellStyle name="Heading 2 2" xfId="51" xr:uid="{00000000-0005-0000-0000-000028000000}"/>
    <cellStyle name="Heading 3 2" xfId="52" xr:uid="{00000000-0005-0000-0000-000029000000}"/>
    <cellStyle name="Heading 4 2" xfId="53" xr:uid="{00000000-0005-0000-0000-00002A000000}"/>
    <cellStyle name="Input 2" xfId="54" xr:uid="{00000000-0005-0000-0000-00002B000000}"/>
    <cellStyle name="Input 3" xfId="55" xr:uid="{00000000-0005-0000-0000-00002C000000}"/>
    <cellStyle name="Linked Cell 2" xfId="56" xr:uid="{00000000-0005-0000-0000-00002D000000}"/>
    <cellStyle name="Neutral 2" xfId="57" xr:uid="{00000000-0005-0000-0000-00002E000000}"/>
    <cellStyle name="Normal" xfId="0" builtinId="0"/>
    <cellStyle name="Normal 2" xfId="6" xr:uid="{00000000-0005-0000-0000-000030000000}"/>
    <cellStyle name="Normal 2 2" xfId="9" xr:uid="{00000000-0005-0000-0000-000031000000}"/>
    <cellStyle name="Normal 2 3" xfId="12" xr:uid="{00000000-0005-0000-0000-000032000000}"/>
    <cellStyle name="Normal 3" xfId="4" xr:uid="{00000000-0005-0000-0000-000033000000}"/>
    <cellStyle name="Normal 3 2" xfId="58" xr:uid="{00000000-0005-0000-0000-000034000000}"/>
    <cellStyle name="Normal 3 2 2" xfId="59" xr:uid="{00000000-0005-0000-0000-000035000000}"/>
    <cellStyle name="Normal 3 3" xfId="60" xr:uid="{00000000-0005-0000-0000-000036000000}"/>
    <cellStyle name="Normal 4" xfId="15" xr:uid="{00000000-0005-0000-0000-000037000000}"/>
    <cellStyle name="Normal 4 2" xfId="61" xr:uid="{00000000-0005-0000-0000-000038000000}"/>
    <cellStyle name="Normal 4 3" xfId="62" xr:uid="{00000000-0005-0000-0000-000039000000}"/>
    <cellStyle name="Normal 5" xfId="63" xr:uid="{00000000-0005-0000-0000-00003A000000}"/>
    <cellStyle name="Normal 5 2" xfId="64" xr:uid="{00000000-0005-0000-0000-00003B000000}"/>
    <cellStyle name="Normal 6" xfId="65" xr:uid="{00000000-0005-0000-0000-00003C000000}"/>
    <cellStyle name="Normal 7" xfId="13" xr:uid="{00000000-0005-0000-0000-00003D000000}"/>
    <cellStyle name="Normal 8" xfId="66" xr:uid="{00000000-0005-0000-0000-00003E000000}"/>
    <cellStyle name="Normal 9" xfId="67" xr:uid="{00000000-0005-0000-0000-00003F000000}"/>
    <cellStyle name="Note 2" xfId="68" xr:uid="{00000000-0005-0000-0000-000040000000}"/>
    <cellStyle name="Note 3" xfId="69" xr:uid="{00000000-0005-0000-0000-000041000000}"/>
    <cellStyle name="Output 2" xfId="70" xr:uid="{00000000-0005-0000-0000-000042000000}"/>
    <cellStyle name="Output 3" xfId="71" xr:uid="{00000000-0005-0000-0000-000043000000}"/>
    <cellStyle name="Percent" xfId="3" builtinId="5"/>
    <cellStyle name="Percent 2" xfId="5" xr:uid="{00000000-0005-0000-0000-000045000000}"/>
    <cellStyle name="Percent 2 2" xfId="10" xr:uid="{00000000-0005-0000-0000-000046000000}"/>
    <cellStyle name="Percent 2 3" xfId="14" xr:uid="{00000000-0005-0000-0000-000047000000}"/>
    <cellStyle name="Percent 3" xfId="72" xr:uid="{00000000-0005-0000-0000-000048000000}"/>
    <cellStyle name="sss" xfId="73" xr:uid="{00000000-0005-0000-0000-000049000000}"/>
    <cellStyle name="Title 2" xfId="74" xr:uid="{00000000-0005-0000-0000-00004A000000}"/>
    <cellStyle name="Total 2" xfId="75" xr:uid="{00000000-0005-0000-0000-00004B000000}"/>
    <cellStyle name="Total 3" xfId="76" xr:uid="{00000000-0005-0000-0000-00004C000000}"/>
    <cellStyle name="Warning Text 2" xfId="77" xr:uid="{00000000-0005-0000-0000-00004D000000}"/>
    <cellStyle name="常规_Neka设备材料估算" xfId="78" xr:uid="{00000000-0005-0000-0000-00004E000000}"/>
    <cellStyle name="標準_Sheet1" xfId="79" xr:uid="{00000000-0005-0000-0000-00004F000000}"/>
  </cellStyles>
  <dxfs count="1">
    <dxf>
      <fill>
        <patternFill>
          <bgColor rgb="FF92D050"/>
        </patternFill>
      </fill>
    </dxf>
  </dxfs>
  <tableStyles count="0" defaultTableStyle="TableStyleMedium9" defaultPivotStyle="PivotStyleLight16"/>
  <colors>
    <mruColors>
      <color rgb="FFCC99FF"/>
      <color rgb="FF3399FF"/>
      <color rgb="FF99FF66"/>
      <color rgb="FFFFCC99"/>
      <color rgb="FF99CCFF"/>
      <color rgb="FF66CCFF"/>
      <color rgb="FF0033CC"/>
      <color rgb="FFFF00FF"/>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gif"/><Relationship Id="rId4" Type="http://schemas.openxmlformats.org/officeDocument/2006/relationships/image" Target="../media/image4.gif"/></Relationships>
</file>

<file path=xl/drawings/_rels/drawing2.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7.jpeg"/><Relationship Id="rId1" Type="http://schemas.openxmlformats.org/officeDocument/2006/relationships/image" Target="../media/image6.png"/><Relationship Id="rId5" Type="http://schemas.openxmlformats.org/officeDocument/2006/relationships/image" Target="../media/image5.gif"/><Relationship Id="rId4" Type="http://schemas.openxmlformats.org/officeDocument/2006/relationships/image" Target="../media/image4.gif"/></Relationships>
</file>

<file path=xl/drawings/_rels/drawing3.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7.jpeg"/><Relationship Id="rId1" Type="http://schemas.openxmlformats.org/officeDocument/2006/relationships/image" Target="../media/image6.png"/><Relationship Id="rId5" Type="http://schemas.openxmlformats.org/officeDocument/2006/relationships/image" Target="../media/image5.gif"/><Relationship Id="rId4" Type="http://schemas.openxmlformats.org/officeDocument/2006/relationships/image" Target="../media/image4.gif"/></Relationships>
</file>

<file path=xl/drawings/_rels/drawing4.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5.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6.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8.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9.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10.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1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12.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1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15.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9.png"/><Relationship Id="rId1" Type="http://schemas.openxmlformats.org/officeDocument/2006/relationships/image" Target="../media/image8.jpeg"/><Relationship Id="rId5" Type="http://schemas.openxmlformats.org/officeDocument/2006/relationships/image" Target="../media/image5.gif"/><Relationship Id="rId4" Type="http://schemas.openxmlformats.org/officeDocument/2006/relationships/image" Target="../media/image4.gif"/></Relationships>
</file>

<file path=xl/drawings/_rels/drawing16.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png"/><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14</xdr:col>
      <xdr:colOff>29992</xdr:colOff>
      <xdr:row>0</xdr:row>
      <xdr:rowOff>38100</xdr:rowOff>
    </xdr:from>
    <xdr:to>
      <xdr:col>17</xdr:col>
      <xdr:colOff>310615</xdr:colOff>
      <xdr:row>2</xdr:row>
      <xdr:rowOff>194295</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6793953528" y="38100"/>
          <a:ext cx="1525677" cy="748106"/>
          <a:chOff x="5964406256" y="90646"/>
          <a:chExt cx="1338582" cy="613395"/>
        </a:xfrm>
      </xdr:grpSpPr>
      <xdr:pic>
        <xdr:nvPicPr>
          <xdr:cNvPr id="3" name="Picture 2" descr="untitle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4406256" y="116670"/>
            <a:ext cx="731096" cy="524805"/>
          </a:xfrm>
          <a:prstGeom prst="rect">
            <a:avLst/>
          </a:prstGeom>
          <a:noFill/>
          <a:ln>
            <a:noFill/>
          </a:ln>
        </xdr:spPr>
      </xdr:pic>
      <xdr:pic>
        <xdr:nvPicPr>
          <xdr:cNvPr id="4" name="Picture 3" descr="صحن با نام.jp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65181761" y="90646"/>
            <a:ext cx="563077" cy="613395"/>
          </a:xfrm>
          <a:prstGeom prst="rect">
            <a:avLst/>
          </a:prstGeom>
          <a:ln>
            <a:noFill/>
          </a:ln>
        </xdr:spPr>
      </xdr:pic>
    </xdr:grpSp>
    <xdr:clientData/>
  </xdr:twoCellAnchor>
  <xdr:twoCellAnchor>
    <xdr:from>
      <xdr:col>0</xdr:col>
      <xdr:colOff>369794</xdr:colOff>
      <xdr:row>0</xdr:row>
      <xdr:rowOff>59097</xdr:rowOff>
    </xdr:from>
    <xdr:to>
      <xdr:col>3</xdr:col>
      <xdr:colOff>89647</xdr:colOff>
      <xdr:row>2</xdr:row>
      <xdr:rowOff>112059</xdr:rowOff>
    </xdr:to>
    <xdr:grpSp>
      <xdr:nvGrpSpPr>
        <xdr:cNvPr id="11" name="Group 1">
          <a:extLst>
            <a:ext uri="{FF2B5EF4-FFF2-40B4-BE49-F238E27FC236}">
              <a16:creationId xmlns:a16="http://schemas.microsoft.com/office/drawing/2014/main" id="{00000000-0008-0000-0100-00000B000000}"/>
            </a:ext>
          </a:extLst>
        </xdr:cNvPr>
        <xdr:cNvGrpSpPr/>
      </xdr:nvGrpSpPr>
      <xdr:grpSpPr>
        <a:xfrm>
          <a:off x="6799984746" y="59097"/>
          <a:ext cx="964907" cy="644873"/>
          <a:chOff x="9834964516" y="95250"/>
          <a:chExt cx="931485" cy="887249"/>
        </a:xfrm>
      </xdr:grpSpPr>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150415</xdr:colOff>
      <xdr:row>0</xdr:row>
      <xdr:rowOff>83174</xdr:rowOff>
    </xdr:from>
    <xdr:to>
      <xdr:col>20</xdr:col>
      <xdr:colOff>198499</xdr:colOff>
      <xdr:row>2</xdr:row>
      <xdr:rowOff>180130</xdr:rowOff>
    </xdr:to>
    <xdr:pic>
      <xdr:nvPicPr>
        <xdr:cNvPr id="6" name="Picture 5" descr="untitled">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5125276" y="83174"/>
          <a:ext cx="867234" cy="554156"/>
        </a:xfrm>
        <a:prstGeom prst="rect">
          <a:avLst/>
        </a:prstGeom>
        <a:noFill/>
        <a:ln>
          <a:noFill/>
        </a:ln>
      </xdr:spPr>
    </xdr:pic>
    <xdr:clientData/>
  </xdr:twoCellAnchor>
  <xdr:twoCellAnchor>
    <xdr:from>
      <xdr:col>16</xdr:col>
      <xdr:colOff>219075</xdr:colOff>
      <xdr:row>0</xdr:row>
      <xdr:rowOff>38100</xdr:rowOff>
    </xdr:from>
    <xdr:to>
      <xdr:col>18</xdr:col>
      <xdr:colOff>89743</xdr:colOff>
      <xdr:row>2</xdr:row>
      <xdr:rowOff>228600</xdr:rowOff>
    </xdr:to>
    <xdr:pic>
      <xdr:nvPicPr>
        <xdr:cNvPr id="7" name="Picture 6" descr="صحن با نام.jp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6053182" y="38100"/>
          <a:ext cx="689818" cy="647700"/>
        </a:xfrm>
        <a:prstGeom prst="rect">
          <a:avLst/>
        </a:prstGeom>
        <a:ln>
          <a:noFill/>
        </a:ln>
      </xdr:spPr>
    </xdr:pic>
    <xdr:clientData/>
  </xdr:twoCellAnchor>
  <xdr:twoCellAnchor>
    <xdr:from>
      <xdr:col>1</xdr:col>
      <xdr:colOff>202406</xdr:colOff>
      <xdr:row>0</xdr:row>
      <xdr:rowOff>59531</xdr:rowOff>
    </xdr:from>
    <xdr:to>
      <xdr:col>3</xdr:col>
      <xdr:colOff>320768</xdr:colOff>
      <xdr:row>2</xdr:row>
      <xdr:rowOff>190500</xdr:rowOff>
    </xdr:to>
    <xdr:grpSp>
      <xdr:nvGrpSpPr>
        <xdr:cNvPr id="8" name="Group 1">
          <a:extLst>
            <a:ext uri="{FF2B5EF4-FFF2-40B4-BE49-F238E27FC236}">
              <a16:creationId xmlns:a16="http://schemas.microsoft.com/office/drawing/2014/main" id="{00000000-0008-0000-0200-000008000000}"/>
            </a:ext>
          </a:extLst>
        </xdr:cNvPr>
        <xdr:cNvGrpSpPr/>
      </xdr:nvGrpSpPr>
      <xdr:grpSpPr>
        <a:xfrm>
          <a:off x="6793366432" y="59531"/>
          <a:ext cx="947037" cy="664369"/>
          <a:chOff x="9834964516" y="95250"/>
          <a:chExt cx="931485" cy="887249"/>
        </a:xfrm>
      </xdr:grpSpPr>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150415</xdr:colOff>
      <xdr:row>0</xdr:row>
      <xdr:rowOff>83174</xdr:rowOff>
    </xdr:from>
    <xdr:to>
      <xdr:col>20</xdr:col>
      <xdr:colOff>198499</xdr:colOff>
      <xdr:row>2</xdr:row>
      <xdr:rowOff>180130</xdr:rowOff>
    </xdr:to>
    <xdr:pic>
      <xdr:nvPicPr>
        <xdr:cNvPr id="6" name="Picture 5" descr="untitled">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5877751" y="83174"/>
          <a:ext cx="867234" cy="554156"/>
        </a:xfrm>
        <a:prstGeom prst="rect">
          <a:avLst/>
        </a:prstGeom>
        <a:noFill/>
        <a:ln>
          <a:noFill/>
        </a:ln>
      </xdr:spPr>
    </xdr:pic>
    <xdr:clientData/>
  </xdr:twoCellAnchor>
  <xdr:twoCellAnchor>
    <xdr:from>
      <xdr:col>16</xdr:col>
      <xdr:colOff>219075</xdr:colOff>
      <xdr:row>0</xdr:row>
      <xdr:rowOff>38100</xdr:rowOff>
    </xdr:from>
    <xdr:to>
      <xdr:col>18</xdr:col>
      <xdr:colOff>89743</xdr:colOff>
      <xdr:row>2</xdr:row>
      <xdr:rowOff>228600</xdr:rowOff>
    </xdr:to>
    <xdr:pic>
      <xdr:nvPicPr>
        <xdr:cNvPr id="7" name="Picture 6" descr="صحن با نام.jp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6805657" y="38100"/>
          <a:ext cx="689818" cy="647700"/>
        </a:xfrm>
        <a:prstGeom prst="rect">
          <a:avLst/>
        </a:prstGeom>
        <a:ln>
          <a:noFill/>
        </a:ln>
      </xdr:spPr>
    </xdr:pic>
    <xdr:clientData/>
  </xdr:twoCellAnchor>
  <xdr:twoCellAnchor>
    <xdr:from>
      <xdr:col>1</xdr:col>
      <xdr:colOff>166687</xdr:colOff>
      <xdr:row>0</xdr:row>
      <xdr:rowOff>0</xdr:rowOff>
    </xdr:from>
    <xdr:to>
      <xdr:col>3</xdr:col>
      <xdr:colOff>285049</xdr:colOff>
      <xdr:row>2</xdr:row>
      <xdr:rowOff>214312</xdr:rowOff>
    </xdr:to>
    <xdr:grpSp>
      <xdr:nvGrpSpPr>
        <xdr:cNvPr id="8" name="Group 1">
          <a:extLst>
            <a:ext uri="{FF2B5EF4-FFF2-40B4-BE49-F238E27FC236}">
              <a16:creationId xmlns:a16="http://schemas.microsoft.com/office/drawing/2014/main" id="{00000000-0008-0000-0300-000008000000}"/>
            </a:ext>
          </a:extLst>
        </xdr:cNvPr>
        <xdr:cNvGrpSpPr/>
      </xdr:nvGrpSpPr>
      <xdr:grpSpPr>
        <a:xfrm>
          <a:off x="6830342483" y="0"/>
          <a:ext cx="951799" cy="666750"/>
          <a:chOff x="9834964516" y="95250"/>
          <a:chExt cx="931485" cy="887249"/>
        </a:xfrm>
      </xdr:grpSpPr>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271764</xdr:colOff>
      <xdr:row>1</xdr:row>
      <xdr:rowOff>28576</xdr:rowOff>
    </xdr:from>
    <xdr:to>
      <xdr:col>1</xdr:col>
      <xdr:colOff>2809875</xdr:colOff>
      <xdr:row>3</xdr:row>
      <xdr:rowOff>222250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11263523411" y="280309"/>
          <a:ext cx="3184451" cy="948870"/>
          <a:chOff x="9835262099" y="219075"/>
          <a:chExt cx="2086162" cy="771525"/>
        </a:xfrm>
      </xdr:grpSpPr>
      <xdr:pic>
        <xdr:nvPicPr>
          <xdr:cNvPr id="3" name="Picture 2" descr="صحن با نام.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4" name="Picture 3" descr="untitled">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5" name="Group 4">
            <a:extLst>
              <a:ext uri="{FF2B5EF4-FFF2-40B4-BE49-F238E27FC236}">
                <a16:creationId xmlns:a16="http://schemas.microsoft.com/office/drawing/2014/main" id="{00000000-0008-0000-0400-000005000000}"/>
              </a:ext>
            </a:extLst>
          </xdr:cNvPr>
          <xdr:cNvGrpSpPr/>
        </xdr:nvGrpSpPr>
        <xdr:grpSpPr>
          <a:xfrm>
            <a:off x="9835262099" y="246592"/>
            <a:ext cx="748202" cy="734484"/>
            <a:chOff x="9834964516" y="95250"/>
            <a:chExt cx="931485" cy="887249"/>
          </a:xfrm>
        </xdr:grpSpPr>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271764</xdr:colOff>
      <xdr:row>1</xdr:row>
      <xdr:rowOff>28576</xdr:rowOff>
    </xdr:from>
    <xdr:to>
      <xdr:col>2</xdr:col>
      <xdr:colOff>1552575</xdr:colOff>
      <xdr:row>2</xdr:row>
      <xdr:rowOff>495301</xdr:rowOff>
    </xdr:to>
    <xdr:grpSp>
      <xdr:nvGrpSpPr>
        <xdr:cNvPr id="4" name="Group 3">
          <a:extLst>
            <a:ext uri="{FF2B5EF4-FFF2-40B4-BE49-F238E27FC236}">
              <a16:creationId xmlns:a16="http://schemas.microsoft.com/office/drawing/2014/main" id="{00000000-0008-0000-0500-000004000000}"/>
            </a:ext>
          </a:extLst>
        </xdr:cNvPr>
        <xdr:cNvGrpSpPr/>
      </xdr:nvGrpSpPr>
      <xdr:grpSpPr>
        <a:xfrm>
          <a:off x="11264127568" y="280309"/>
          <a:ext cx="2212901" cy="718456"/>
          <a:chOff x="9835262099" y="219075"/>
          <a:chExt cx="2086162" cy="771525"/>
        </a:xfrm>
      </xdr:grpSpPr>
      <xdr:pic>
        <xdr:nvPicPr>
          <xdr:cNvPr id="18" name="Picture 17" descr="صحن با نام.jpg">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9" name="Picture 18" descr="untitled">
            <a:extLst>
              <a:ext uri="{FF2B5EF4-FFF2-40B4-BE49-F238E27FC236}">
                <a16:creationId xmlns:a16="http://schemas.microsoft.com/office/drawing/2014/main" id="{00000000-0008-0000-0500-000013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2" name="Group 1">
            <a:extLst>
              <a:ext uri="{FF2B5EF4-FFF2-40B4-BE49-F238E27FC236}">
                <a16:creationId xmlns:a16="http://schemas.microsoft.com/office/drawing/2014/main" id="{00000000-0008-0000-0500-000002000000}"/>
              </a:ext>
            </a:extLst>
          </xdr:cNvPr>
          <xdr:cNvGrpSpPr/>
        </xdr:nvGrpSpPr>
        <xdr:grpSpPr>
          <a:xfrm>
            <a:off x="9835262099" y="246592"/>
            <a:ext cx="748202" cy="734484"/>
            <a:chOff x="9834964516" y="95250"/>
            <a:chExt cx="931485" cy="887249"/>
          </a:xfrm>
        </xdr:grpSpPr>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74088</xdr:rowOff>
    </xdr:from>
    <xdr:to>
      <xdr:col>2</xdr:col>
      <xdr:colOff>158750</xdr:colOff>
      <xdr:row>4</xdr:row>
      <xdr:rowOff>0</xdr:rowOff>
    </xdr:to>
    <xdr:pic>
      <xdr:nvPicPr>
        <xdr:cNvPr id="3" name="Picture 2" descr="untitled">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lum bright="20000" contrast="20000"/>
        </a:blip>
        <a:srcRect l="1924" t="2515" r="2183" b="2642"/>
        <a:stretch>
          <a:fillRect/>
        </a:stretch>
      </xdr:blipFill>
      <xdr:spPr bwMode="auto">
        <a:xfrm>
          <a:off x="9835375300" y="74088"/>
          <a:ext cx="962025" cy="1354662"/>
        </a:xfrm>
        <a:prstGeom prst="rect">
          <a:avLst/>
        </a:prstGeom>
        <a:noFill/>
        <a:ln w="9525">
          <a:noFill/>
          <a:miter lim="800000"/>
          <a:headEnd/>
          <a:tailEnd/>
        </a:ln>
      </xdr:spPr>
    </xdr:pic>
    <xdr:clientData/>
  </xdr:twoCellAnchor>
  <xdr:twoCellAnchor editAs="oneCell">
    <xdr:from>
      <xdr:col>2</xdr:col>
      <xdr:colOff>189441</xdr:colOff>
      <xdr:row>0</xdr:row>
      <xdr:rowOff>149227</xdr:rowOff>
    </xdr:from>
    <xdr:to>
      <xdr:col>2</xdr:col>
      <xdr:colOff>1015162</xdr:colOff>
      <xdr:row>3</xdr:row>
      <xdr:rowOff>168276</xdr:rowOff>
    </xdr:to>
    <xdr:pic>
      <xdr:nvPicPr>
        <xdr:cNvPr id="4" name="Picture 3" descr="صحن با نام.jp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cstate="print"/>
        <a:stretch>
          <a:fillRect/>
        </a:stretch>
      </xdr:blipFill>
      <xdr:spPr>
        <a:xfrm>
          <a:off x="9886813255" y="149227"/>
          <a:ext cx="825721" cy="1013882"/>
        </a:xfrm>
        <a:prstGeom prst="rect">
          <a:avLst/>
        </a:prstGeom>
      </xdr:spPr>
    </xdr:pic>
    <xdr:clientData/>
  </xdr:twoCellAnchor>
  <mc:AlternateContent xmlns:mc="http://schemas.openxmlformats.org/markup-compatibility/2006">
    <mc:Choice xmlns:a14="http://schemas.microsoft.com/office/drawing/2010/main" Requires="a14">
      <xdr:twoCellAnchor>
        <xdr:from>
          <xdr:col>2</xdr:col>
          <xdr:colOff>1419225</xdr:colOff>
          <xdr:row>1</xdr:row>
          <xdr:rowOff>0</xdr:rowOff>
        </xdr:from>
        <xdr:to>
          <xdr:col>2</xdr:col>
          <xdr:colOff>1943100</xdr:colOff>
          <xdr:row>2</xdr:row>
          <xdr:rowOff>266700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2076450</xdr:colOff>
          <xdr:row>1</xdr:row>
          <xdr:rowOff>0</xdr:rowOff>
        </xdr:from>
        <xdr:to>
          <xdr:col>2</xdr:col>
          <xdr:colOff>2628900</xdr:colOff>
          <xdr:row>2</xdr:row>
          <xdr:rowOff>266700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6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1514475</xdr:colOff>
          <xdr:row>2</xdr:row>
          <xdr:rowOff>342900</xdr:rowOff>
        </xdr:from>
        <xdr:to>
          <xdr:col>2</xdr:col>
          <xdr:colOff>1914525</xdr:colOff>
          <xdr:row>3</xdr:row>
          <xdr:rowOff>180975</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6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2095500</xdr:colOff>
          <xdr:row>2</xdr:row>
          <xdr:rowOff>342900</xdr:rowOff>
        </xdr:from>
        <xdr:to>
          <xdr:col>2</xdr:col>
          <xdr:colOff>2571750</xdr:colOff>
          <xdr:row>3</xdr:row>
          <xdr:rowOff>180975</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6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267840</xdr:colOff>
      <xdr:row>1</xdr:row>
      <xdr:rowOff>34017</xdr:rowOff>
    </xdr:from>
    <xdr:to>
      <xdr:col>2</xdr:col>
      <xdr:colOff>2354035</xdr:colOff>
      <xdr:row>3</xdr:row>
      <xdr:rowOff>272142</xdr:rowOff>
    </xdr:to>
    <xdr:grpSp>
      <xdr:nvGrpSpPr>
        <xdr:cNvPr id="36" name="Group 35">
          <a:extLst>
            <a:ext uri="{FF2B5EF4-FFF2-40B4-BE49-F238E27FC236}">
              <a16:creationId xmlns:a16="http://schemas.microsoft.com/office/drawing/2014/main" id="{00000000-0008-0000-0700-000024000000}"/>
            </a:ext>
          </a:extLst>
        </xdr:cNvPr>
        <xdr:cNvGrpSpPr/>
      </xdr:nvGrpSpPr>
      <xdr:grpSpPr>
        <a:xfrm>
          <a:off x="11210562556" y="285132"/>
          <a:ext cx="2614401" cy="991465"/>
          <a:chOff x="9835262099" y="219075"/>
          <a:chExt cx="2086162" cy="771525"/>
        </a:xfrm>
      </xdr:grpSpPr>
      <xdr:pic>
        <xdr:nvPicPr>
          <xdr:cNvPr id="37" name="Picture 36" descr="صحن با نام.jpg">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38" name="Picture 37" descr="untitled">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39" name="Group 38">
            <a:extLst>
              <a:ext uri="{FF2B5EF4-FFF2-40B4-BE49-F238E27FC236}">
                <a16:creationId xmlns:a16="http://schemas.microsoft.com/office/drawing/2014/main" id="{00000000-0008-0000-0700-000027000000}"/>
              </a:ext>
            </a:extLst>
          </xdr:cNvPr>
          <xdr:cNvGrpSpPr/>
        </xdr:nvGrpSpPr>
        <xdr:grpSpPr>
          <a:xfrm>
            <a:off x="9835262099" y="246592"/>
            <a:ext cx="748202" cy="734484"/>
            <a:chOff x="9834964516" y="95250"/>
            <a:chExt cx="931485" cy="887249"/>
          </a:xfrm>
        </xdr:grpSpPr>
        <xdr:pic>
          <xdr:nvPicPr>
            <xdr:cNvPr id="40" name="Picture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41" name="Picture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42" name="Picture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13607</xdr:colOff>
      <xdr:row>1</xdr:row>
      <xdr:rowOff>27214</xdr:rowOff>
    </xdr:from>
    <xdr:to>
      <xdr:col>2</xdr:col>
      <xdr:colOff>2072588</xdr:colOff>
      <xdr:row>3</xdr:row>
      <xdr:rowOff>265339</xdr:rowOff>
    </xdr:to>
    <xdr:grpSp>
      <xdr:nvGrpSpPr>
        <xdr:cNvPr id="9" name="Group 8">
          <a:extLst>
            <a:ext uri="{FF2B5EF4-FFF2-40B4-BE49-F238E27FC236}">
              <a16:creationId xmlns:a16="http://schemas.microsoft.com/office/drawing/2014/main" id="{00000000-0008-0000-0800-000009000000}"/>
            </a:ext>
          </a:extLst>
        </xdr:cNvPr>
        <xdr:cNvGrpSpPr/>
      </xdr:nvGrpSpPr>
      <xdr:grpSpPr>
        <a:xfrm>
          <a:off x="11212376663" y="278329"/>
          <a:ext cx="2613163" cy="991465"/>
          <a:chOff x="9835262099" y="219075"/>
          <a:chExt cx="2086162" cy="771525"/>
        </a:xfrm>
      </xdr:grpSpPr>
      <xdr:pic>
        <xdr:nvPicPr>
          <xdr:cNvPr id="10" name="Picture 9" descr="صحن با نام.jpg">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1" name="Picture 10" descr="untitled">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12" name="Group 11">
            <a:extLst>
              <a:ext uri="{FF2B5EF4-FFF2-40B4-BE49-F238E27FC236}">
                <a16:creationId xmlns:a16="http://schemas.microsoft.com/office/drawing/2014/main" id="{00000000-0008-0000-0800-00000C000000}"/>
              </a:ext>
            </a:extLst>
          </xdr:cNvPr>
          <xdr:cNvGrpSpPr/>
        </xdr:nvGrpSpPr>
        <xdr:grpSpPr>
          <a:xfrm>
            <a:off x="9835262099" y="246592"/>
            <a:ext cx="748202" cy="734484"/>
            <a:chOff x="9834964516" y="95250"/>
            <a:chExt cx="931485" cy="887249"/>
          </a:xfrm>
        </xdr:grpSpPr>
        <xdr:pic>
          <xdr:nvPicPr>
            <xdr:cNvPr id="13" name="Picture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4" name="Picture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15" name="Picture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217714</xdr:colOff>
      <xdr:row>1</xdr:row>
      <xdr:rowOff>68035</xdr:rowOff>
    </xdr:from>
    <xdr:to>
      <xdr:col>2</xdr:col>
      <xdr:colOff>2167838</xdr:colOff>
      <xdr:row>3</xdr:row>
      <xdr:rowOff>306160</xdr:rowOff>
    </xdr:to>
    <xdr:grpSp>
      <xdr:nvGrpSpPr>
        <xdr:cNvPr id="13" name="Group 12">
          <a:extLst>
            <a:ext uri="{FF2B5EF4-FFF2-40B4-BE49-F238E27FC236}">
              <a16:creationId xmlns:a16="http://schemas.microsoft.com/office/drawing/2014/main" id="{00000000-0008-0000-0900-00000D000000}"/>
            </a:ext>
          </a:extLst>
        </xdr:cNvPr>
        <xdr:cNvGrpSpPr/>
      </xdr:nvGrpSpPr>
      <xdr:grpSpPr>
        <a:xfrm>
          <a:off x="11211164390" y="319150"/>
          <a:ext cx="2634191" cy="991465"/>
          <a:chOff x="9835262099" y="219075"/>
          <a:chExt cx="2086162" cy="771525"/>
        </a:xfrm>
      </xdr:grpSpPr>
      <xdr:pic>
        <xdr:nvPicPr>
          <xdr:cNvPr id="14" name="Picture 13" descr="صحن با نام.jpg">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5" name="Picture 14" descr="untitled">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16" name="Group 15">
            <a:extLst>
              <a:ext uri="{FF2B5EF4-FFF2-40B4-BE49-F238E27FC236}">
                <a16:creationId xmlns:a16="http://schemas.microsoft.com/office/drawing/2014/main" id="{00000000-0008-0000-0900-000010000000}"/>
              </a:ext>
            </a:extLst>
          </xdr:cNvPr>
          <xdr:cNvGrpSpPr/>
        </xdr:nvGrpSpPr>
        <xdr:grpSpPr>
          <a:xfrm>
            <a:off x="9835262099" y="246592"/>
            <a:ext cx="748202" cy="734484"/>
            <a:chOff x="9834964516" y="95250"/>
            <a:chExt cx="931485" cy="887249"/>
          </a:xfrm>
        </xdr:grpSpPr>
        <xdr:pic>
          <xdr:nvPicPr>
            <xdr:cNvPr id="21" name="Picture 20">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25" name="Picture 24">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26" name="Picture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mc:AlternateContent xmlns:mc="http://schemas.openxmlformats.org/markup-compatibility/2006">
    <mc:Choice xmlns:a14="http://schemas.microsoft.com/office/drawing/2010/main" Requires="a14">
      <xdr:twoCellAnchor>
        <xdr:from>
          <xdr:col>0</xdr:col>
          <xdr:colOff>0</xdr:colOff>
          <xdr:row>0</xdr:row>
          <xdr:rowOff>190500</xdr:rowOff>
        </xdr:from>
        <xdr:to>
          <xdr:col>0</xdr:col>
          <xdr:colOff>0</xdr:colOff>
          <xdr:row>1</xdr:row>
          <xdr:rowOff>238125</xdr:rowOff>
        </xdr:to>
        <xdr:sp macro="" textlink="">
          <xdr:nvSpPr>
            <xdr:cNvPr id="28697" name="Object 25" hidden="1">
              <a:extLst>
                <a:ext uri="{63B3BB69-23CF-44E3-9099-C40C66FF867C}">
                  <a14:compatExt spid="_x0000_s28697"/>
                </a:ext>
                <a:ext uri="{FF2B5EF4-FFF2-40B4-BE49-F238E27FC236}">
                  <a16:creationId xmlns:a16="http://schemas.microsoft.com/office/drawing/2014/main" id="{00000000-0008-0000-0900-0000197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180975</xdr:rowOff>
        </xdr:from>
        <xdr:to>
          <xdr:col>0</xdr:col>
          <xdr:colOff>0</xdr:colOff>
          <xdr:row>1</xdr:row>
          <xdr:rowOff>228600</xdr:rowOff>
        </xdr:to>
        <xdr:sp macro="" textlink="">
          <xdr:nvSpPr>
            <xdr:cNvPr id="28698" name="Object 26" hidden="1">
              <a:extLst>
                <a:ext uri="{63B3BB69-23CF-44E3-9099-C40C66FF867C}">
                  <a14:compatExt spid="_x0000_s28698"/>
                </a:ext>
                <a:ext uri="{FF2B5EF4-FFF2-40B4-BE49-F238E27FC236}">
                  <a16:creationId xmlns:a16="http://schemas.microsoft.com/office/drawing/2014/main" id="{00000000-0008-0000-0900-00001A7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2</xdr:row>
          <xdr:rowOff>180975</xdr:rowOff>
        </xdr:from>
        <xdr:to>
          <xdr:col>0</xdr:col>
          <xdr:colOff>0</xdr:colOff>
          <xdr:row>2</xdr:row>
          <xdr:rowOff>476250</xdr:rowOff>
        </xdr:to>
        <xdr:sp macro="" textlink="">
          <xdr:nvSpPr>
            <xdr:cNvPr id="28699" name="Object 27" hidden="1">
              <a:extLst>
                <a:ext uri="{63B3BB69-23CF-44E3-9099-C40C66FF867C}">
                  <a14:compatExt spid="_x0000_s28699"/>
                </a:ext>
                <a:ext uri="{FF2B5EF4-FFF2-40B4-BE49-F238E27FC236}">
                  <a16:creationId xmlns:a16="http://schemas.microsoft.com/office/drawing/2014/main" id="{00000000-0008-0000-0900-00001B7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1</xdr:col>
      <xdr:colOff>108857</xdr:colOff>
      <xdr:row>1</xdr:row>
      <xdr:rowOff>-1</xdr:rowOff>
    </xdr:from>
    <xdr:to>
      <xdr:col>2</xdr:col>
      <xdr:colOff>2154231</xdr:colOff>
      <xdr:row>3</xdr:row>
      <xdr:rowOff>238124</xdr:rowOff>
    </xdr:to>
    <xdr:grpSp>
      <xdr:nvGrpSpPr>
        <xdr:cNvPr id="9" name="Group 8">
          <a:extLst>
            <a:ext uri="{FF2B5EF4-FFF2-40B4-BE49-F238E27FC236}">
              <a16:creationId xmlns:a16="http://schemas.microsoft.com/office/drawing/2014/main" id="{00000000-0008-0000-0A00-000009000000}"/>
            </a:ext>
          </a:extLst>
        </xdr:cNvPr>
        <xdr:cNvGrpSpPr/>
      </xdr:nvGrpSpPr>
      <xdr:grpSpPr>
        <a:xfrm>
          <a:off x="11213611202" y="251114"/>
          <a:ext cx="2625532" cy="991465"/>
          <a:chOff x="9835262099" y="219075"/>
          <a:chExt cx="2086162" cy="771525"/>
        </a:xfrm>
      </xdr:grpSpPr>
      <xdr:pic>
        <xdr:nvPicPr>
          <xdr:cNvPr id="10" name="Picture 9" descr="صحن با نام.jpg">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1" name="Picture 10" descr="untitled">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15" name="Group 14">
            <a:extLst>
              <a:ext uri="{FF2B5EF4-FFF2-40B4-BE49-F238E27FC236}">
                <a16:creationId xmlns:a16="http://schemas.microsoft.com/office/drawing/2014/main" id="{00000000-0008-0000-0A00-00000F000000}"/>
              </a:ext>
            </a:extLst>
          </xdr:cNvPr>
          <xdr:cNvGrpSpPr/>
        </xdr:nvGrpSpPr>
        <xdr:grpSpPr>
          <a:xfrm>
            <a:off x="9835262099" y="246592"/>
            <a:ext cx="748202" cy="734484"/>
            <a:chOff x="9834964516" y="95250"/>
            <a:chExt cx="931485" cy="887249"/>
          </a:xfrm>
        </xdr:grpSpPr>
        <xdr:pic>
          <xdr:nvPicPr>
            <xdr:cNvPr id="18" name="Picture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9" name="Picture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21" name="Picture 20">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136072</xdr:colOff>
      <xdr:row>0</xdr:row>
      <xdr:rowOff>231322</xdr:rowOff>
    </xdr:from>
    <xdr:to>
      <xdr:col>2</xdr:col>
      <xdr:colOff>2045374</xdr:colOff>
      <xdr:row>3</xdr:row>
      <xdr:rowOff>224518</xdr:rowOff>
    </xdr:to>
    <xdr:grpSp>
      <xdr:nvGrpSpPr>
        <xdr:cNvPr id="12" name="Group 11">
          <a:extLst>
            <a:ext uri="{FF2B5EF4-FFF2-40B4-BE49-F238E27FC236}">
              <a16:creationId xmlns:a16="http://schemas.microsoft.com/office/drawing/2014/main" id="{00000000-0008-0000-0B00-00000C000000}"/>
            </a:ext>
          </a:extLst>
        </xdr:cNvPr>
        <xdr:cNvGrpSpPr/>
      </xdr:nvGrpSpPr>
      <xdr:grpSpPr>
        <a:xfrm>
          <a:off x="11211685171" y="231322"/>
          <a:ext cx="2636666" cy="997651"/>
          <a:chOff x="9835262099" y="219075"/>
          <a:chExt cx="2086162" cy="771525"/>
        </a:xfrm>
      </xdr:grpSpPr>
      <xdr:pic>
        <xdr:nvPicPr>
          <xdr:cNvPr id="16" name="Picture 15" descr="صحن با نام.jpg">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7" name="Picture 16" descr="untitled">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18" name="Group 17">
            <a:extLst>
              <a:ext uri="{FF2B5EF4-FFF2-40B4-BE49-F238E27FC236}">
                <a16:creationId xmlns:a16="http://schemas.microsoft.com/office/drawing/2014/main" id="{00000000-0008-0000-0B00-000012000000}"/>
              </a:ext>
            </a:extLst>
          </xdr:cNvPr>
          <xdr:cNvGrpSpPr/>
        </xdr:nvGrpSpPr>
        <xdr:grpSpPr>
          <a:xfrm>
            <a:off x="9835262099" y="246592"/>
            <a:ext cx="748202" cy="734484"/>
            <a:chOff x="9834964516" y="95250"/>
            <a:chExt cx="931485" cy="887249"/>
          </a:xfrm>
        </xdr:grpSpPr>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20" name="Picture 19">
              <a:extLst>
                <a:ext uri="{FF2B5EF4-FFF2-40B4-BE49-F238E27FC236}">
                  <a16:creationId xmlns:a16="http://schemas.microsoft.com/office/drawing/2014/main" id="{00000000-0008-0000-0B00-00001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258536</xdr:colOff>
      <xdr:row>1</xdr:row>
      <xdr:rowOff>0</xdr:rowOff>
    </xdr:from>
    <xdr:to>
      <xdr:col>2</xdr:col>
      <xdr:colOff>1977338</xdr:colOff>
      <xdr:row>3</xdr:row>
      <xdr:rowOff>238125</xdr:rowOff>
    </xdr:to>
    <xdr:grpSp>
      <xdr:nvGrpSpPr>
        <xdr:cNvPr id="9" name="Group 8">
          <a:extLst>
            <a:ext uri="{FF2B5EF4-FFF2-40B4-BE49-F238E27FC236}">
              <a16:creationId xmlns:a16="http://schemas.microsoft.com/office/drawing/2014/main" id="{00000000-0008-0000-0C00-000009000000}"/>
            </a:ext>
          </a:extLst>
        </xdr:cNvPr>
        <xdr:cNvGrpSpPr/>
      </xdr:nvGrpSpPr>
      <xdr:grpSpPr>
        <a:xfrm>
          <a:off x="11187278287" y="254000"/>
          <a:ext cx="2663365" cy="1000125"/>
          <a:chOff x="9835262099" y="219075"/>
          <a:chExt cx="2086162" cy="771525"/>
        </a:xfrm>
      </xdr:grpSpPr>
      <xdr:pic>
        <xdr:nvPicPr>
          <xdr:cNvPr id="10" name="Picture 9" descr="صحن با نام.jpg">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1" name="Picture 10" descr="untitled">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15" name="Group 14">
            <a:extLst>
              <a:ext uri="{FF2B5EF4-FFF2-40B4-BE49-F238E27FC236}">
                <a16:creationId xmlns:a16="http://schemas.microsoft.com/office/drawing/2014/main" id="{00000000-0008-0000-0C00-00000F000000}"/>
              </a:ext>
            </a:extLst>
          </xdr:cNvPr>
          <xdr:cNvGrpSpPr/>
        </xdr:nvGrpSpPr>
        <xdr:grpSpPr>
          <a:xfrm>
            <a:off x="9835262099" y="246592"/>
            <a:ext cx="748202" cy="734484"/>
            <a:chOff x="9834964516" y="95250"/>
            <a:chExt cx="931485" cy="887249"/>
          </a:xfrm>
        </xdr:grpSpPr>
        <xdr:pic>
          <xdr:nvPicPr>
            <xdr:cNvPr id="20" name="Picture 19">
              <a:extLst>
                <a:ext uri="{FF2B5EF4-FFF2-40B4-BE49-F238E27FC236}">
                  <a16:creationId xmlns:a16="http://schemas.microsoft.com/office/drawing/2014/main" id="{00000000-0008-0000-0C00-00001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21" name="Picture 20">
              <a:extLst>
                <a:ext uri="{FF2B5EF4-FFF2-40B4-BE49-F238E27FC236}">
                  <a16:creationId xmlns:a16="http://schemas.microsoft.com/office/drawing/2014/main" id="{00000000-0008-0000-0C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22" name="Picture 21">
              <a:extLst>
                <a:ext uri="{FF2B5EF4-FFF2-40B4-BE49-F238E27FC236}">
                  <a16:creationId xmlns:a16="http://schemas.microsoft.com/office/drawing/2014/main" id="{00000000-0008-0000-0C00-00001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310635</xdr:colOff>
      <xdr:row>0</xdr:row>
      <xdr:rowOff>42335</xdr:rowOff>
    </xdr:from>
    <xdr:to>
      <xdr:col>2</xdr:col>
      <xdr:colOff>1025746</xdr:colOff>
      <xdr:row>3</xdr:row>
      <xdr:rowOff>53976</xdr:rowOff>
    </xdr:to>
    <xdr:pic>
      <xdr:nvPicPr>
        <xdr:cNvPr id="2" name="Picture 1" descr="صحن با نام.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11238760004" y="42335"/>
          <a:ext cx="715111" cy="706966"/>
        </a:xfrm>
        <a:prstGeom prst="rect">
          <a:avLst/>
        </a:prstGeom>
      </xdr:spPr>
    </xdr:pic>
    <xdr:clientData/>
  </xdr:twoCellAnchor>
  <xdr:twoCellAnchor>
    <xdr:from>
      <xdr:col>0</xdr:col>
      <xdr:colOff>63500</xdr:colOff>
      <xdr:row>0</xdr:row>
      <xdr:rowOff>74088</xdr:rowOff>
    </xdr:from>
    <xdr:to>
      <xdr:col>2</xdr:col>
      <xdr:colOff>158750</xdr:colOff>
      <xdr:row>3</xdr:row>
      <xdr:rowOff>47625</xdr:rowOff>
    </xdr:to>
    <xdr:pic>
      <xdr:nvPicPr>
        <xdr:cNvPr id="3" name="Picture 2" descr="untitled">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11239627000" y="74088"/>
          <a:ext cx="1085850" cy="668862"/>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2</xdr:col>
          <xdr:colOff>1552575</xdr:colOff>
          <xdr:row>0</xdr:row>
          <xdr:rowOff>133350</xdr:rowOff>
        </xdr:from>
        <xdr:to>
          <xdr:col>2</xdr:col>
          <xdr:colOff>2076450</xdr:colOff>
          <xdr:row>2</xdr:row>
          <xdr:rowOff>9525</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D00-000001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2171700</xdr:colOff>
          <xdr:row>0</xdr:row>
          <xdr:rowOff>123825</xdr:rowOff>
        </xdr:from>
        <xdr:to>
          <xdr:col>2</xdr:col>
          <xdr:colOff>2724150</xdr:colOff>
          <xdr:row>2</xdr:row>
          <xdr:rowOff>0</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D00-000002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1609725</xdr:colOff>
          <xdr:row>2</xdr:row>
          <xdr:rowOff>76200</xdr:rowOff>
        </xdr:from>
        <xdr:to>
          <xdr:col>2</xdr:col>
          <xdr:colOff>2009775</xdr:colOff>
          <xdr:row>3</xdr:row>
          <xdr:rowOff>171450</xdr:rowOff>
        </xdr:to>
        <xdr:sp macro="" textlink="">
          <xdr:nvSpPr>
            <xdr:cNvPr id="9219" name="Object 3" hidden="1">
              <a:extLst>
                <a:ext uri="{63B3BB69-23CF-44E3-9099-C40C66FF867C}">
                  <a14:compatExt spid="_x0000_s9219"/>
                </a:ext>
                <a:ext uri="{FF2B5EF4-FFF2-40B4-BE49-F238E27FC236}">
                  <a16:creationId xmlns:a16="http://schemas.microsoft.com/office/drawing/2014/main" id="{00000000-0008-0000-0D00-000003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2190750</xdr:colOff>
          <xdr:row>2</xdr:row>
          <xdr:rowOff>76200</xdr:rowOff>
        </xdr:from>
        <xdr:to>
          <xdr:col>2</xdr:col>
          <xdr:colOff>2667000</xdr:colOff>
          <xdr:row>3</xdr:row>
          <xdr:rowOff>171450</xdr:rowOff>
        </xdr:to>
        <xdr:sp macro="" textlink="">
          <xdr:nvSpPr>
            <xdr:cNvPr id="9220" name="Object 4" hidden="1">
              <a:extLst>
                <a:ext uri="{63B3BB69-23CF-44E3-9099-C40C66FF867C}">
                  <a14:compatExt spid="_x0000_s9220"/>
                </a:ext>
                <a:ext uri="{FF2B5EF4-FFF2-40B4-BE49-F238E27FC236}">
                  <a16:creationId xmlns:a16="http://schemas.microsoft.com/office/drawing/2014/main" id="{00000000-0008-0000-0D00-000004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0</xdr:col>
      <xdr:colOff>312964</xdr:colOff>
      <xdr:row>0</xdr:row>
      <xdr:rowOff>217714</xdr:rowOff>
    </xdr:from>
    <xdr:to>
      <xdr:col>2</xdr:col>
      <xdr:colOff>1800445</xdr:colOff>
      <xdr:row>3</xdr:row>
      <xdr:rowOff>210910</xdr:rowOff>
    </xdr:to>
    <xdr:grpSp>
      <xdr:nvGrpSpPr>
        <xdr:cNvPr id="2" name="Group 1">
          <a:extLst>
            <a:ext uri="{FF2B5EF4-FFF2-40B4-BE49-F238E27FC236}">
              <a16:creationId xmlns:a16="http://schemas.microsoft.com/office/drawing/2014/main" id="{00000000-0008-0000-0F00-000002000000}"/>
            </a:ext>
          </a:extLst>
        </xdr:cNvPr>
        <xdr:cNvGrpSpPr/>
      </xdr:nvGrpSpPr>
      <xdr:grpSpPr>
        <a:xfrm>
          <a:off x="11262131180" y="217714"/>
          <a:ext cx="2698517" cy="1000125"/>
          <a:chOff x="9835262099" y="219075"/>
          <a:chExt cx="2086162" cy="771525"/>
        </a:xfrm>
      </xdr:grpSpPr>
      <xdr:pic>
        <xdr:nvPicPr>
          <xdr:cNvPr id="3" name="Picture 2" descr="صحن با نام.jp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4" name="Picture 3" descr="untitled">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5" name="Group 4">
            <a:extLst>
              <a:ext uri="{FF2B5EF4-FFF2-40B4-BE49-F238E27FC236}">
                <a16:creationId xmlns:a16="http://schemas.microsoft.com/office/drawing/2014/main" id="{00000000-0008-0000-0F00-000005000000}"/>
              </a:ext>
            </a:extLst>
          </xdr:cNvPr>
          <xdr:cNvGrpSpPr/>
        </xdr:nvGrpSpPr>
        <xdr:grpSpPr>
          <a:xfrm>
            <a:off x="9835262099" y="246592"/>
            <a:ext cx="748202" cy="734484"/>
            <a:chOff x="9834964516" y="95250"/>
            <a:chExt cx="931485" cy="887249"/>
          </a:xfrm>
        </xdr:grpSpPr>
        <xdr:pic>
          <xdr:nvPicPr>
            <xdr:cNvPr id="6" name="Picture 5">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7" name="Picture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8" name="Picture 7">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272142</xdr:colOff>
      <xdr:row>1</xdr:row>
      <xdr:rowOff>13607</xdr:rowOff>
    </xdr:from>
    <xdr:to>
      <xdr:col>2</xdr:col>
      <xdr:colOff>2018159</xdr:colOff>
      <xdr:row>3</xdr:row>
      <xdr:rowOff>251732</xdr:rowOff>
    </xdr:to>
    <xdr:grpSp>
      <xdr:nvGrpSpPr>
        <xdr:cNvPr id="9" name="Group 8">
          <a:extLst>
            <a:ext uri="{FF2B5EF4-FFF2-40B4-BE49-F238E27FC236}">
              <a16:creationId xmlns:a16="http://schemas.microsoft.com/office/drawing/2014/main" id="{00000000-0008-0000-1000-000009000000}"/>
            </a:ext>
          </a:extLst>
        </xdr:cNvPr>
        <xdr:cNvGrpSpPr/>
      </xdr:nvGrpSpPr>
      <xdr:grpSpPr>
        <a:xfrm>
          <a:off x="11260164948" y="265340"/>
          <a:ext cx="2650893" cy="993321"/>
          <a:chOff x="9835262099" y="219075"/>
          <a:chExt cx="2086162" cy="771525"/>
        </a:xfrm>
      </xdr:grpSpPr>
      <xdr:pic>
        <xdr:nvPicPr>
          <xdr:cNvPr id="10" name="Picture 9" descr="صحن با نام.jpg">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1" cstate="print"/>
          <a:stretch>
            <a:fillRect/>
          </a:stretch>
        </xdr:blipFill>
        <xdr:spPr>
          <a:xfrm>
            <a:off x="9835991249" y="221192"/>
            <a:ext cx="716491" cy="766634"/>
          </a:xfrm>
          <a:prstGeom prst="rect">
            <a:avLst/>
          </a:prstGeom>
        </xdr:spPr>
      </xdr:pic>
      <xdr:pic>
        <xdr:nvPicPr>
          <xdr:cNvPr id="11" name="Picture 10" descr="untitled">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2" cstate="print">
            <a:lum bright="20000" contrast="20000"/>
          </a:blip>
          <a:srcRect l="1924" t="2515" r="2183" b="2642"/>
          <a:stretch>
            <a:fillRect/>
          </a:stretch>
        </xdr:blipFill>
        <xdr:spPr bwMode="auto">
          <a:xfrm>
            <a:off x="9836740104" y="219075"/>
            <a:ext cx="608157" cy="771525"/>
          </a:xfrm>
          <a:prstGeom prst="rect">
            <a:avLst/>
          </a:prstGeom>
          <a:noFill/>
          <a:ln w="9525">
            <a:noFill/>
            <a:miter lim="800000"/>
            <a:headEnd/>
            <a:tailEnd/>
          </a:ln>
        </xdr:spPr>
      </xdr:pic>
      <xdr:grpSp>
        <xdr:nvGrpSpPr>
          <xdr:cNvPr id="12" name="Group 11">
            <a:extLst>
              <a:ext uri="{FF2B5EF4-FFF2-40B4-BE49-F238E27FC236}">
                <a16:creationId xmlns:a16="http://schemas.microsoft.com/office/drawing/2014/main" id="{00000000-0008-0000-1000-00000C000000}"/>
              </a:ext>
            </a:extLst>
          </xdr:cNvPr>
          <xdr:cNvGrpSpPr/>
        </xdr:nvGrpSpPr>
        <xdr:grpSpPr>
          <a:xfrm>
            <a:off x="9835262099" y="246592"/>
            <a:ext cx="748202" cy="734484"/>
            <a:chOff x="9834964516" y="95250"/>
            <a:chExt cx="931485" cy="887249"/>
          </a:xfrm>
        </xdr:grpSpPr>
        <xdr:pic>
          <xdr:nvPicPr>
            <xdr:cNvPr id="13" name="Picture 12">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4964516" y="123046"/>
              <a:ext cx="423837" cy="390525"/>
            </a:xfrm>
            <a:prstGeom prst="rect">
              <a:avLst/>
            </a:prstGeom>
          </xdr:spPr>
        </xdr:pic>
        <xdr:pic>
          <xdr:nvPicPr>
            <xdr:cNvPr id="14" name="Picture 13">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35443599" y="95250"/>
              <a:ext cx="452402" cy="433894"/>
            </a:xfrm>
            <a:prstGeom prst="rect">
              <a:avLst/>
            </a:prstGeom>
          </xdr:spPr>
        </xdr:pic>
        <xdr:pic>
          <xdr:nvPicPr>
            <xdr:cNvPr id="17" name="Picture 16">
              <a:extLst>
                <a:ext uri="{FF2B5EF4-FFF2-40B4-BE49-F238E27FC236}">
                  <a16:creationId xmlns:a16="http://schemas.microsoft.com/office/drawing/2014/main" id="{00000000-0008-0000-1000-000011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5018275" y="581025"/>
              <a:ext cx="792000" cy="401474"/>
            </a:xfrm>
            <a:prstGeom prst="rect">
              <a:avLst/>
            </a:prstGeom>
          </xdr:spPr>
        </xdr:pic>
      </xdr:grpSp>
    </xdr:grp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43943</xdr:colOff>
      <xdr:row>1</xdr:row>
      <xdr:rowOff>79928</xdr:rowOff>
    </xdr:from>
    <xdr:to>
      <xdr:col>1</xdr:col>
      <xdr:colOff>481853</xdr:colOff>
      <xdr:row>2</xdr:row>
      <xdr:rowOff>183125</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9838376422" y="289478"/>
          <a:ext cx="895110" cy="417522"/>
        </a:xfrm>
        <a:prstGeom prst="rect">
          <a:avLst/>
        </a:prstGeom>
      </xdr:spPr>
    </xdr:pic>
    <xdr:clientData/>
  </xdr:twoCellAnchor>
  <xdr:twoCellAnchor editAs="oneCell">
    <xdr:from>
      <xdr:col>4</xdr:col>
      <xdr:colOff>78404</xdr:colOff>
      <xdr:row>0</xdr:row>
      <xdr:rowOff>42194</xdr:rowOff>
    </xdr:from>
    <xdr:to>
      <xdr:col>4</xdr:col>
      <xdr:colOff>602154</xdr:colOff>
      <xdr:row>2</xdr:row>
      <xdr:rowOff>50311</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stretch>
          <a:fillRect/>
        </a:stretch>
      </xdr:blipFill>
      <xdr:spPr>
        <a:xfrm>
          <a:off x="9832703046" y="42194"/>
          <a:ext cx="523750" cy="531992"/>
        </a:xfrm>
        <a:prstGeom prst="rect">
          <a:avLst/>
        </a:prstGeom>
      </xdr:spPr>
    </xdr:pic>
    <xdr:clientData/>
  </xdr:twoCellAnchor>
  <xdr:twoCellAnchor>
    <xdr:from>
      <xdr:col>4</xdr:col>
      <xdr:colOff>628620</xdr:colOff>
      <xdr:row>0</xdr:row>
      <xdr:rowOff>74452</xdr:rowOff>
    </xdr:from>
    <xdr:to>
      <xdr:col>4</xdr:col>
      <xdr:colOff>1084853</xdr:colOff>
      <xdr:row>1</xdr:row>
      <xdr:rowOff>304800</xdr:rowOff>
    </xdr:to>
    <xdr:pic>
      <xdr:nvPicPr>
        <xdr:cNvPr id="4" name="Picture 0" descr="Description: Arm-Railway.jpg">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32220347" y="74452"/>
          <a:ext cx="456233" cy="439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1585;&#1575;&#1607;%20&#1570;&#1607;&#1606;\shirazi\&#1585;&#1587;&#1740;&#1583;&#1711;&#1740;%20&#1576;&#1607;%20&#1589;&#1608;&#1585;&#1578;%20&#1608;&#1590;&#1593;&#1740;&#1578;%20&#1575;&#1589;&#1601;&#1607;&#1575;&#1606;\01-&#1705;&#1740;&#1587;&#1608;&#1606;-%20&#1588;&#1576;&#1606;&#1605;%20&#1605;&#1588;&#1705;\&#1589;&#1608;&#1585;&#1578;%20&#1608;&#1590;&#1593;&#1610;&#1578;%2025\Copy%20of%20Statement%20No%2025-Shabnam-Mosh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Design%20Office\Public\40-%20Moshk%20Sistan\Invoice\Invoice%2015%20--%20up%20to%201396.12.05\Approved\Copy%20of%20invoice%2015%20-%20Approved%20-%20up%20to%2096-1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summary-2"/>
      <sheetName val="summary-Adjustment"/>
      <sheetName val="CBS"/>
      <sheetName val="CBS-1.3.1"/>
      <sheetName val="CBS-1.3.2"/>
      <sheetName val="CBS-1.3.3"/>
      <sheetName val="CBS-1.3.4"/>
      <sheetName val="CBS-1.4.1"/>
      <sheetName val="CBS-1.4.2"/>
      <sheetName val="CBS-1.5"/>
      <sheetName val="CBS-1.6"/>
      <sheetName val="CBS-1.6.1"/>
      <sheetName val="CBS-1.6.2"/>
      <sheetName val="CBS-1.6.3"/>
      <sheetName val="CBS-1.7.3"/>
      <sheetName val="CBS-1.7.4"/>
      <sheetName val="CBS-1.7.5"/>
      <sheetName val="CBS-1.7.6"/>
      <sheetName val="CBS-1.7.7"/>
      <sheetName val="ENG. DL Att. "/>
      <sheetName val="summary (2)"/>
      <sheetName val="summary-2 (2)"/>
      <sheetName val="summary-Adjustment (2)"/>
    </sheetNames>
    <sheetDataSet>
      <sheetData sheetId="0">
        <row r="5">
          <cell r="A5" t="str">
            <v>00</v>
          </cell>
          <cell r="C5" t="str">
            <v>01</v>
          </cell>
          <cell r="E5" t="str">
            <v>025</v>
          </cell>
          <cell r="G5" t="str">
            <v>ST</v>
          </cell>
          <cell r="I5" t="str">
            <v>ECO</v>
          </cell>
          <cell r="K5">
            <v>18</v>
          </cell>
          <cell r="M5">
            <v>95210</v>
          </cell>
          <cell r="S5">
            <v>24</v>
          </cell>
        </row>
      </sheetData>
      <sheetData sheetId="1"/>
      <sheetData sheetId="2"/>
      <sheetData sheetId="3"/>
      <sheetData sheetId="4">
        <row r="4">
          <cell r="M4" t="str">
            <v>Proj</v>
          </cell>
        </row>
      </sheetData>
      <sheetData sheetId="5"/>
      <sheetData sheetId="6"/>
      <sheetData sheetId="7"/>
      <sheetData sheetId="8"/>
      <sheetData sheetId="9"/>
      <sheetData sheetId="10"/>
      <sheetData sheetId="11">
        <row r="4">
          <cell r="N4" t="str">
            <v>Proj</v>
          </cell>
        </row>
      </sheetData>
      <sheetData sheetId="12"/>
      <sheetData sheetId="13">
        <row r="1">
          <cell r="F1">
            <v>0</v>
          </cell>
        </row>
      </sheetData>
      <sheetData sheetId="14">
        <row r="1">
          <cell r="F1">
            <v>0</v>
          </cell>
        </row>
      </sheetData>
      <sheetData sheetId="15">
        <row r="1">
          <cell r="F1">
            <v>0</v>
          </cell>
        </row>
      </sheetData>
      <sheetData sheetId="16">
        <row r="4">
          <cell r="M4" t="str">
            <v>Proj</v>
          </cell>
        </row>
      </sheetData>
      <sheetData sheetId="17">
        <row r="1">
          <cell r="F1">
            <v>0</v>
          </cell>
        </row>
      </sheetData>
      <sheetData sheetId="18">
        <row r="4">
          <cell r="M4" t="str">
            <v>Proj</v>
          </cell>
        </row>
      </sheetData>
      <sheetData sheetId="19">
        <row r="1">
          <cell r="M1">
            <v>0</v>
          </cell>
        </row>
      </sheetData>
      <sheetData sheetId="20">
        <row r="1">
          <cell r="F1">
            <v>0</v>
          </cell>
        </row>
      </sheetData>
      <sheetData sheetId="2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فروش كالا و خدمات"/>
      <sheetName val="summary"/>
      <sheetName val="summary-2"/>
      <sheetName val="summary-Adjustment"/>
      <sheetName val="خلاصه مالي صورت وضعیت"/>
      <sheetName val="جمع بندي صورت وضعیت"/>
      <sheetName val="سازمان دهی و برنامه ریزی پروژه"/>
      <sheetName val="بیمه نامه ها"/>
      <sheetName val="تجهیز کارگاه اولیه"/>
      <sheetName val="تجهیز کارگاه مستمر"/>
      <sheetName val="خدمات طراحي  مهندسي پیش از اجرا"/>
      <sheetName val="خدمات طراحي و مهندسي حین اجرا"/>
      <sheetName val="خدمات مهندسي حين اجرا"/>
      <sheetName val="خدمات تامین"/>
      <sheetName val="خدمات اجرایی "/>
      <sheetName val="اختتامیه"/>
      <sheetName val="CBS"/>
    </sheetNames>
    <sheetDataSet>
      <sheetData sheetId="0"/>
      <sheetData sheetId="1"/>
      <sheetData sheetId="2"/>
      <sheetData sheetId="3"/>
      <sheetData sheetId="4"/>
      <sheetData sheetId="5"/>
      <sheetData sheetId="6"/>
      <sheetData sheetId="7">
        <row r="8">
          <cell r="J8">
            <v>0.73708333338200926</v>
          </cell>
          <cell r="K8">
            <v>4.4225000002920557E-3</v>
          </cell>
          <cell r="L8">
            <v>5295842703</v>
          </cell>
        </row>
        <row r="9">
          <cell r="J9">
            <v>0.56000000000000005</v>
          </cell>
          <cell r="K9">
            <v>5.6000000000000006E-4</v>
          </cell>
          <cell r="L9">
            <v>670587204.85792005</v>
          </cell>
        </row>
        <row r="10">
          <cell r="J10">
            <v>0.7</v>
          </cell>
          <cell r="K10">
            <v>6.9999999999999999E-4</v>
          </cell>
          <cell r="L10">
            <v>838234006.07239997</v>
          </cell>
        </row>
        <row r="11">
          <cell r="J11">
            <v>0.6125000002920552</v>
          </cell>
          <cell r="K11">
            <v>6.1250000029205521E-4</v>
          </cell>
          <cell r="L11">
            <v>733454755.6630795</v>
          </cell>
        </row>
        <row r="12">
          <cell r="J12">
            <v>0.85</v>
          </cell>
          <cell r="K12">
            <v>2.5500000000000002E-3</v>
          </cell>
          <cell r="L12">
            <v>3053566736.4066</v>
          </cell>
        </row>
      </sheetData>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11.png"/><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oleObject" Target="../embeddings/oleObject2.bin"/><Relationship Id="rId11" Type="http://schemas.openxmlformats.org/officeDocument/2006/relationships/image" Target="../media/image13.png"/><Relationship Id="rId5" Type="http://schemas.openxmlformats.org/officeDocument/2006/relationships/image" Target="../media/image10.png"/><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12.png"/></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oleObject" Target="../embeddings/oleObject7.bin"/><Relationship Id="rId3" Type="http://schemas.openxmlformats.org/officeDocument/2006/relationships/vmlDrawing" Target="../drawings/vmlDrawing2.vml"/><Relationship Id="rId7" Type="http://schemas.openxmlformats.org/officeDocument/2006/relationships/image" Target="../media/image11.png"/><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oleObject" Target="../embeddings/oleObject6.bin"/><Relationship Id="rId5" Type="http://schemas.openxmlformats.org/officeDocument/2006/relationships/image" Target="../media/image10.png"/><Relationship Id="rId4" Type="http://schemas.openxmlformats.org/officeDocument/2006/relationships/oleObject" Target="../embeddings/oleObject5.bin"/><Relationship Id="rId9" Type="http://schemas.openxmlformats.org/officeDocument/2006/relationships/image" Target="../media/image12.png"/></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oleObject" Target="../embeddings/oleObject10.bin"/><Relationship Id="rId3" Type="http://schemas.openxmlformats.org/officeDocument/2006/relationships/vmlDrawing" Target="../drawings/vmlDrawing3.vml"/><Relationship Id="rId7" Type="http://schemas.openxmlformats.org/officeDocument/2006/relationships/image" Target="../media/image11.png"/><Relationship Id="rId2" Type="http://schemas.openxmlformats.org/officeDocument/2006/relationships/drawing" Target="../drawings/drawing13.xml"/><Relationship Id="rId1" Type="http://schemas.openxmlformats.org/officeDocument/2006/relationships/printerSettings" Target="../printerSettings/printerSettings14.bin"/><Relationship Id="rId6" Type="http://schemas.openxmlformats.org/officeDocument/2006/relationships/oleObject" Target="../embeddings/oleObject9.bin"/><Relationship Id="rId11" Type="http://schemas.openxmlformats.org/officeDocument/2006/relationships/image" Target="../media/image13.png"/><Relationship Id="rId5" Type="http://schemas.openxmlformats.org/officeDocument/2006/relationships/image" Target="../media/image10.png"/><Relationship Id="rId10" Type="http://schemas.openxmlformats.org/officeDocument/2006/relationships/oleObject" Target="../embeddings/oleObject11.bin"/><Relationship Id="rId4" Type="http://schemas.openxmlformats.org/officeDocument/2006/relationships/oleObject" Target="../embeddings/oleObject8.bin"/><Relationship Id="rId9" Type="http://schemas.openxmlformats.org/officeDocument/2006/relationships/image" Target="../media/image12.png"/></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7"/>
  <sheetViews>
    <sheetView rightToLeft="1" topLeftCell="A16" zoomScale="90" zoomScaleNormal="90" zoomScaleSheetLayoutView="80" workbookViewId="0">
      <selection activeCell="A20" sqref="A20:H20"/>
    </sheetView>
  </sheetViews>
  <sheetFormatPr defaultColWidth="9" defaultRowHeight="13.5"/>
  <cols>
    <col min="1" max="1" width="3.5625" style="381" customWidth="1"/>
    <col min="2" max="2" width="6.3125" style="381" customWidth="1"/>
    <col min="3" max="3" width="8.6875" style="381" customWidth="1"/>
    <col min="4" max="5" width="5.5625" style="381" customWidth="1"/>
    <col min="6" max="8" width="6.3125" style="381" customWidth="1"/>
    <col min="9" max="10" width="7.4375" style="381" customWidth="1"/>
    <col min="11" max="22" width="2.125" style="381" customWidth="1"/>
    <col min="23" max="23" width="3.4375" style="381" customWidth="1"/>
    <col min="24" max="24" width="8.6875" style="381" customWidth="1"/>
    <col min="25" max="34" width="2.3125" style="381" customWidth="1"/>
    <col min="35" max="16384" width="9" style="381"/>
  </cols>
  <sheetData>
    <row r="1" spans="1:34" ht="15.75">
      <c r="W1" s="616" t="s">
        <v>842</v>
      </c>
      <c r="X1" s="616"/>
      <c r="Y1" s="616"/>
      <c r="Z1" s="617"/>
      <c r="AA1" s="617"/>
      <c r="AB1" s="617"/>
      <c r="AC1" s="617"/>
      <c r="AD1" s="617"/>
      <c r="AE1" s="617"/>
      <c r="AF1" s="617"/>
      <c r="AG1" s="617"/>
      <c r="AH1" s="617"/>
    </row>
    <row r="2" spans="1:34" ht="15.75" customHeight="1">
      <c r="W2" s="616" t="s">
        <v>843</v>
      </c>
      <c r="X2" s="616"/>
      <c r="Y2" s="616"/>
      <c r="Z2" s="617"/>
      <c r="AA2" s="617"/>
      <c r="AB2" s="617"/>
      <c r="AC2" s="617"/>
      <c r="AD2" s="617"/>
      <c r="AE2" s="617"/>
      <c r="AF2" s="617"/>
      <c r="AG2" s="617"/>
      <c r="AH2" s="617"/>
    </row>
    <row r="3" spans="1:34" ht="18.399999999999999">
      <c r="A3" s="618" t="s">
        <v>844</v>
      </c>
      <c r="B3" s="618"/>
      <c r="C3" s="618"/>
      <c r="D3" s="618"/>
      <c r="E3" s="618"/>
      <c r="F3" s="618"/>
      <c r="G3" s="618"/>
      <c r="H3" s="618"/>
      <c r="I3" s="618"/>
      <c r="J3" s="618"/>
      <c r="K3" s="618"/>
      <c r="L3" s="618"/>
      <c r="M3" s="618"/>
      <c r="N3" s="618"/>
      <c r="O3" s="618"/>
      <c r="P3" s="618"/>
      <c r="Q3" s="618"/>
      <c r="R3" s="618"/>
      <c r="S3" s="618"/>
      <c r="T3" s="618"/>
      <c r="U3" s="618"/>
      <c r="V3" s="618"/>
      <c r="W3" s="618"/>
      <c r="X3" s="618"/>
      <c r="Y3" s="618"/>
      <c r="Z3" s="618"/>
      <c r="AA3" s="618"/>
      <c r="AB3" s="618"/>
      <c r="AC3" s="618"/>
      <c r="AD3" s="618"/>
      <c r="AE3" s="618"/>
      <c r="AF3" s="618"/>
      <c r="AG3" s="618"/>
      <c r="AH3" s="618"/>
    </row>
    <row r="4" spans="1:34" ht="18">
      <c r="A4" s="619" t="s">
        <v>845</v>
      </c>
      <c r="B4" s="620"/>
      <c r="C4" s="620"/>
      <c r="D4" s="620"/>
      <c r="E4" s="620"/>
      <c r="F4" s="620"/>
      <c r="G4" s="620"/>
      <c r="H4" s="620"/>
      <c r="I4" s="620"/>
      <c r="J4" s="620"/>
      <c r="K4" s="620"/>
      <c r="L4" s="620"/>
      <c r="M4" s="620"/>
      <c r="N4" s="620"/>
      <c r="O4" s="620"/>
      <c r="P4" s="620"/>
      <c r="Q4" s="620"/>
      <c r="R4" s="620"/>
      <c r="S4" s="620"/>
      <c r="T4" s="620"/>
      <c r="U4" s="620"/>
      <c r="V4" s="620"/>
      <c r="W4" s="620"/>
      <c r="X4" s="620"/>
      <c r="Y4" s="620"/>
      <c r="Z4" s="620"/>
      <c r="AA4" s="620"/>
      <c r="AB4" s="620"/>
      <c r="AC4" s="620"/>
      <c r="AD4" s="620"/>
      <c r="AE4" s="620"/>
      <c r="AF4" s="620"/>
      <c r="AG4" s="620"/>
      <c r="AH4" s="621"/>
    </row>
    <row r="5" spans="1:34" ht="14.25" customHeight="1">
      <c r="A5" s="634" t="s">
        <v>846</v>
      </c>
      <c r="B5" s="635"/>
      <c r="C5" s="635"/>
      <c r="D5" s="638" t="s">
        <v>878</v>
      </c>
      <c r="E5" s="638"/>
      <c r="F5" s="638"/>
      <c r="G5" s="638"/>
      <c r="H5" s="639"/>
      <c r="I5" s="610" t="s">
        <v>847</v>
      </c>
      <c r="J5" s="611"/>
      <c r="K5" s="614">
        <v>7</v>
      </c>
      <c r="L5" s="614">
        <v>5</v>
      </c>
      <c r="M5" s="614">
        <v>7</v>
      </c>
      <c r="N5" s="614">
        <v>7</v>
      </c>
      <c r="O5" s="614">
        <v>7</v>
      </c>
      <c r="P5" s="614">
        <v>6</v>
      </c>
      <c r="Q5" s="614">
        <v>1</v>
      </c>
      <c r="R5" s="614">
        <v>5</v>
      </c>
      <c r="S5" s="614">
        <v>1</v>
      </c>
      <c r="T5" s="614">
        <v>1</v>
      </c>
      <c r="U5" s="614">
        <v>1</v>
      </c>
      <c r="V5" s="614">
        <v>4</v>
      </c>
      <c r="W5" s="610" t="s">
        <v>848</v>
      </c>
      <c r="X5" s="611"/>
      <c r="Y5" s="614">
        <v>0</v>
      </c>
      <c r="Z5" s="614">
        <v>2</v>
      </c>
      <c r="AA5" s="614">
        <v>0</v>
      </c>
      <c r="AB5" s="614">
        <v>3</v>
      </c>
      <c r="AC5" s="614"/>
      <c r="AD5" s="614"/>
      <c r="AE5" s="614"/>
      <c r="AF5" s="614"/>
      <c r="AG5" s="614"/>
      <c r="AH5" s="614"/>
    </row>
    <row r="6" spans="1:34" ht="18.75" customHeight="1">
      <c r="A6" s="636"/>
      <c r="B6" s="637"/>
      <c r="C6" s="637"/>
      <c r="D6" s="640"/>
      <c r="E6" s="640"/>
      <c r="F6" s="640"/>
      <c r="G6" s="640"/>
      <c r="H6" s="641"/>
      <c r="I6" s="612"/>
      <c r="J6" s="613"/>
      <c r="K6" s="615"/>
      <c r="L6" s="615"/>
      <c r="M6" s="615"/>
      <c r="N6" s="615"/>
      <c r="O6" s="615"/>
      <c r="P6" s="615"/>
      <c r="Q6" s="615"/>
      <c r="R6" s="615"/>
      <c r="S6" s="615"/>
      <c r="T6" s="615"/>
      <c r="U6" s="615"/>
      <c r="V6" s="615"/>
      <c r="W6" s="612"/>
      <c r="X6" s="613"/>
      <c r="Y6" s="615"/>
      <c r="Z6" s="615"/>
      <c r="AA6" s="615"/>
      <c r="AB6" s="615"/>
      <c r="AC6" s="615"/>
      <c r="AD6" s="615"/>
      <c r="AE6" s="615"/>
      <c r="AF6" s="615"/>
      <c r="AG6" s="615"/>
      <c r="AH6" s="615"/>
    </row>
    <row r="7" spans="1:34" ht="18" customHeight="1">
      <c r="A7" s="622" t="s">
        <v>879</v>
      </c>
      <c r="B7" s="623"/>
      <c r="C7" s="623"/>
      <c r="D7" s="623"/>
      <c r="E7" s="623"/>
      <c r="F7" s="623"/>
      <c r="G7" s="623"/>
      <c r="H7" s="624"/>
      <c r="I7" s="625" t="s">
        <v>849</v>
      </c>
      <c r="J7" s="626"/>
      <c r="K7" s="626"/>
      <c r="L7" s="627"/>
      <c r="M7" s="395">
        <v>1</v>
      </c>
      <c r="N7" s="395">
        <v>1</v>
      </c>
      <c r="O7" s="395">
        <v>3</v>
      </c>
      <c r="P7" s="395">
        <v>4</v>
      </c>
      <c r="Q7" s="395">
        <v>8</v>
      </c>
      <c r="R7" s="396">
        <v>8</v>
      </c>
      <c r="S7" s="395">
        <v>8</v>
      </c>
      <c r="T7" s="395">
        <v>3</v>
      </c>
      <c r="U7" s="395">
        <v>4</v>
      </c>
      <c r="V7" s="395">
        <v>1</v>
      </c>
      <c r="W7" s="628" t="s">
        <v>880</v>
      </c>
      <c r="X7" s="629"/>
      <c r="Y7" s="629"/>
      <c r="Z7" s="629"/>
      <c r="AA7" s="629"/>
      <c r="AB7" s="629"/>
      <c r="AC7" s="629"/>
      <c r="AD7" s="629"/>
      <c r="AE7" s="629"/>
      <c r="AF7" s="629"/>
      <c r="AG7" s="629"/>
      <c r="AH7" s="630"/>
    </row>
    <row r="8" spans="1:34" ht="18.75" customHeight="1">
      <c r="A8" s="622" t="s">
        <v>881</v>
      </c>
      <c r="B8" s="623"/>
      <c r="C8" s="623"/>
      <c r="D8" s="623"/>
      <c r="E8" s="623"/>
      <c r="F8" s="623"/>
      <c r="G8" s="623"/>
      <c r="H8" s="623"/>
      <c r="I8" s="623"/>
      <c r="J8" s="623"/>
      <c r="K8" s="623"/>
      <c r="L8" s="623"/>
      <c r="M8" s="623"/>
      <c r="N8" s="623"/>
      <c r="O8" s="623"/>
      <c r="P8" s="623"/>
      <c r="Q8" s="623"/>
      <c r="R8" s="623"/>
      <c r="S8" s="623"/>
      <c r="T8" s="623"/>
      <c r="U8" s="623"/>
      <c r="V8" s="624"/>
      <c r="W8" s="631"/>
      <c r="X8" s="632"/>
      <c r="Y8" s="632"/>
      <c r="Z8" s="632"/>
      <c r="AA8" s="632"/>
      <c r="AB8" s="632"/>
      <c r="AC8" s="632"/>
      <c r="AD8" s="632"/>
      <c r="AE8" s="632"/>
      <c r="AF8" s="632"/>
      <c r="AG8" s="632"/>
      <c r="AH8" s="633"/>
    </row>
    <row r="9" spans="1:34" ht="22.15">
      <c r="A9" s="643" t="s">
        <v>850</v>
      </c>
      <c r="B9" s="643"/>
      <c r="C9" s="643"/>
      <c r="D9" s="643"/>
      <c r="E9" s="643"/>
      <c r="F9" s="643"/>
      <c r="G9" s="643"/>
      <c r="H9" s="643"/>
      <c r="I9" s="643"/>
      <c r="J9" s="643"/>
      <c r="K9" s="643"/>
      <c r="L9" s="643"/>
      <c r="M9" s="643"/>
      <c r="N9" s="643"/>
      <c r="O9" s="643"/>
      <c r="P9" s="643"/>
      <c r="Q9" s="643"/>
      <c r="R9" s="643"/>
      <c r="S9" s="643"/>
      <c r="T9" s="643"/>
      <c r="U9" s="643"/>
      <c r="V9" s="643"/>
      <c r="W9" s="643"/>
      <c r="X9" s="643"/>
      <c r="Y9" s="643"/>
      <c r="Z9" s="643"/>
      <c r="AA9" s="643"/>
      <c r="AB9" s="643"/>
      <c r="AC9" s="643"/>
      <c r="AD9" s="643"/>
      <c r="AE9" s="643"/>
      <c r="AF9" s="643"/>
      <c r="AG9" s="643"/>
      <c r="AH9" s="643"/>
    </row>
    <row r="10" spans="1:34" ht="14.25" customHeight="1">
      <c r="A10" s="644" t="s">
        <v>846</v>
      </c>
      <c r="B10" s="645"/>
      <c r="C10" s="645"/>
      <c r="D10" s="646" t="s">
        <v>16</v>
      </c>
      <c r="E10" s="646"/>
      <c r="F10" s="646"/>
      <c r="G10" s="646"/>
      <c r="H10" s="647"/>
      <c r="I10" s="648" t="s">
        <v>847</v>
      </c>
      <c r="J10" s="648"/>
      <c r="K10" s="642">
        <v>7</v>
      </c>
      <c r="L10" s="642">
        <v>7</v>
      </c>
      <c r="M10" s="642">
        <v>1</v>
      </c>
      <c r="N10" s="642">
        <v>3</v>
      </c>
      <c r="O10" s="642">
        <v>1</v>
      </c>
      <c r="P10" s="642">
        <v>5</v>
      </c>
      <c r="Q10" s="642">
        <v>1</v>
      </c>
      <c r="R10" s="642">
        <v>1</v>
      </c>
      <c r="S10" s="642">
        <v>1</v>
      </c>
      <c r="T10" s="642">
        <v>1</v>
      </c>
      <c r="U10" s="642">
        <v>1</v>
      </c>
      <c r="V10" s="642">
        <v>4</v>
      </c>
      <c r="W10" s="648" t="s">
        <v>848</v>
      </c>
      <c r="X10" s="648"/>
      <c r="Y10" s="642">
        <v>4</v>
      </c>
      <c r="Z10" s="642">
        <v>4</v>
      </c>
      <c r="AA10" s="642">
        <v>6</v>
      </c>
      <c r="AB10" s="642">
        <v>0</v>
      </c>
      <c r="AC10" s="642">
        <v>7</v>
      </c>
      <c r="AD10" s="650"/>
      <c r="AE10" s="650"/>
      <c r="AF10" s="650"/>
      <c r="AG10" s="650"/>
      <c r="AH10" s="650"/>
    </row>
    <row r="11" spans="1:34" ht="18.75" customHeight="1">
      <c r="A11" s="644"/>
      <c r="B11" s="645"/>
      <c r="C11" s="645"/>
      <c r="D11" s="646"/>
      <c r="E11" s="646"/>
      <c r="F11" s="646"/>
      <c r="G11" s="646"/>
      <c r="H11" s="647"/>
      <c r="I11" s="648"/>
      <c r="J11" s="648"/>
      <c r="K11" s="642"/>
      <c r="L11" s="642"/>
      <c r="M11" s="642"/>
      <c r="N11" s="642"/>
      <c r="O11" s="642"/>
      <c r="P11" s="642"/>
      <c r="Q11" s="642"/>
      <c r="R11" s="642"/>
      <c r="S11" s="642"/>
      <c r="T11" s="642"/>
      <c r="U11" s="642"/>
      <c r="V11" s="642"/>
      <c r="W11" s="648"/>
      <c r="X11" s="648"/>
      <c r="Y11" s="642"/>
      <c r="Z11" s="642"/>
      <c r="AA11" s="642"/>
      <c r="AB11" s="642"/>
      <c r="AC11" s="642"/>
      <c r="AD11" s="650"/>
      <c r="AE11" s="650"/>
      <c r="AF11" s="650"/>
      <c r="AG11" s="650"/>
      <c r="AH11" s="650"/>
    </row>
    <row r="12" spans="1:34" ht="18" customHeight="1">
      <c r="A12" s="651" t="s">
        <v>851</v>
      </c>
      <c r="B12" s="651"/>
      <c r="C12" s="651"/>
      <c r="D12" s="651"/>
      <c r="E12" s="651"/>
      <c r="F12" s="651"/>
      <c r="G12" s="651"/>
      <c r="H12" s="651"/>
      <c r="I12" s="648" t="s">
        <v>849</v>
      </c>
      <c r="J12" s="648"/>
      <c r="K12" s="648"/>
      <c r="L12" s="648"/>
      <c r="M12" s="382">
        <v>1</v>
      </c>
      <c r="N12" s="382">
        <v>1</v>
      </c>
      <c r="O12" s="382">
        <v>1</v>
      </c>
      <c r="P12" s="382">
        <v>3</v>
      </c>
      <c r="Q12" s="382">
        <v>1</v>
      </c>
      <c r="R12" s="383">
        <v>7</v>
      </c>
      <c r="S12" s="382">
        <v>9</v>
      </c>
      <c r="T12" s="382">
        <v>1</v>
      </c>
      <c r="U12" s="382">
        <v>5</v>
      </c>
      <c r="V12" s="382">
        <v>1</v>
      </c>
      <c r="W12" s="650" t="s">
        <v>852</v>
      </c>
      <c r="X12" s="650"/>
      <c r="Y12" s="650"/>
      <c r="Z12" s="650"/>
      <c r="AA12" s="650"/>
      <c r="AB12" s="650"/>
      <c r="AC12" s="650"/>
      <c r="AD12" s="650"/>
      <c r="AE12" s="650"/>
      <c r="AF12" s="650"/>
      <c r="AG12" s="650"/>
      <c r="AH12" s="650"/>
    </row>
    <row r="13" spans="1:34" ht="18.75" customHeight="1">
      <c r="A13" s="651" t="s">
        <v>853</v>
      </c>
      <c r="B13" s="651"/>
      <c r="C13" s="651"/>
      <c r="D13" s="651"/>
      <c r="E13" s="651"/>
      <c r="F13" s="651"/>
      <c r="G13" s="651"/>
      <c r="H13" s="651"/>
      <c r="I13" s="651"/>
      <c r="J13" s="651"/>
      <c r="K13" s="651"/>
      <c r="L13" s="651"/>
      <c r="M13" s="651"/>
      <c r="N13" s="651"/>
      <c r="O13" s="651"/>
      <c r="P13" s="651"/>
      <c r="Q13" s="651"/>
      <c r="R13" s="651"/>
      <c r="S13" s="651"/>
      <c r="T13" s="651"/>
      <c r="U13" s="651"/>
      <c r="V13" s="651"/>
      <c r="W13" s="650"/>
      <c r="X13" s="650"/>
      <c r="Y13" s="650"/>
      <c r="Z13" s="650"/>
      <c r="AA13" s="650"/>
      <c r="AB13" s="650"/>
      <c r="AC13" s="650"/>
      <c r="AD13" s="650"/>
      <c r="AE13" s="650"/>
      <c r="AF13" s="650"/>
      <c r="AG13" s="650"/>
      <c r="AH13" s="650"/>
    </row>
    <row r="14" spans="1:34" ht="22.15">
      <c r="A14" s="643" t="s">
        <v>854</v>
      </c>
      <c r="B14" s="643"/>
      <c r="C14" s="643"/>
      <c r="D14" s="643"/>
      <c r="E14" s="643"/>
      <c r="F14" s="643"/>
      <c r="G14" s="643"/>
      <c r="H14" s="643"/>
      <c r="I14" s="643"/>
      <c r="J14" s="643"/>
      <c r="K14" s="643"/>
      <c r="L14" s="643"/>
      <c r="M14" s="643"/>
      <c r="N14" s="643"/>
      <c r="O14" s="643"/>
      <c r="P14" s="643"/>
      <c r="Q14" s="643"/>
      <c r="R14" s="643"/>
      <c r="S14" s="643"/>
      <c r="T14" s="643"/>
      <c r="U14" s="643"/>
      <c r="V14" s="643"/>
      <c r="W14" s="643"/>
      <c r="X14" s="643"/>
      <c r="Y14" s="643"/>
      <c r="Z14" s="643"/>
      <c r="AA14" s="643"/>
      <c r="AB14" s="643"/>
      <c r="AC14" s="643"/>
      <c r="AD14" s="643"/>
      <c r="AE14" s="643"/>
      <c r="AF14" s="643"/>
      <c r="AG14" s="643"/>
      <c r="AH14" s="643"/>
    </row>
    <row r="15" spans="1:34" s="385" customFormat="1" ht="15" customHeight="1">
      <c r="A15" s="384">
        <v>1</v>
      </c>
      <c r="B15" s="384">
        <v>2</v>
      </c>
      <c r="C15" s="649">
        <v>3</v>
      </c>
      <c r="D15" s="649"/>
      <c r="E15" s="649"/>
      <c r="F15" s="384">
        <v>4</v>
      </c>
      <c r="G15" s="384">
        <v>5</v>
      </c>
      <c r="H15" s="384">
        <v>6</v>
      </c>
      <c r="I15" s="649">
        <v>7</v>
      </c>
      <c r="J15" s="649"/>
      <c r="K15" s="649">
        <v>8</v>
      </c>
      <c r="L15" s="649"/>
      <c r="M15" s="649"/>
      <c r="N15" s="649"/>
      <c r="O15" s="649"/>
      <c r="P15" s="649"/>
      <c r="Q15" s="649">
        <v>9</v>
      </c>
      <c r="R15" s="649"/>
      <c r="S15" s="649"/>
      <c r="T15" s="649"/>
      <c r="U15" s="649"/>
      <c r="V15" s="649"/>
      <c r="W15" s="649">
        <v>10</v>
      </c>
      <c r="X15" s="649"/>
      <c r="Y15" s="649"/>
      <c r="Z15" s="649"/>
      <c r="AA15" s="649">
        <v>11</v>
      </c>
      <c r="AB15" s="649"/>
      <c r="AC15" s="649"/>
      <c r="AD15" s="649"/>
      <c r="AE15" s="649"/>
      <c r="AF15" s="649"/>
      <c r="AG15" s="649"/>
      <c r="AH15" s="649"/>
    </row>
    <row r="16" spans="1:34" s="389" customFormat="1" ht="44.25" customHeight="1">
      <c r="A16" s="386" t="s">
        <v>0</v>
      </c>
      <c r="B16" s="387" t="s">
        <v>855</v>
      </c>
      <c r="C16" s="656" t="s">
        <v>856</v>
      </c>
      <c r="D16" s="656"/>
      <c r="E16" s="656"/>
      <c r="F16" s="387" t="s">
        <v>857</v>
      </c>
      <c r="G16" s="388" t="s">
        <v>858</v>
      </c>
      <c r="H16" s="387" t="s">
        <v>859</v>
      </c>
      <c r="I16" s="656" t="s">
        <v>860</v>
      </c>
      <c r="J16" s="656"/>
      <c r="K16" s="656" t="s">
        <v>861</v>
      </c>
      <c r="L16" s="656"/>
      <c r="M16" s="656"/>
      <c r="N16" s="656"/>
      <c r="O16" s="656"/>
      <c r="P16" s="656"/>
      <c r="Q16" s="656" t="s">
        <v>862</v>
      </c>
      <c r="R16" s="656"/>
      <c r="S16" s="656"/>
      <c r="T16" s="656"/>
      <c r="U16" s="656"/>
      <c r="V16" s="656"/>
      <c r="W16" s="656" t="s">
        <v>863</v>
      </c>
      <c r="X16" s="656"/>
      <c r="Y16" s="656"/>
      <c r="Z16" s="656"/>
      <c r="AA16" s="656" t="s">
        <v>864</v>
      </c>
      <c r="AB16" s="656"/>
      <c r="AC16" s="656"/>
      <c r="AD16" s="656"/>
      <c r="AE16" s="656"/>
      <c r="AF16" s="656"/>
      <c r="AG16" s="656"/>
      <c r="AH16" s="656"/>
    </row>
    <row r="17" spans="1:34" s="385" customFormat="1" ht="12.75" customHeight="1">
      <c r="A17" s="652" t="s">
        <v>865</v>
      </c>
      <c r="B17" s="653"/>
      <c r="C17" s="653"/>
      <c r="D17" s="653"/>
      <c r="E17" s="653"/>
      <c r="F17" s="653"/>
      <c r="G17" s="653"/>
      <c r="H17" s="654"/>
      <c r="I17" s="655" t="s">
        <v>866</v>
      </c>
      <c r="J17" s="655"/>
      <c r="K17" s="655"/>
      <c r="L17" s="655"/>
      <c r="M17" s="655"/>
      <c r="N17" s="655"/>
      <c r="O17" s="655"/>
      <c r="P17" s="655"/>
      <c r="Q17" s="655" t="s">
        <v>867</v>
      </c>
      <c r="R17" s="655"/>
      <c r="S17" s="655"/>
      <c r="T17" s="655"/>
      <c r="U17" s="655"/>
      <c r="V17" s="655"/>
      <c r="W17" s="655" t="s">
        <v>868</v>
      </c>
      <c r="X17" s="655"/>
      <c r="Y17" s="655"/>
      <c r="Z17" s="655"/>
      <c r="AA17" s="655" t="s">
        <v>869</v>
      </c>
      <c r="AB17" s="655"/>
      <c r="AC17" s="655"/>
      <c r="AD17" s="655"/>
      <c r="AE17" s="655"/>
      <c r="AF17" s="655"/>
      <c r="AG17" s="655"/>
      <c r="AH17" s="655"/>
    </row>
    <row r="18" spans="1:34" s="389" customFormat="1" ht="93" customHeight="1">
      <c r="A18" s="390">
        <v>1</v>
      </c>
      <c r="B18" s="391" t="s">
        <v>870</v>
      </c>
      <c r="C18" s="659" t="s">
        <v>895</v>
      </c>
      <c r="D18" s="659"/>
      <c r="E18" s="659"/>
      <c r="F18" s="391" t="s">
        <v>870</v>
      </c>
      <c r="G18" s="391" t="s">
        <v>870</v>
      </c>
      <c r="H18" s="391" t="s">
        <v>870</v>
      </c>
      <c r="I18" s="660"/>
      <c r="J18" s="661"/>
      <c r="K18" s="662"/>
      <c r="L18" s="663"/>
      <c r="M18" s="663"/>
      <c r="N18" s="663"/>
      <c r="O18" s="663"/>
      <c r="P18" s="664"/>
      <c r="Q18" s="662"/>
      <c r="R18" s="663"/>
      <c r="S18" s="663"/>
      <c r="T18" s="663"/>
      <c r="U18" s="663"/>
      <c r="V18" s="664"/>
      <c r="W18" s="658"/>
      <c r="X18" s="658"/>
      <c r="Y18" s="658"/>
      <c r="Z18" s="658"/>
      <c r="AA18" s="658"/>
      <c r="AB18" s="658"/>
      <c r="AC18" s="658"/>
      <c r="AD18" s="658"/>
      <c r="AE18" s="658"/>
      <c r="AF18" s="658"/>
      <c r="AG18" s="658"/>
      <c r="AH18" s="658"/>
    </row>
    <row r="19" spans="1:34" s="389" customFormat="1" ht="21.75" hidden="1" customHeight="1">
      <c r="A19" s="390">
        <v>2</v>
      </c>
      <c r="B19" s="392"/>
      <c r="C19" s="657"/>
      <c r="D19" s="657"/>
      <c r="E19" s="657"/>
      <c r="F19" s="392"/>
      <c r="G19" s="392"/>
      <c r="H19" s="392"/>
      <c r="I19" s="658"/>
      <c r="J19" s="658"/>
      <c r="K19" s="658"/>
      <c r="L19" s="658"/>
      <c r="M19" s="658"/>
      <c r="N19" s="658"/>
      <c r="O19" s="658"/>
      <c r="P19" s="658"/>
      <c r="Q19" s="658"/>
      <c r="R19" s="658"/>
      <c r="S19" s="658"/>
      <c r="T19" s="658"/>
      <c r="U19" s="658"/>
      <c r="V19" s="658"/>
      <c r="W19" s="658"/>
      <c r="X19" s="658"/>
      <c r="Y19" s="658"/>
      <c r="Z19" s="658"/>
      <c r="AA19" s="658"/>
      <c r="AB19" s="658"/>
      <c r="AC19" s="658"/>
      <c r="AD19" s="658"/>
      <c r="AE19" s="658"/>
      <c r="AF19" s="658"/>
      <c r="AG19" s="658"/>
      <c r="AH19" s="658"/>
    </row>
    <row r="20" spans="1:34" s="389" customFormat="1" ht="25.5" customHeight="1">
      <c r="A20" s="677" t="s">
        <v>871</v>
      </c>
      <c r="B20" s="678"/>
      <c r="C20" s="678"/>
      <c r="D20" s="678"/>
      <c r="E20" s="678"/>
      <c r="F20" s="678"/>
      <c r="G20" s="678"/>
      <c r="H20" s="679"/>
      <c r="I20" s="680">
        <f>SUM(I18:J19)</f>
        <v>0</v>
      </c>
      <c r="J20" s="680"/>
      <c r="K20" s="680"/>
      <c r="L20" s="680"/>
      <c r="M20" s="680"/>
      <c r="N20" s="680"/>
      <c r="O20" s="680"/>
      <c r="P20" s="680"/>
      <c r="Q20" s="680"/>
      <c r="R20" s="680"/>
      <c r="S20" s="680"/>
      <c r="T20" s="680"/>
      <c r="U20" s="680"/>
      <c r="V20" s="680"/>
      <c r="W20" s="680">
        <f>SUM(W18:Z19)</f>
        <v>0</v>
      </c>
      <c r="X20" s="680"/>
      <c r="Y20" s="680"/>
      <c r="Z20" s="680"/>
      <c r="AA20" s="680">
        <f>SUM(AA18:AH19)</f>
        <v>0</v>
      </c>
      <c r="AB20" s="680"/>
      <c r="AC20" s="680"/>
      <c r="AD20" s="680"/>
      <c r="AE20" s="680"/>
      <c r="AF20" s="680"/>
      <c r="AG20" s="680"/>
      <c r="AH20" s="680"/>
    </row>
    <row r="21" spans="1:34" ht="22.5" customHeight="1">
      <c r="A21" s="665" t="s">
        <v>872</v>
      </c>
      <c r="B21" s="665"/>
      <c r="C21" s="665"/>
      <c r="D21" s="665"/>
      <c r="E21" s="665"/>
      <c r="F21" s="665"/>
      <c r="G21" s="665"/>
      <c r="H21" s="665"/>
      <c r="I21" s="666"/>
      <c r="J21" s="667"/>
      <c r="K21" s="667"/>
      <c r="L21" s="667"/>
      <c r="M21" s="667"/>
      <c r="N21" s="667"/>
      <c r="O21" s="667"/>
      <c r="P21" s="667"/>
      <c r="Q21" s="667"/>
      <c r="R21" s="667"/>
      <c r="S21" s="667"/>
      <c r="T21" s="667"/>
      <c r="U21" s="667"/>
      <c r="V21" s="667"/>
      <c r="W21" s="667"/>
      <c r="X21" s="667"/>
      <c r="Y21" s="667"/>
      <c r="Z21" s="667"/>
      <c r="AA21" s="667"/>
      <c r="AB21" s="667"/>
      <c r="AC21" s="667"/>
      <c r="AD21" s="667"/>
      <c r="AE21" s="667"/>
      <c r="AF21" s="667"/>
      <c r="AG21" s="667"/>
      <c r="AH21" s="668"/>
    </row>
    <row r="22" spans="1:34">
      <c r="A22" s="675" t="s">
        <v>873</v>
      </c>
      <c r="B22" s="675"/>
      <c r="C22" s="675"/>
      <c r="D22" s="675"/>
      <c r="E22" s="675"/>
      <c r="F22" s="675"/>
      <c r="G22" s="675"/>
      <c r="H22" s="675"/>
      <c r="I22" s="669"/>
      <c r="J22" s="670"/>
      <c r="K22" s="670"/>
      <c r="L22" s="670"/>
      <c r="M22" s="670"/>
      <c r="N22" s="670"/>
      <c r="O22" s="670"/>
      <c r="P22" s="670"/>
      <c r="Q22" s="670"/>
      <c r="R22" s="670"/>
      <c r="S22" s="670"/>
      <c r="T22" s="670"/>
      <c r="U22" s="670"/>
      <c r="V22" s="670"/>
      <c r="W22" s="670"/>
      <c r="X22" s="670"/>
      <c r="Y22" s="670"/>
      <c r="Z22" s="670"/>
      <c r="AA22" s="670"/>
      <c r="AB22" s="670"/>
      <c r="AC22" s="670"/>
      <c r="AD22" s="670"/>
      <c r="AE22" s="670"/>
      <c r="AF22" s="670"/>
      <c r="AG22" s="670"/>
      <c r="AH22" s="671"/>
    </row>
    <row r="23" spans="1:34">
      <c r="A23" s="675"/>
      <c r="B23" s="675"/>
      <c r="C23" s="675"/>
      <c r="D23" s="675"/>
      <c r="E23" s="675"/>
      <c r="F23" s="675"/>
      <c r="G23" s="675"/>
      <c r="H23" s="675"/>
      <c r="I23" s="672"/>
      <c r="J23" s="673"/>
      <c r="K23" s="673"/>
      <c r="L23" s="673"/>
      <c r="M23" s="673"/>
      <c r="N23" s="673"/>
      <c r="O23" s="673"/>
      <c r="P23" s="673"/>
      <c r="Q23" s="673"/>
      <c r="R23" s="673"/>
      <c r="S23" s="673"/>
      <c r="T23" s="673"/>
      <c r="U23" s="673"/>
      <c r="V23" s="673"/>
      <c r="W23" s="673"/>
      <c r="X23" s="673"/>
      <c r="Y23" s="673"/>
      <c r="Z23" s="673"/>
      <c r="AA23" s="673"/>
      <c r="AB23" s="673"/>
      <c r="AC23" s="673"/>
      <c r="AD23" s="673"/>
      <c r="AE23" s="673"/>
      <c r="AF23" s="673"/>
      <c r="AG23" s="673"/>
      <c r="AH23" s="674"/>
    </row>
    <row r="24" spans="1:34">
      <c r="A24" s="676" t="s">
        <v>874</v>
      </c>
      <c r="B24" s="676"/>
      <c r="C24" s="676"/>
      <c r="D24" s="676"/>
      <c r="E24" s="676"/>
      <c r="F24" s="676"/>
      <c r="G24" s="676"/>
      <c r="H24" s="676"/>
      <c r="I24" s="676" t="s">
        <v>875</v>
      </c>
      <c r="J24" s="676"/>
      <c r="K24" s="676"/>
      <c r="L24" s="676"/>
      <c r="M24" s="676"/>
      <c r="N24" s="676"/>
      <c r="O24" s="676"/>
      <c r="P24" s="676"/>
      <c r="Q24" s="676"/>
      <c r="R24" s="676"/>
      <c r="S24" s="676"/>
      <c r="T24" s="676"/>
      <c r="U24" s="676"/>
      <c r="V24" s="676"/>
      <c r="W24" s="676"/>
      <c r="X24" s="676"/>
      <c r="Y24" s="676"/>
      <c r="Z24" s="676"/>
      <c r="AA24" s="676"/>
      <c r="AB24" s="676"/>
      <c r="AC24" s="676"/>
      <c r="AD24" s="676"/>
      <c r="AE24" s="676"/>
      <c r="AF24" s="676"/>
      <c r="AG24" s="676"/>
      <c r="AH24" s="676"/>
    </row>
    <row r="25" spans="1:34">
      <c r="A25" s="676"/>
      <c r="B25" s="676"/>
      <c r="C25" s="676"/>
      <c r="D25" s="676"/>
      <c r="E25" s="676"/>
      <c r="F25" s="676"/>
      <c r="G25" s="676"/>
      <c r="H25" s="676"/>
      <c r="I25" s="676"/>
      <c r="J25" s="676"/>
      <c r="K25" s="676"/>
      <c r="L25" s="676"/>
      <c r="M25" s="676"/>
      <c r="N25" s="676"/>
      <c r="O25" s="676"/>
      <c r="P25" s="676"/>
      <c r="Q25" s="676"/>
      <c r="R25" s="676"/>
      <c r="S25" s="676"/>
      <c r="T25" s="676"/>
      <c r="U25" s="676"/>
      <c r="V25" s="676"/>
      <c r="W25" s="676"/>
      <c r="X25" s="676"/>
      <c r="Y25" s="676"/>
      <c r="Z25" s="676"/>
      <c r="AA25" s="676"/>
      <c r="AB25" s="676"/>
      <c r="AC25" s="676"/>
      <c r="AD25" s="676"/>
      <c r="AE25" s="676"/>
      <c r="AF25" s="676"/>
      <c r="AG25" s="676"/>
      <c r="AH25" s="676"/>
    </row>
    <row r="26" spans="1:34">
      <c r="A26" s="676"/>
      <c r="B26" s="676"/>
      <c r="C26" s="676"/>
      <c r="D26" s="676"/>
      <c r="E26" s="676"/>
      <c r="F26" s="676"/>
      <c r="G26" s="676"/>
      <c r="H26" s="676"/>
      <c r="I26" s="676"/>
      <c r="J26" s="676"/>
      <c r="K26" s="676"/>
      <c r="L26" s="676"/>
      <c r="M26" s="676"/>
      <c r="N26" s="676"/>
      <c r="O26" s="676"/>
      <c r="P26" s="676"/>
      <c r="Q26" s="676"/>
      <c r="R26" s="676"/>
      <c r="S26" s="676"/>
      <c r="T26" s="676"/>
      <c r="U26" s="676"/>
      <c r="V26" s="676"/>
      <c r="W26" s="676"/>
      <c r="X26" s="676"/>
      <c r="Y26" s="676"/>
      <c r="Z26" s="676"/>
      <c r="AA26" s="676"/>
      <c r="AB26" s="676"/>
      <c r="AC26" s="676"/>
      <c r="AD26" s="676"/>
      <c r="AE26" s="676"/>
      <c r="AF26" s="676"/>
      <c r="AG26" s="676"/>
      <c r="AH26" s="676"/>
    </row>
    <row r="27" spans="1:34">
      <c r="A27" s="676"/>
      <c r="B27" s="676"/>
      <c r="C27" s="676"/>
      <c r="D27" s="676"/>
      <c r="E27" s="676"/>
      <c r="F27" s="676"/>
      <c r="G27" s="676"/>
      <c r="H27" s="676"/>
      <c r="I27" s="676"/>
      <c r="J27" s="676"/>
      <c r="K27" s="676"/>
      <c r="L27" s="676"/>
      <c r="M27" s="676"/>
      <c r="N27" s="676"/>
      <c r="O27" s="676"/>
      <c r="P27" s="676"/>
      <c r="Q27" s="676"/>
      <c r="R27" s="676"/>
      <c r="S27" s="676"/>
      <c r="T27" s="676"/>
      <c r="U27" s="676"/>
      <c r="V27" s="676"/>
      <c r="W27" s="676"/>
      <c r="X27" s="676"/>
      <c r="Y27" s="676"/>
      <c r="Z27" s="676"/>
      <c r="AA27" s="676"/>
      <c r="AB27" s="676"/>
      <c r="AC27" s="676"/>
      <c r="AD27" s="676"/>
      <c r="AE27" s="676"/>
      <c r="AF27" s="676"/>
      <c r="AG27" s="676"/>
      <c r="AH27" s="676"/>
    </row>
  </sheetData>
  <mergeCells count="109">
    <mergeCell ref="A21:H21"/>
    <mergeCell ref="I21:AH23"/>
    <mergeCell ref="A22:H23"/>
    <mergeCell ref="A24:H27"/>
    <mergeCell ref="I24:AH27"/>
    <mergeCell ref="A20:H20"/>
    <mergeCell ref="I20:J20"/>
    <mergeCell ref="K20:P20"/>
    <mergeCell ref="Q20:V20"/>
    <mergeCell ref="W20:Z20"/>
    <mergeCell ref="AA20:AH20"/>
    <mergeCell ref="C19:E19"/>
    <mergeCell ref="I19:J19"/>
    <mergeCell ref="K19:P19"/>
    <mergeCell ref="Q19:V19"/>
    <mergeCell ref="W19:Z19"/>
    <mergeCell ref="AA19:AH19"/>
    <mergeCell ref="C18:E18"/>
    <mergeCell ref="I18:J18"/>
    <mergeCell ref="K18:P18"/>
    <mergeCell ref="Q18:V18"/>
    <mergeCell ref="W18:Z18"/>
    <mergeCell ref="AA18:AH18"/>
    <mergeCell ref="A17:H17"/>
    <mergeCell ref="I17:J17"/>
    <mergeCell ref="K17:P17"/>
    <mergeCell ref="Q17:V17"/>
    <mergeCell ref="W17:Z17"/>
    <mergeCell ref="AA17:AH17"/>
    <mergeCell ref="C16:E16"/>
    <mergeCell ref="I16:J16"/>
    <mergeCell ref="K16:P16"/>
    <mergeCell ref="Q16:V16"/>
    <mergeCell ref="W16:Z16"/>
    <mergeCell ref="AA16:AH16"/>
    <mergeCell ref="A14:AH14"/>
    <mergeCell ref="C15:E15"/>
    <mergeCell ref="I15:J15"/>
    <mergeCell ref="K15:P15"/>
    <mergeCell ref="Q15:V15"/>
    <mergeCell ref="W15:Z15"/>
    <mergeCell ref="AA15:AH15"/>
    <mergeCell ref="AD10:AD11"/>
    <mergeCell ref="AE10:AE11"/>
    <mergeCell ref="AF10:AF11"/>
    <mergeCell ref="AG10:AG11"/>
    <mergeCell ref="AH10:AH11"/>
    <mergeCell ref="A12:H12"/>
    <mergeCell ref="I12:L12"/>
    <mergeCell ref="W12:AH13"/>
    <mergeCell ref="A13:V13"/>
    <mergeCell ref="W10:X11"/>
    <mergeCell ref="Y10:Y11"/>
    <mergeCell ref="Z10:Z11"/>
    <mergeCell ref="AA10:AA11"/>
    <mergeCell ref="AB10:AB11"/>
    <mergeCell ref="AC10:AC11"/>
    <mergeCell ref="Q10:Q11"/>
    <mergeCell ref="R10:R11"/>
    <mergeCell ref="S10:S11"/>
    <mergeCell ref="T10:T11"/>
    <mergeCell ref="U10:U11"/>
    <mergeCell ref="V10:V11"/>
    <mergeCell ref="A9:AH9"/>
    <mergeCell ref="A10:C11"/>
    <mergeCell ref="D10:H11"/>
    <mergeCell ref="I10:J11"/>
    <mergeCell ref="K10:K11"/>
    <mergeCell ref="L10:L11"/>
    <mergeCell ref="M10:M11"/>
    <mergeCell ref="N10:N11"/>
    <mergeCell ref="O10:O11"/>
    <mergeCell ref="P10:P11"/>
    <mergeCell ref="A7:H7"/>
    <mergeCell ref="I7:L7"/>
    <mergeCell ref="W7:AH8"/>
    <mergeCell ref="A8:V8"/>
    <mergeCell ref="AA5:AA6"/>
    <mergeCell ref="AB5:AB6"/>
    <mergeCell ref="AC5:AC6"/>
    <mergeCell ref="AD5:AD6"/>
    <mergeCell ref="AE5:AE6"/>
    <mergeCell ref="AF5:AF6"/>
    <mergeCell ref="T5:T6"/>
    <mergeCell ref="U5:U6"/>
    <mergeCell ref="V5:V6"/>
    <mergeCell ref="W5:X6"/>
    <mergeCell ref="Y5:Y6"/>
    <mergeCell ref="Z5:Z6"/>
    <mergeCell ref="N5:N6"/>
    <mergeCell ref="O5:O6"/>
    <mergeCell ref="P5:P6"/>
    <mergeCell ref="Q5:Q6"/>
    <mergeCell ref="R5:R6"/>
    <mergeCell ref="S5:S6"/>
    <mergeCell ref="A5:C6"/>
    <mergeCell ref="D5:H6"/>
    <mergeCell ref="I5:J6"/>
    <mergeCell ref="K5:K6"/>
    <mergeCell ref="L5:L6"/>
    <mergeCell ref="M5:M6"/>
    <mergeCell ref="W1:Y1"/>
    <mergeCell ref="Z1:AH1"/>
    <mergeCell ref="W2:Y2"/>
    <mergeCell ref="Z2:AH2"/>
    <mergeCell ref="A3:AH3"/>
    <mergeCell ref="A4:AH4"/>
    <mergeCell ref="AG5:AG6"/>
    <mergeCell ref="AH5:AH6"/>
  </mergeCells>
  <printOptions horizontalCentered="1"/>
  <pageMargins left="0.19685039370078741" right="0.19685039370078741" top="0.35433070866141736" bottom="0.35433070866141736"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3"/>
  <sheetViews>
    <sheetView rightToLeft="1" view="pageBreakPreview" topLeftCell="A12" zoomScale="70" zoomScaleNormal="115" zoomScaleSheetLayoutView="70" workbookViewId="0">
      <selection activeCell="A13" sqref="A13"/>
    </sheetView>
  </sheetViews>
  <sheetFormatPr defaultColWidth="5.4375" defaultRowHeight="20.100000000000001" customHeight="1"/>
  <cols>
    <col min="1" max="19" width="5.4375" style="358"/>
    <col min="20" max="20" width="15.875" style="358" bestFit="1" customWidth="1"/>
    <col min="21" max="21" width="13.3125" style="358" customWidth="1"/>
    <col min="22" max="22" width="9" style="358" bestFit="1" customWidth="1"/>
    <col min="23" max="16384" width="5.4375" style="358"/>
  </cols>
  <sheetData>
    <row r="1" spans="1:22" ht="16.899999999999999">
      <c r="A1" s="681"/>
      <c r="B1" s="682"/>
      <c r="C1" s="682"/>
      <c r="D1" s="683"/>
      <c r="E1" s="690" t="s">
        <v>763</v>
      </c>
      <c r="F1" s="691"/>
      <c r="G1" s="691"/>
      <c r="H1" s="691"/>
      <c r="I1" s="691"/>
      <c r="J1" s="691"/>
      <c r="K1" s="691"/>
      <c r="L1" s="691"/>
      <c r="M1" s="691"/>
      <c r="N1" s="692"/>
      <c r="O1" s="699"/>
      <c r="P1" s="682"/>
      <c r="Q1" s="682"/>
      <c r="R1" s="700"/>
    </row>
    <row r="2" spans="1:22" ht="29.25" customHeight="1">
      <c r="A2" s="684"/>
      <c r="B2" s="685"/>
      <c r="C2" s="685"/>
      <c r="D2" s="686"/>
      <c r="E2" s="693"/>
      <c r="F2" s="694"/>
      <c r="G2" s="694"/>
      <c r="H2" s="694"/>
      <c r="I2" s="694"/>
      <c r="J2" s="694"/>
      <c r="K2" s="694"/>
      <c r="L2" s="694"/>
      <c r="M2" s="694"/>
      <c r="N2" s="695"/>
      <c r="O2" s="701"/>
      <c r="P2" s="685"/>
      <c r="Q2" s="685"/>
      <c r="R2" s="702"/>
    </row>
    <row r="3" spans="1:22" ht="17.25" thickBot="1">
      <c r="A3" s="687"/>
      <c r="B3" s="688"/>
      <c r="C3" s="688"/>
      <c r="D3" s="689"/>
      <c r="E3" s="696"/>
      <c r="F3" s="697"/>
      <c r="G3" s="697"/>
      <c r="H3" s="697"/>
      <c r="I3" s="697"/>
      <c r="J3" s="697"/>
      <c r="K3" s="697"/>
      <c r="L3" s="697"/>
      <c r="M3" s="697"/>
      <c r="N3" s="698"/>
      <c r="O3" s="703"/>
      <c r="P3" s="688"/>
      <c r="Q3" s="688"/>
      <c r="R3" s="704"/>
    </row>
    <row r="4" spans="1:22" s="359" customFormat="1" ht="18" hidden="1">
      <c r="A4" s="705"/>
      <c r="B4" s="706"/>
      <c r="C4" s="706"/>
      <c r="D4" s="706"/>
      <c r="E4" s="706"/>
      <c r="F4" s="706"/>
      <c r="G4" s="706"/>
      <c r="H4" s="706"/>
      <c r="I4" s="706"/>
      <c r="J4" s="706"/>
      <c r="K4" s="706"/>
      <c r="L4" s="706"/>
      <c r="M4" s="706"/>
      <c r="N4" s="706"/>
      <c r="O4" s="707"/>
      <c r="P4" s="708"/>
      <c r="Q4" s="708"/>
      <c r="R4" s="709"/>
    </row>
    <row r="5" spans="1:22" s="359" customFormat="1" ht="18.399999999999999" hidden="1" thickBot="1">
      <c r="A5" s="710"/>
      <c r="B5" s="711"/>
      <c r="C5" s="712"/>
      <c r="D5" s="711"/>
      <c r="E5" s="713"/>
      <c r="F5" s="714"/>
      <c r="G5" s="713"/>
      <c r="H5" s="714"/>
      <c r="I5" s="713"/>
      <c r="J5" s="714"/>
      <c r="K5" s="713"/>
      <c r="L5" s="714"/>
      <c r="M5" s="715"/>
      <c r="N5" s="715"/>
      <c r="O5" s="716"/>
      <c r="P5" s="717"/>
      <c r="Q5" s="717"/>
      <c r="R5" s="718"/>
    </row>
    <row r="6" spans="1:22" ht="9.9499999999999993" customHeight="1" thickBot="1">
      <c r="A6" s="734"/>
      <c r="B6" s="734"/>
      <c r="C6" s="734"/>
      <c r="D6" s="734"/>
      <c r="E6" s="734"/>
      <c r="F6" s="734"/>
      <c r="G6" s="734"/>
      <c r="H6" s="734"/>
      <c r="I6" s="734"/>
      <c r="J6" s="734"/>
      <c r="K6" s="734"/>
      <c r="L6" s="734"/>
      <c r="M6" s="734"/>
      <c r="N6" s="734"/>
      <c r="O6" s="734"/>
      <c r="P6" s="734"/>
      <c r="Q6" s="734"/>
      <c r="R6" s="734"/>
    </row>
    <row r="7" spans="1:22" ht="20.100000000000001" customHeight="1">
      <c r="A7" s="735"/>
      <c r="B7" s="736"/>
      <c r="C7" s="736"/>
      <c r="D7" s="736"/>
      <c r="E7" s="736"/>
      <c r="F7" s="736"/>
      <c r="G7" s="736"/>
      <c r="H7" s="736"/>
      <c r="I7" s="736"/>
      <c r="J7" s="736"/>
      <c r="K7" s="736"/>
      <c r="L7" s="736"/>
      <c r="M7" s="736"/>
      <c r="N7" s="736"/>
      <c r="O7" s="736"/>
      <c r="P7" s="736"/>
      <c r="Q7" s="736"/>
      <c r="R7" s="737"/>
    </row>
    <row r="8" spans="1:22" ht="20.100000000000001" customHeight="1">
      <c r="A8" s="738" t="s">
        <v>772</v>
      </c>
      <c r="B8" s="739"/>
      <c r="C8" s="739"/>
      <c r="D8" s="739"/>
      <c r="E8" s="739"/>
      <c r="F8" s="739"/>
      <c r="G8" s="739"/>
      <c r="H8" s="739"/>
      <c r="I8" s="739"/>
      <c r="J8" s="739"/>
      <c r="K8" s="739"/>
      <c r="L8" s="739"/>
      <c r="M8" s="739"/>
      <c r="N8" s="739"/>
      <c r="O8" s="739"/>
      <c r="P8" s="739"/>
      <c r="Q8" s="739"/>
      <c r="R8" s="740"/>
    </row>
    <row r="9" spans="1:22" ht="9.9499999999999993" customHeight="1" thickBot="1">
      <c r="A9" s="741"/>
      <c r="B9" s="742"/>
      <c r="C9" s="742"/>
      <c r="D9" s="742"/>
      <c r="E9" s="742"/>
      <c r="F9" s="742"/>
      <c r="G9" s="742"/>
      <c r="H9" s="742"/>
      <c r="I9" s="742"/>
      <c r="J9" s="742"/>
      <c r="K9" s="742"/>
      <c r="L9" s="742"/>
      <c r="M9" s="742"/>
      <c r="N9" s="742"/>
      <c r="O9" s="742"/>
      <c r="P9" s="742"/>
      <c r="Q9" s="742"/>
      <c r="R9" s="743"/>
    </row>
    <row r="10" spans="1:22" ht="24.95" customHeight="1">
      <c r="A10" s="744" t="s">
        <v>773</v>
      </c>
      <c r="B10" s="708"/>
      <c r="C10" s="708"/>
      <c r="D10" s="745" t="s">
        <v>774</v>
      </c>
      <c r="E10" s="746"/>
      <c r="F10" s="747"/>
      <c r="G10" s="751" t="s">
        <v>775</v>
      </c>
      <c r="H10" s="752"/>
      <c r="I10" s="752"/>
      <c r="J10" s="753"/>
      <c r="K10" s="757" t="s">
        <v>776</v>
      </c>
      <c r="L10" s="758"/>
      <c r="M10" s="758"/>
      <c r="N10" s="759"/>
      <c r="O10" s="763" t="s">
        <v>777</v>
      </c>
      <c r="P10" s="764"/>
      <c r="Q10" s="764"/>
      <c r="R10" s="765"/>
    </row>
    <row r="11" spans="1:22" s="361" customFormat="1" ht="24.95" customHeight="1" thickBot="1">
      <c r="A11" s="360" t="s">
        <v>778</v>
      </c>
      <c r="B11" s="769" t="s">
        <v>779</v>
      </c>
      <c r="C11" s="770"/>
      <c r="D11" s="748"/>
      <c r="E11" s="749"/>
      <c r="F11" s="750"/>
      <c r="G11" s="754"/>
      <c r="H11" s="755"/>
      <c r="I11" s="755"/>
      <c r="J11" s="756"/>
      <c r="K11" s="760"/>
      <c r="L11" s="761"/>
      <c r="M11" s="761"/>
      <c r="N11" s="762"/>
      <c r="O11" s="766"/>
      <c r="P11" s="767"/>
      <c r="Q11" s="767"/>
      <c r="R11" s="768"/>
    </row>
    <row r="12" spans="1:22" s="361" customFormat="1" ht="9.9499999999999993" customHeight="1" thickTop="1" thickBot="1">
      <c r="A12" s="719"/>
      <c r="B12" s="720"/>
      <c r="C12" s="720"/>
      <c r="D12" s="720"/>
      <c r="E12" s="720"/>
      <c r="F12" s="720"/>
      <c r="G12" s="720"/>
      <c r="H12" s="720"/>
      <c r="I12" s="720"/>
      <c r="J12" s="720"/>
      <c r="K12" s="721"/>
      <c r="L12" s="721"/>
      <c r="M12" s="721"/>
      <c r="N12" s="721"/>
      <c r="O12" s="720"/>
      <c r="P12" s="720"/>
      <c r="Q12" s="720"/>
      <c r="R12" s="722"/>
    </row>
    <row r="13" spans="1:22" ht="20.100000000000001" customHeight="1" thickTop="1">
      <c r="A13" s="362"/>
      <c r="B13" s="723"/>
      <c r="C13" s="724"/>
      <c r="D13" s="725"/>
      <c r="E13" s="726"/>
      <c r="F13" s="727"/>
      <c r="G13" s="728"/>
      <c r="H13" s="728"/>
      <c r="I13" s="728"/>
      <c r="J13" s="728"/>
      <c r="K13" s="729"/>
      <c r="L13" s="730"/>
      <c r="M13" s="730"/>
      <c r="N13" s="731"/>
      <c r="O13" s="732"/>
      <c r="P13" s="732"/>
      <c r="Q13" s="732"/>
      <c r="R13" s="733"/>
      <c r="T13" s="363"/>
      <c r="V13" s="364"/>
    </row>
    <row r="14" spans="1:22" ht="20.100000000000001" customHeight="1">
      <c r="A14" s="365"/>
      <c r="B14" s="771"/>
      <c r="C14" s="772"/>
      <c r="D14" s="773"/>
      <c r="E14" s="774"/>
      <c r="F14" s="775"/>
      <c r="G14" s="776"/>
      <c r="H14" s="776"/>
      <c r="I14" s="776"/>
      <c r="J14" s="776"/>
      <c r="K14" s="777"/>
      <c r="L14" s="778"/>
      <c r="M14" s="778"/>
      <c r="N14" s="779"/>
      <c r="O14" s="780"/>
      <c r="P14" s="780"/>
      <c r="Q14" s="780"/>
      <c r="R14" s="781"/>
      <c r="V14" s="366"/>
    </row>
    <row r="15" spans="1:22" ht="20.100000000000001" customHeight="1">
      <c r="A15" s="365"/>
      <c r="B15" s="771"/>
      <c r="C15" s="772"/>
      <c r="D15" s="773"/>
      <c r="E15" s="774"/>
      <c r="F15" s="775"/>
      <c r="G15" s="776"/>
      <c r="H15" s="776"/>
      <c r="I15" s="776"/>
      <c r="J15" s="782"/>
      <c r="K15" s="777"/>
      <c r="L15" s="778"/>
      <c r="M15" s="778"/>
      <c r="N15" s="779"/>
      <c r="O15" s="780"/>
      <c r="P15" s="780"/>
      <c r="Q15" s="780"/>
      <c r="R15" s="781"/>
    </row>
    <row r="16" spans="1:22" ht="20.100000000000001" customHeight="1">
      <c r="A16" s="365"/>
      <c r="B16" s="771"/>
      <c r="C16" s="772"/>
      <c r="D16" s="773"/>
      <c r="E16" s="774"/>
      <c r="F16" s="775"/>
      <c r="G16" s="776"/>
      <c r="H16" s="776"/>
      <c r="I16" s="776"/>
      <c r="J16" s="776"/>
      <c r="K16" s="777"/>
      <c r="L16" s="778"/>
      <c r="M16" s="778"/>
      <c r="N16" s="779"/>
      <c r="O16" s="780"/>
      <c r="P16" s="780"/>
      <c r="Q16" s="780"/>
      <c r="R16" s="781"/>
    </row>
    <row r="17" spans="1:21" ht="20.100000000000001" customHeight="1">
      <c r="A17" s="365"/>
      <c r="B17" s="771"/>
      <c r="C17" s="772"/>
      <c r="D17" s="773"/>
      <c r="E17" s="774"/>
      <c r="F17" s="775"/>
      <c r="G17" s="776"/>
      <c r="H17" s="776"/>
      <c r="I17" s="776"/>
      <c r="J17" s="776"/>
      <c r="K17" s="777"/>
      <c r="L17" s="778"/>
      <c r="M17" s="778"/>
      <c r="N17" s="779"/>
      <c r="O17" s="780"/>
      <c r="P17" s="780"/>
      <c r="Q17" s="780"/>
      <c r="R17" s="781"/>
    </row>
    <row r="18" spans="1:21" ht="20.100000000000001" customHeight="1">
      <c r="A18" s="365"/>
      <c r="B18" s="771"/>
      <c r="C18" s="772"/>
      <c r="D18" s="773"/>
      <c r="E18" s="774"/>
      <c r="F18" s="775"/>
      <c r="G18" s="776"/>
      <c r="H18" s="776"/>
      <c r="I18" s="776"/>
      <c r="J18" s="776"/>
      <c r="K18" s="777"/>
      <c r="L18" s="778"/>
      <c r="M18" s="778"/>
      <c r="N18" s="779"/>
      <c r="O18" s="780"/>
      <c r="P18" s="780"/>
      <c r="Q18" s="780"/>
      <c r="R18" s="781"/>
    </row>
    <row r="19" spans="1:21" ht="20.100000000000001" customHeight="1">
      <c r="A19" s="365"/>
      <c r="B19" s="771"/>
      <c r="C19" s="772"/>
      <c r="D19" s="773"/>
      <c r="E19" s="774"/>
      <c r="F19" s="775"/>
      <c r="G19" s="776"/>
      <c r="H19" s="776"/>
      <c r="I19" s="776"/>
      <c r="J19" s="782"/>
      <c r="K19" s="777"/>
      <c r="L19" s="778"/>
      <c r="M19" s="778"/>
      <c r="N19" s="779"/>
      <c r="O19" s="780"/>
      <c r="P19" s="780"/>
      <c r="Q19" s="780"/>
      <c r="R19" s="781"/>
    </row>
    <row r="20" spans="1:21" ht="20.100000000000001" customHeight="1">
      <c r="A20" s="365"/>
      <c r="B20" s="771"/>
      <c r="C20" s="772"/>
      <c r="D20" s="773"/>
      <c r="E20" s="774"/>
      <c r="F20" s="775"/>
      <c r="G20" s="776"/>
      <c r="H20" s="776"/>
      <c r="I20" s="776"/>
      <c r="J20" s="782"/>
      <c r="K20" s="777"/>
      <c r="L20" s="778"/>
      <c r="M20" s="778"/>
      <c r="N20" s="779"/>
      <c r="O20" s="780"/>
      <c r="P20" s="780"/>
      <c r="Q20" s="780"/>
      <c r="R20" s="781"/>
    </row>
    <row r="21" spans="1:21" ht="20.100000000000001" customHeight="1">
      <c r="A21" s="365"/>
      <c r="B21" s="771"/>
      <c r="C21" s="772"/>
      <c r="D21" s="773"/>
      <c r="E21" s="774"/>
      <c r="F21" s="775"/>
      <c r="G21" s="776"/>
      <c r="H21" s="776"/>
      <c r="I21" s="776"/>
      <c r="J21" s="782"/>
      <c r="K21" s="777"/>
      <c r="L21" s="778"/>
      <c r="M21" s="778"/>
      <c r="N21" s="779"/>
      <c r="O21" s="780"/>
      <c r="P21" s="780"/>
      <c r="Q21" s="780"/>
      <c r="R21" s="781"/>
    </row>
    <row r="22" spans="1:21" ht="20.100000000000001" customHeight="1">
      <c r="A22" s="365"/>
      <c r="B22" s="771"/>
      <c r="C22" s="772"/>
      <c r="D22" s="773"/>
      <c r="E22" s="774"/>
      <c r="F22" s="775"/>
      <c r="G22" s="776"/>
      <c r="H22" s="776"/>
      <c r="I22" s="776"/>
      <c r="J22" s="782"/>
      <c r="K22" s="777"/>
      <c r="L22" s="778"/>
      <c r="M22" s="778"/>
      <c r="N22" s="779"/>
      <c r="O22" s="780"/>
      <c r="P22" s="780"/>
      <c r="Q22" s="780"/>
      <c r="R22" s="781"/>
    </row>
    <row r="23" spans="1:21" ht="20.100000000000001" customHeight="1">
      <c r="A23" s="365"/>
      <c r="B23" s="771"/>
      <c r="C23" s="772"/>
      <c r="D23" s="773"/>
      <c r="E23" s="774"/>
      <c r="F23" s="775"/>
      <c r="G23" s="776"/>
      <c r="H23" s="776"/>
      <c r="I23" s="776"/>
      <c r="J23" s="782"/>
      <c r="K23" s="777"/>
      <c r="L23" s="778"/>
      <c r="M23" s="778"/>
      <c r="N23" s="779"/>
      <c r="O23" s="780"/>
      <c r="P23" s="780"/>
      <c r="Q23" s="780"/>
      <c r="R23" s="781"/>
      <c r="T23" s="367"/>
      <c r="U23" s="368"/>
    </row>
    <row r="24" spans="1:21" ht="20.100000000000001" customHeight="1">
      <c r="A24" s="365"/>
      <c r="B24" s="771"/>
      <c r="C24" s="772"/>
      <c r="D24" s="773"/>
      <c r="E24" s="774"/>
      <c r="F24" s="775"/>
      <c r="G24" s="776"/>
      <c r="H24" s="776"/>
      <c r="I24" s="776"/>
      <c r="J24" s="776"/>
      <c r="K24" s="777"/>
      <c r="L24" s="778"/>
      <c r="M24" s="778"/>
      <c r="N24" s="779"/>
      <c r="O24" s="780"/>
      <c r="P24" s="780"/>
      <c r="Q24" s="780"/>
      <c r="R24" s="781"/>
    </row>
    <row r="25" spans="1:21" ht="20.100000000000001" customHeight="1">
      <c r="A25" s="365"/>
      <c r="B25" s="771"/>
      <c r="C25" s="772"/>
      <c r="D25" s="773"/>
      <c r="E25" s="774"/>
      <c r="F25" s="775"/>
      <c r="G25" s="776"/>
      <c r="H25" s="776"/>
      <c r="I25" s="776"/>
      <c r="J25" s="776"/>
      <c r="K25" s="777"/>
      <c r="L25" s="778"/>
      <c r="M25" s="778"/>
      <c r="N25" s="779"/>
      <c r="O25" s="780"/>
      <c r="P25" s="780"/>
      <c r="Q25" s="780"/>
      <c r="R25" s="781"/>
      <c r="T25" s="369"/>
    </row>
    <row r="26" spans="1:21" ht="20.100000000000001" customHeight="1">
      <c r="A26" s="365"/>
      <c r="B26" s="771"/>
      <c r="C26" s="772"/>
      <c r="D26" s="773"/>
      <c r="E26" s="774"/>
      <c r="F26" s="775"/>
      <c r="G26" s="776"/>
      <c r="H26" s="776"/>
      <c r="I26" s="776"/>
      <c r="J26" s="776"/>
      <c r="K26" s="777"/>
      <c r="L26" s="778"/>
      <c r="M26" s="778"/>
      <c r="N26" s="779"/>
      <c r="O26" s="780"/>
      <c r="P26" s="780"/>
      <c r="Q26" s="780"/>
      <c r="R26" s="781"/>
    </row>
    <row r="27" spans="1:21" ht="20.100000000000001" customHeight="1">
      <c r="A27" s="365"/>
      <c r="B27" s="771"/>
      <c r="C27" s="772"/>
      <c r="D27" s="773"/>
      <c r="E27" s="774"/>
      <c r="F27" s="775"/>
      <c r="G27" s="776"/>
      <c r="H27" s="776"/>
      <c r="I27" s="776"/>
      <c r="J27" s="776"/>
      <c r="K27" s="777"/>
      <c r="L27" s="778"/>
      <c r="M27" s="778"/>
      <c r="N27" s="779"/>
      <c r="O27" s="780"/>
      <c r="P27" s="780"/>
      <c r="Q27" s="780"/>
      <c r="R27" s="781"/>
    </row>
    <row r="28" spans="1:21" ht="20.100000000000001" customHeight="1">
      <c r="A28" s="365"/>
      <c r="B28" s="771"/>
      <c r="C28" s="772"/>
      <c r="D28" s="773"/>
      <c r="E28" s="774"/>
      <c r="F28" s="775"/>
      <c r="G28" s="776"/>
      <c r="H28" s="776"/>
      <c r="I28" s="776"/>
      <c r="J28" s="776"/>
      <c r="K28" s="777"/>
      <c r="L28" s="778"/>
      <c r="M28" s="778"/>
      <c r="N28" s="779"/>
      <c r="O28" s="780"/>
      <c r="P28" s="780"/>
      <c r="Q28" s="780"/>
      <c r="R28" s="781"/>
    </row>
    <row r="29" spans="1:21" ht="20.100000000000001" customHeight="1">
      <c r="A29" s="365"/>
      <c r="B29" s="771"/>
      <c r="C29" s="772"/>
      <c r="D29" s="773"/>
      <c r="E29" s="774"/>
      <c r="F29" s="775"/>
      <c r="G29" s="776"/>
      <c r="H29" s="776"/>
      <c r="I29" s="776"/>
      <c r="J29" s="776"/>
      <c r="K29" s="777"/>
      <c r="L29" s="778"/>
      <c r="M29" s="778"/>
      <c r="N29" s="779"/>
      <c r="O29" s="780"/>
      <c r="P29" s="780"/>
      <c r="Q29" s="780"/>
      <c r="R29" s="781"/>
    </row>
    <row r="30" spans="1:21" ht="20.100000000000001" customHeight="1">
      <c r="A30" s="365"/>
      <c r="B30" s="771"/>
      <c r="C30" s="772"/>
      <c r="D30" s="773"/>
      <c r="E30" s="774"/>
      <c r="F30" s="775"/>
      <c r="G30" s="776"/>
      <c r="H30" s="776"/>
      <c r="I30" s="776"/>
      <c r="J30" s="776"/>
      <c r="K30" s="777"/>
      <c r="L30" s="778"/>
      <c r="M30" s="778"/>
      <c r="N30" s="779"/>
      <c r="O30" s="780"/>
      <c r="P30" s="780"/>
      <c r="Q30" s="780"/>
      <c r="R30" s="781"/>
    </row>
    <row r="31" spans="1:21" ht="20.100000000000001" customHeight="1">
      <c r="A31" s="365"/>
      <c r="B31" s="771"/>
      <c r="C31" s="772"/>
      <c r="D31" s="773"/>
      <c r="E31" s="774"/>
      <c r="F31" s="775"/>
      <c r="G31" s="776"/>
      <c r="H31" s="776"/>
      <c r="I31" s="776"/>
      <c r="J31" s="776"/>
      <c r="K31" s="777"/>
      <c r="L31" s="778"/>
      <c r="M31" s="778"/>
      <c r="N31" s="779"/>
      <c r="O31" s="780"/>
      <c r="P31" s="780"/>
      <c r="Q31" s="780"/>
      <c r="R31" s="781"/>
    </row>
    <row r="32" spans="1:21" ht="20.100000000000001" customHeight="1">
      <c r="A32" s="365"/>
      <c r="B32" s="771"/>
      <c r="C32" s="772"/>
      <c r="D32" s="773"/>
      <c r="E32" s="774"/>
      <c r="F32" s="775"/>
      <c r="G32" s="776"/>
      <c r="H32" s="776"/>
      <c r="I32" s="776"/>
      <c r="J32" s="776"/>
      <c r="K32" s="777"/>
      <c r="L32" s="778"/>
      <c r="M32" s="778"/>
      <c r="N32" s="779"/>
      <c r="O32" s="780"/>
      <c r="P32" s="780"/>
      <c r="Q32" s="780"/>
      <c r="R32" s="781"/>
      <c r="T32" s="370"/>
    </row>
    <row r="33" spans="1:21" ht="20.100000000000001" customHeight="1">
      <c r="A33" s="365"/>
      <c r="B33" s="771"/>
      <c r="C33" s="772"/>
      <c r="D33" s="773"/>
      <c r="E33" s="774"/>
      <c r="F33" s="775"/>
      <c r="G33" s="776"/>
      <c r="H33" s="776"/>
      <c r="I33" s="776"/>
      <c r="J33" s="776"/>
      <c r="K33" s="777"/>
      <c r="L33" s="778"/>
      <c r="M33" s="778"/>
      <c r="N33" s="779"/>
      <c r="O33" s="780"/>
      <c r="P33" s="780"/>
      <c r="Q33" s="780"/>
      <c r="R33" s="781"/>
    </row>
    <row r="34" spans="1:21" ht="20.100000000000001" customHeight="1">
      <c r="A34" s="365"/>
      <c r="B34" s="771"/>
      <c r="C34" s="772"/>
      <c r="D34" s="773"/>
      <c r="E34" s="774"/>
      <c r="F34" s="775"/>
      <c r="G34" s="776"/>
      <c r="H34" s="776"/>
      <c r="I34" s="776"/>
      <c r="J34" s="776"/>
      <c r="K34" s="777"/>
      <c r="L34" s="778"/>
      <c r="M34" s="778"/>
      <c r="N34" s="779"/>
      <c r="O34" s="780"/>
      <c r="P34" s="780"/>
      <c r="Q34" s="780"/>
      <c r="R34" s="781"/>
    </row>
    <row r="35" spans="1:21" ht="20.100000000000001" customHeight="1">
      <c r="A35" s="365"/>
      <c r="B35" s="771"/>
      <c r="C35" s="772"/>
      <c r="D35" s="773"/>
      <c r="E35" s="774"/>
      <c r="F35" s="775"/>
      <c r="G35" s="776"/>
      <c r="H35" s="776"/>
      <c r="I35" s="776"/>
      <c r="J35" s="776"/>
      <c r="K35" s="777"/>
      <c r="L35" s="778"/>
      <c r="M35" s="778"/>
      <c r="N35" s="779"/>
      <c r="O35" s="780"/>
      <c r="P35" s="780"/>
      <c r="Q35" s="780"/>
      <c r="R35" s="781"/>
    </row>
    <row r="36" spans="1:21" ht="20.100000000000001" customHeight="1">
      <c r="A36" s="365"/>
      <c r="B36" s="771"/>
      <c r="C36" s="772"/>
      <c r="D36" s="773"/>
      <c r="E36" s="774"/>
      <c r="F36" s="775"/>
      <c r="G36" s="776"/>
      <c r="H36" s="776"/>
      <c r="I36" s="776"/>
      <c r="J36" s="776"/>
      <c r="K36" s="777"/>
      <c r="L36" s="778"/>
      <c r="M36" s="778"/>
      <c r="N36" s="779"/>
      <c r="O36" s="780"/>
      <c r="P36" s="780"/>
      <c r="Q36" s="780"/>
      <c r="R36" s="781"/>
    </row>
    <row r="37" spans="1:21" ht="20.100000000000001" customHeight="1">
      <c r="A37" s="365"/>
      <c r="B37" s="771"/>
      <c r="C37" s="772"/>
      <c r="D37" s="773"/>
      <c r="E37" s="774"/>
      <c r="F37" s="775"/>
      <c r="G37" s="776"/>
      <c r="H37" s="776"/>
      <c r="I37" s="776"/>
      <c r="J37" s="776"/>
      <c r="K37" s="777"/>
      <c r="L37" s="778"/>
      <c r="M37" s="778"/>
      <c r="N37" s="779"/>
      <c r="O37" s="780"/>
      <c r="P37" s="780"/>
      <c r="Q37" s="780"/>
      <c r="R37" s="781"/>
      <c r="U37" s="369"/>
    </row>
    <row r="38" spans="1:21" ht="20.100000000000001" customHeight="1">
      <c r="A38" s="365"/>
      <c r="B38" s="771"/>
      <c r="C38" s="772"/>
      <c r="D38" s="773"/>
      <c r="E38" s="774"/>
      <c r="F38" s="775"/>
      <c r="G38" s="776"/>
      <c r="H38" s="776"/>
      <c r="I38" s="776"/>
      <c r="J38" s="776"/>
      <c r="K38" s="777"/>
      <c r="L38" s="778"/>
      <c r="M38" s="778"/>
      <c r="N38" s="779"/>
      <c r="O38" s="780"/>
      <c r="P38" s="780"/>
      <c r="Q38" s="780"/>
      <c r="R38" s="781"/>
      <c r="U38" s="371"/>
    </row>
    <row r="39" spans="1:21" ht="20.100000000000001" customHeight="1">
      <c r="A39" s="365"/>
      <c r="B39" s="771"/>
      <c r="C39" s="772"/>
      <c r="D39" s="773"/>
      <c r="E39" s="774"/>
      <c r="F39" s="775"/>
      <c r="G39" s="776"/>
      <c r="H39" s="776"/>
      <c r="I39" s="776"/>
      <c r="J39" s="776"/>
      <c r="K39" s="777"/>
      <c r="L39" s="778"/>
      <c r="M39" s="778"/>
      <c r="N39" s="779"/>
      <c r="O39" s="780"/>
      <c r="P39" s="780"/>
      <c r="Q39" s="780"/>
      <c r="R39" s="781"/>
    </row>
    <row r="40" spans="1:21" ht="20.100000000000001" customHeight="1">
      <c r="A40" s="365"/>
      <c r="B40" s="771"/>
      <c r="C40" s="772"/>
      <c r="D40" s="773"/>
      <c r="E40" s="774"/>
      <c r="F40" s="775"/>
      <c r="G40" s="776"/>
      <c r="H40" s="776"/>
      <c r="I40" s="776"/>
      <c r="J40" s="776"/>
      <c r="K40" s="777"/>
      <c r="L40" s="778"/>
      <c r="M40" s="778"/>
      <c r="N40" s="779"/>
      <c r="O40" s="780"/>
      <c r="P40" s="780"/>
      <c r="Q40" s="780"/>
      <c r="R40" s="781"/>
    </row>
    <row r="41" spans="1:21" ht="20.100000000000001" customHeight="1">
      <c r="A41" s="365"/>
      <c r="B41" s="771"/>
      <c r="C41" s="772"/>
      <c r="D41" s="773"/>
      <c r="E41" s="774"/>
      <c r="F41" s="775"/>
      <c r="G41" s="776"/>
      <c r="H41" s="776"/>
      <c r="I41" s="776"/>
      <c r="J41" s="776"/>
      <c r="K41" s="777"/>
      <c r="L41" s="778"/>
      <c r="M41" s="778"/>
      <c r="N41" s="779"/>
      <c r="O41" s="780"/>
      <c r="P41" s="780"/>
      <c r="Q41" s="780"/>
      <c r="R41" s="781"/>
    </row>
    <row r="42" spans="1:21" ht="20.100000000000001" customHeight="1">
      <c r="A42" s="365"/>
      <c r="B42" s="783"/>
      <c r="C42" s="784"/>
      <c r="D42" s="785"/>
      <c r="E42" s="786"/>
      <c r="F42" s="787"/>
      <c r="G42" s="788"/>
      <c r="H42" s="788"/>
      <c r="I42" s="788"/>
      <c r="J42" s="788"/>
      <c r="K42" s="777"/>
      <c r="L42" s="778"/>
      <c r="M42" s="778"/>
      <c r="N42" s="779"/>
      <c r="O42" s="780"/>
      <c r="P42" s="780"/>
      <c r="Q42" s="780"/>
      <c r="R42" s="781"/>
    </row>
    <row r="43" spans="1:21" ht="20.100000000000001" customHeight="1" thickBot="1">
      <c r="A43" s="372"/>
      <c r="B43" s="789"/>
      <c r="C43" s="717"/>
      <c r="D43" s="790"/>
      <c r="E43" s="791"/>
      <c r="F43" s="792"/>
      <c r="G43" s="793"/>
      <c r="H43" s="793"/>
      <c r="I43" s="793"/>
      <c r="J43" s="793"/>
      <c r="K43" s="794"/>
      <c r="L43" s="795"/>
      <c r="M43" s="795"/>
      <c r="N43" s="796"/>
      <c r="O43" s="797"/>
      <c r="P43" s="797"/>
      <c r="Q43" s="797"/>
      <c r="R43" s="798"/>
    </row>
  </sheetData>
  <mergeCells count="185">
    <mergeCell ref="B42:C42"/>
    <mergeCell ref="D42:F42"/>
    <mergeCell ref="G42:J42"/>
    <mergeCell ref="K42:N42"/>
    <mergeCell ref="O42:R42"/>
    <mergeCell ref="B43:C43"/>
    <mergeCell ref="D43:F43"/>
    <mergeCell ref="G43:J43"/>
    <mergeCell ref="K43:N43"/>
    <mergeCell ref="O43:R43"/>
    <mergeCell ref="B40:C40"/>
    <mergeCell ref="D40:F40"/>
    <mergeCell ref="G40:J40"/>
    <mergeCell ref="K40:N40"/>
    <mergeCell ref="O40:R40"/>
    <mergeCell ref="B41:C41"/>
    <mergeCell ref="D41:F41"/>
    <mergeCell ref="G41:J41"/>
    <mergeCell ref="K41:N41"/>
    <mergeCell ref="O41:R41"/>
    <mergeCell ref="B38:C38"/>
    <mergeCell ref="D38:F38"/>
    <mergeCell ref="G38:J38"/>
    <mergeCell ref="K38:N38"/>
    <mergeCell ref="O38:R38"/>
    <mergeCell ref="B39:C39"/>
    <mergeCell ref="D39:F39"/>
    <mergeCell ref="G39:J39"/>
    <mergeCell ref="K39:N39"/>
    <mergeCell ref="O39:R39"/>
    <mergeCell ref="B36:C36"/>
    <mergeCell ref="D36:F36"/>
    <mergeCell ref="G36:J36"/>
    <mergeCell ref="K36:N36"/>
    <mergeCell ref="O36:R36"/>
    <mergeCell ref="B37:C37"/>
    <mergeCell ref="D37:F37"/>
    <mergeCell ref="G37:J37"/>
    <mergeCell ref="K37:N37"/>
    <mergeCell ref="O37:R37"/>
    <mergeCell ref="B34:C34"/>
    <mergeCell ref="D34:F34"/>
    <mergeCell ref="G34:J34"/>
    <mergeCell ref="K34:N34"/>
    <mergeCell ref="O34:R34"/>
    <mergeCell ref="B35:C35"/>
    <mergeCell ref="D35:F35"/>
    <mergeCell ref="G35:J35"/>
    <mergeCell ref="K35:N35"/>
    <mergeCell ref="O35:R35"/>
    <mergeCell ref="B32:C32"/>
    <mergeCell ref="D32:F32"/>
    <mergeCell ref="G32:J32"/>
    <mergeCell ref="K32:N32"/>
    <mergeCell ref="O32:R32"/>
    <mergeCell ref="B33:C33"/>
    <mergeCell ref="D33:F33"/>
    <mergeCell ref="G33:J33"/>
    <mergeCell ref="K33:N33"/>
    <mergeCell ref="O33:R33"/>
    <mergeCell ref="B30:C30"/>
    <mergeCell ref="D30:F30"/>
    <mergeCell ref="G30:J30"/>
    <mergeCell ref="K30:N30"/>
    <mergeCell ref="O30:R30"/>
    <mergeCell ref="B31:C31"/>
    <mergeCell ref="D31:F31"/>
    <mergeCell ref="G31:J31"/>
    <mergeCell ref="K31:N31"/>
    <mergeCell ref="O31:R31"/>
    <mergeCell ref="B28:C28"/>
    <mergeCell ref="D28:F28"/>
    <mergeCell ref="G28:J28"/>
    <mergeCell ref="K28:N28"/>
    <mergeCell ref="O28:R28"/>
    <mergeCell ref="B29:C29"/>
    <mergeCell ref="D29:F29"/>
    <mergeCell ref="G29:J29"/>
    <mergeCell ref="K29:N29"/>
    <mergeCell ref="O29:R29"/>
    <mergeCell ref="B26:C26"/>
    <mergeCell ref="D26:F26"/>
    <mergeCell ref="G26:J26"/>
    <mergeCell ref="K26:N26"/>
    <mergeCell ref="O26:R26"/>
    <mergeCell ref="B27:C27"/>
    <mergeCell ref="D27:F27"/>
    <mergeCell ref="G27:J27"/>
    <mergeCell ref="K27:N27"/>
    <mergeCell ref="O27:R27"/>
    <mergeCell ref="B24:C24"/>
    <mergeCell ref="D24:F24"/>
    <mergeCell ref="G24:J24"/>
    <mergeCell ref="K24:N24"/>
    <mergeCell ref="O24:R24"/>
    <mergeCell ref="B25:C25"/>
    <mergeCell ref="D25:F25"/>
    <mergeCell ref="G25:J25"/>
    <mergeCell ref="K25:N25"/>
    <mergeCell ref="O25:R25"/>
    <mergeCell ref="B22:C22"/>
    <mergeCell ref="D22:F22"/>
    <mergeCell ref="G22:J22"/>
    <mergeCell ref="K22:N22"/>
    <mergeCell ref="O22:R22"/>
    <mergeCell ref="B23:C23"/>
    <mergeCell ref="D23:F23"/>
    <mergeCell ref="G23:J23"/>
    <mergeCell ref="K23:N23"/>
    <mergeCell ref="O23:R23"/>
    <mergeCell ref="B20:C20"/>
    <mergeCell ref="D20:F20"/>
    <mergeCell ref="G20:J20"/>
    <mergeCell ref="K20:N20"/>
    <mergeCell ref="O20:R20"/>
    <mergeCell ref="B21:C21"/>
    <mergeCell ref="D21:F21"/>
    <mergeCell ref="G21:J21"/>
    <mergeCell ref="K21:N21"/>
    <mergeCell ref="O21:R21"/>
    <mergeCell ref="B18:C18"/>
    <mergeCell ref="D18:F18"/>
    <mergeCell ref="G18:J18"/>
    <mergeCell ref="K18:N18"/>
    <mergeCell ref="O18:R18"/>
    <mergeCell ref="B19:C19"/>
    <mergeCell ref="D19:F19"/>
    <mergeCell ref="G19:J19"/>
    <mergeCell ref="K19:N19"/>
    <mergeCell ref="O19:R19"/>
    <mergeCell ref="B16:C16"/>
    <mergeCell ref="D16:F16"/>
    <mergeCell ref="G16:J16"/>
    <mergeCell ref="K16:N16"/>
    <mergeCell ref="O16:R16"/>
    <mergeCell ref="B17:C17"/>
    <mergeCell ref="D17:F17"/>
    <mergeCell ref="G17:J17"/>
    <mergeCell ref="K17:N17"/>
    <mergeCell ref="O17:R17"/>
    <mergeCell ref="B14:C14"/>
    <mergeCell ref="D14:F14"/>
    <mergeCell ref="G14:J14"/>
    <mergeCell ref="K14:N14"/>
    <mergeCell ref="O14:R14"/>
    <mergeCell ref="B15:C15"/>
    <mergeCell ref="D15:F15"/>
    <mergeCell ref="G15:J15"/>
    <mergeCell ref="K15:N15"/>
    <mergeCell ref="O15:R15"/>
    <mergeCell ref="B13:C13"/>
    <mergeCell ref="D13:F13"/>
    <mergeCell ref="G13:J13"/>
    <mergeCell ref="K13:N13"/>
    <mergeCell ref="O13:R13"/>
    <mergeCell ref="A6:R6"/>
    <mergeCell ref="A7:R7"/>
    <mergeCell ref="A8:R8"/>
    <mergeCell ref="A9:R9"/>
    <mergeCell ref="A10:C10"/>
    <mergeCell ref="D10:F11"/>
    <mergeCell ref="G10:J11"/>
    <mergeCell ref="K10:N11"/>
    <mergeCell ref="O10:R11"/>
    <mergeCell ref="B11:C11"/>
    <mergeCell ref="A5:B5"/>
    <mergeCell ref="C5:D5"/>
    <mergeCell ref="E5:F5"/>
    <mergeCell ref="G5:H5"/>
    <mergeCell ref="I5:J5"/>
    <mergeCell ref="K5:L5"/>
    <mergeCell ref="M5:N5"/>
    <mergeCell ref="O5:R5"/>
    <mergeCell ref="A12:R12"/>
    <mergeCell ref="A1:D3"/>
    <mergeCell ref="E1:N3"/>
    <mergeCell ref="O1:R3"/>
    <mergeCell ref="A4:B4"/>
    <mergeCell ref="C4:D4"/>
    <mergeCell ref="E4:F4"/>
    <mergeCell ref="G4:H4"/>
    <mergeCell ref="I4:J4"/>
    <mergeCell ref="K4:L4"/>
    <mergeCell ref="M4:N4"/>
    <mergeCell ref="O4:R4"/>
  </mergeCells>
  <printOptions horizontalCentered="1"/>
  <pageMargins left="0" right="0" top="0.1" bottom="0.1" header="0" footer="0"/>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6"/>
  <sheetViews>
    <sheetView rightToLeft="1" view="pageBreakPreview" zoomScaleNormal="100" zoomScaleSheetLayoutView="100" workbookViewId="0">
      <selection activeCell="G24" sqref="G24:I24"/>
    </sheetView>
  </sheetViews>
  <sheetFormatPr defaultColWidth="5.4375" defaultRowHeight="20.100000000000001" customHeight="1"/>
  <cols>
    <col min="1" max="8" width="5.4375" style="358"/>
    <col min="9" max="9" width="7" style="358" customWidth="1"/>
    <col min="10" max="11" width="5.4375" style="358"/>
    <col min="12" max="12" width="6.5625" style="358" customWidth="1"/>
    <col min="13" max="13" width="5.4375" style="358"/>
    <col min="14" max="14" width="6.6875" style="358" bestFit="1" customWidth="1"/>
    <col min="15" max="15" width="6.6875" style="358" customWidth="1"/>
    <col min="16" max="19" width="5.4375" style="358"/>
    <col min="20" max="20" width="6" style="358" customWidth="1"/>
    <col min="21" max="21" width="5.4375" style="358"/>
    <col min="22" max="22" width="44.4375" style="358" customWidth="1"/>
    <col min="23" max="23" width="8.875" style="373" customWidth="1"/>
    <col min="24" max="25" width="16" style="373" customWidth="1"/>
    <col min="26" max="26" width="11" style="374" customWidth="1"/>
    <col min="27" max="27" width="14.875" style="375" bestFit="1" customWidth="1"/>
    <col min="28" max="16384" width="5.4375" style="358"/>
  </cols>
  <sheetData>
    <row r="1" spans="1:27" ht="18" customHeight="1">
      <c r="A1" s="735"/>
      <c r="B1" s="736"/>
      <c r="C1" s="736"/>
      <c r="D1" s="736"/>
      <c r="E1" s="852"/>
      <c r="F1" s="857" t="s">
        <v>763</v>
      </c>
      <c r="G1" s="857"/>
      <c r="H1" s="857"/>
      <c r="I1" s="857"/>
      <c r="J1" s="857"/>
      <c r="K1" s="857"/>
      <c r="L1" s="857"/>
      <c r="M1" s="857"/>
      <c r="N1" s="857"/>
      <c r="O1" s="857"/>
      <c r="P1" s="858"/>
      <c r="Q1" s="736"/>
      <c r="R1" s="736"/>
      <c r="S1" s="736"/>
      <c r="T1" s="736"/>
      <c r="U1" s="737"/>
    </row>
    <row r="2" spans="1:27" ht="24" customHeight="1">
      <c r="A2" s="853"/>
      <c r="B2" s="734"/>
      <c r="C2" s="734"/>
      <c r="D2" s="734"/>
      <c r="E2" s="831"/>
      <c r="F2" s="859"/>
      <c r="G2" s="859"/>
      <c r="H2" s="859"/>
      <c r="I2" s="859"/>
      <c r="J2" s="859"/>
      <c r="K2" s="859"/>
      <c r="L2" s="859"/>
      <c r="M2" s="859"/>
      <c r="N2" s="859"/>
      <c r="O2" s="859"/>
      <c r="P2" s="860"/>
      <c r="Q2" s="734"/>
      <c r="R2" s="734"/>
      <c r="S2" s="734"/>
      <c r="T2" s="734"/>
      <c r="U2" s="863"/>
    </row>
    <row r="3" spans="1:27" ht="18.75" customHeight="1" thickBot="1">
      <c r="A3" s="854"/>
      <c r="B3" s="855"/>
      <c r="C3" s="855"/>
      <c r="D3" s="855"/>
      <c r="E3" s="856"/>
      <c r="F3" s="861"/>
      <c r="G3" s="861"/>
      <c r="H3" s="861"/>
      <c r="I3" s="861"/>
      <c r="J3" s="861"/>
      <c r="K3" s="861"/>
      <c r="L3" s="861"/>
      <c r="M3" s="861"/>
      <c r="N3" s="861"/>
      <c r="O3" s="861"/>
      <c r="P3" s="862"/>
      <c r="Q3" s="855"/>
      <c r="R3" s="855"/>
      <c r="S3" s="855"/>
      <c r="T3" s="855"/>
      <c r="U3" s="864"/>
    </row>
    <row r="4" spans="1:27" s="359" customFormat="1" ht="18" hidden="1">
      <c r="A4" s="865"/>
      <c r="B4" s="866"/>
      <c r="C4" s="867"/>
      <c r="D4" s="868"/>
      <c r="E4" s="868"/>
      <c r="F4" s="869"/>
      <c r="G4" s="866"/>
      <c r="H4" s="867"/>
      <c r="I4" s="868"/>
      <c r="J4" s="868"/>
      <c r="K4" s="868"/>
      <c r="L4" s="868"/>
      <c r="M4" s="868"/>
      <c r="N4" s="868"/>
      <c r="O4" s="868"/>
      <c r="P4" s="868"/>
      <c r="Q4" s="707"/>
      <c r="R4" s="708"/>
      <c r="S4" s="708"/>
      <c r="T4" s="708"/>
      <c r="U4" s="709"/>
      <c r="W4" s="376"/>
      <c r="X4" s="376"/>
      <c r="Y4" s="376"/>
      <c r="Z4" s="377"/>
      <c r="AA4" s="375"/>
    </row>
    <row r="5" spans="1:27" s="359" customFormat="1" ht="18.399999999999999" hidden="1" thickBot="1">
      <c r="A5" s="710"/>
      <c r="B5" s="870"/>
      <c r="C5" s="711"/>
      <c r="D5" s="712"/>
      <c r="E5" s="711"/>
      <c r="F5" s="713"/>
      <c r="G5" s="871"/>
      <c r="H5" s="714"/>
      <c r="I5" s="713"/>
      <c r="J5" s="714"/>
      <c r="K5" s="713"/>
      <c r="L5" s="714"/>
      <c r="M5" s="713"/>
      <c r="N5" s="714"/>
      <c r="O5" s="715"/>
      <c r="P5" s="715"/>
      <c r="Q5" s="716"/>
      <c r="R5" s="717"/>
      <c r="S5" s="717"/>
      <c r="T5" s="717"/>
      <c r="U5" s="718"/>
      <c r="W5" s="376"/>
      <c r="X5" s="376"/>
      <c r="Y5" s="376"/>
      <c r="Z5" s="377"/>
      <c r="AA5" s="375"/>
    </row>
    <row r="6" spans="1:27" ht="9.9499999999999993" customHeight="1">
      <c r="A6" s="734"/>
      <c r="B6" s="734"/>
      <c r="C6" s="734"/>
      <c r="D6" s="734"/>
      <c r="E6" s="734"/>
      <c r="F6" s="734"/>
      <c r="G6" s="734"/>
      <c r="H6" s="734"/>
      <c r="I6" s="734"/>
      <c r="J6" s="734"/>
      <c r="K6" s="734"/>
      <c r="L6" s="734"/>
      <c r="M6" s="734"/>
      <c r="N6" s="734"/>
      <c r="O6" s="734"/>
      <c r="P6" s="734"/>
      <c r="Q6" s="734"/>
      <c r="R6" s="734"/>
      <c r="S6" s="734"/>
      <c r="T6" s="734"/>
      <c r="U6" s="734"/>
    </row>
    <row r="7" spans="1:27" ht="20.100000000000001" customHeight="1">
      <c r="A7" s="739" t="s">
        <v>894</v>
      </c>
      <c r="B7" s="739"/>
      <c r="C7" s="739"/>
      <c r="D7" s="739"/>
      <c r="E7" s="739"/>
      <c r="F7" s="739"/>
      <c r="G7" s="739"/>
      <c r="H7" s="739"/>
      <c r="I7" s="739"/>
      <c r="J7" s="739"/>
      <c r="K7" s="739"/>
      <c r="L7" s="739"/>
      <c r="M7" s="739"/>
      <c r="N7" s="739"/>
      <c r="O7" s="739"/>
      <c r="P7" s="739"/>
      <c r="Q7" s="739"/>
      <c r="R7" s="739"/>
      <c r="S7" s="739"/>
      <c r="T7" s="739"/>
      <c r="U7" s="739"/>
    </row>
    <row r="8" spans="1:27" ht="9.9499999999999993" customHeight="1" thickBot="1">
      <c r="A8" s="872"/>
      <c r="B8" s="872"/>
      <c r="C8" s="872"/>
      <c r="D8" s="872"/>
      <c r="E8" s="872"/>
      <c r="F8" s="872"/>
      <c r="G8" s="872"/>
      <c r="H8" s="872"/>
      <c r="I8" s="872"/>
      <c r="J8" s="872"/>
      <c r="K8" s="872"/>
      <c r="L8" s="872"/>
      <c r="M8" s="872"/>
      <c r="N8" s="872"/>
      <c r="O8" s="872"/>
      <c r="P8" s="872"/>
      <c r="Q8" s="872"/>
      <c r="R8" s="872"/>
      <c r="S8" s="872"/>
      <c r="T8" s="872"/>
      <c r="U8" s="872"/>
    </row>
    <row r="9" spans="1:27" s="359" customFormat="1" ht="20.100000000000001" customHeight="1">
      <c r="A9" s="873" t="s">
        <v>13</v>
      </c>
      <c r="B9" s="874"/>
      <c r="C9" s="874"/>
      <c r="D9" s="875" t="s">
        <v>780</v>
      </c>
      <c r="E9" s="708"/>
      <c r="F9" s="708"/>
      <c r="G9" s="709"/>
      <c r="H9" s="873" t="s">
        <v>781</v>
      </c>
      <c r="I9" s="874"/>
      <c r="J9" s="874"/>
      <c r="K9" s="876" t="s">
        <v>17</v>
      </c>
      <c r="L9" s="877"/>
      <c r="M9" s="877"/>
      <c r="N9" s="878"/>
      <c r="O9" s="873" t="s">
        <v>782</v>
      </c>
      <c r="P9" s="874"/>
      <c r="Q9" s="874"/>
      <c r="R9" s="879" t="s">
        <v>882</v>
      </c>
      <c r="S9" s="879"/>
      <c r="T9" s="879"/>
      <c r="U9" s="880"/>
      <c r="W9" s="376"/>
      <c r="X9" s="376"/>
      <c r="Y9" s="376"/>
      <c r="Z9" s="377"/>
      <c r="AA9" s="375"/>
    </row>
    <row r="10" spans="1:27" s="359" customFormat="1" ht="34.5" customHeight="1">
      <c r="A10" s="889" t="s">
        <v>8</v>
      </c>
      <c r="B10" s="774"/>
      <c r="C10" s="771"/>
      <c r="D10" s="890" t="s">
        <v>840</v>
      </c>
      <c r="E10" s="891"/>
      <c r="F10" s="891"/>
      <c r="G10" s="892"/>
      <c r="H10" s="889" t="s">
        <v>10</v>
      </c>
      <c r="I10" s="774"/>
      <c r="J10" s="774"/>
      <c r="K10" s="771" t="s">
        <v>841</v>
      </c>
      <c r="L10" s="772"/>
      <c r="M10" s="772"/>
      <c r="N10" s="893"/>
      <c r="O10" s="889" t="s">
        <v>9</v>
      </c>
      <c r="P10" s="774"/>
      <c r="Q10" s="774"/>
      <c r="R10" s="772" t="s">
        <v>883</v>
      </c>
      <c r="S10" s="772"/>
      <c r="T10" s="772"/>
      <c r="U10" s="893"/>
      <c r="W10" s="376"/>
      <c r="X10" s="376"/>
      <c r="Y10" s="376"/>
      <c r="Z10" s="377"/>
      <c r="AA10" s="375"/>
    </row>
    <row r="11" spans="1:27" s="359" customFormat="1" ht="20.100000000000001" customHeight="1" thickBot="1">
      <c r="A11" s="881" t="s">
        <v>783</v>
      </c>
      <c r="B11" s="791"/>
      <c r="C11" s="791"/>
      <c r="D11" s="882" t="s">
        <v>784</v>
      </c>
      <c r="E11" s="883"/>
      <c r="F11" s="883"/>
      <c r="G11" s="884"/>
      <c r="H11" s="885" t="s">
        <v>785</v>
      </c>
      <c r="I11" s="886"/>
      <c r="J11" s="886"/>
      <c r="K11" s="789" t="s">
        <v>886</v>
      </c>
      <c r="L11" s="717"/>
      <c r="M11" s="717"/>
      <c r="N11" s="718"/>
      <c r="O11" s="881" t="s">
        <v>786</v>
      </c>
      <c r="P11" s="791"/>
      <c r="Q11" s="791"/>
      <c r="R11" s="887" t="str">
        <f>'خلاصه مالي صورت وضعیت'!E5</f>
        <v>1399/06/02</v>
      </c>
      <c r="S11" s="887"/>
      <c r="T11" s="887"/>
      <c r="U11" s="888"/>
      <c r="W11" s="376"/>
      <c r="X11" s="376"/>
      <c r="Y11" s="376"/>
      <c r="Z11" s="377"/>
      <c r="AA11" s="375"/>
    </row>
    <row r="12" spans="1:27" ht="9.9499999999999993" customHeight="1" thickBot="1">
      <c r="A12" s="898"/>
      <c r="B12" s="898"/>
      <c r="C12" s="898"/>
      <c r="D12" s="898"/>
      <c r="E12" s="898"/>
      <c r="F12" s="898"/>
      <c r="G12" s="898"/>
      <c r="H12" s="898"/>
      <c r="I12" s="898"/>
      <c r="J12" s="898"/>
      <c r="K12" s="898"/>
      <c r="L12" s="898"/>
      <c r="M12" s="898"/>
      <c r="N12" s="898"/>
      <c r="O12" s="898"/>
      <c r="P12" s="898"/>
      <c r="Q12" s="898"/>
      <c r="R12" s="898"/>
      <c r="S12" s="898"/>
      <c r="T12" s="898"/>
      <c r="U12" s="898"/>
    </row>
    <row r="13" spans="1:27" s="359" customFormat="1" ht="20.100000000000001" customHeight="1">
      <c r="A13" s="899" t="s">
        <v>787</v>
      </c>
      <c r="B13" s="901" t="s">
        <v>788</v>
      </c>
      <c r="C13" s="902"/>
      <c r="D13" s="902"/>
      <c r="E13" s="902"/>
      <c r="F13" s="902"/>
      <c r="G13" s="905" t="s">
        <v>789</v>
      </c>
      <c r="H13" s="906"/>
      <c r="I13" s="906"/>
      <c r="J13" s="906"/>
      <c r="K13" s="906"/>
      <c r="L13" s="906"/>
      <c r="M13" s="906"/>
      <c r="N13" s="906"/>
      <c r="O13" s="906"/>
      <c r="P13" s="906" t="s">
        <v>790</v>
      </c>
      <c r="Q13" s="906"/>
      <c r="R13" s="907"/>
      <c r="S13" s="905" t="s">
        <v>791</v>
      </c>
      <c r="T13" s="906"/>
      <c r="U13" s="910"/>
      <c r="W13" s="376"/>
      <c r="X13" s="376"/>
      <c r="Y13" s="376"/>
      <c r="Z13" s="377"/>
      <c r="AA13" s="375"/>
    </row>
    <row r="14" spans="1:27" s="359" customFormat="1" ht="20.100000000000001" customHeight="1" thickBot="1">
      <c r="A14" s="900"/>
      <c r="B14" s="903"/>
      <c r="C14" s="904"/>
      <c r="D14" s="904"/>
      <c r="E14" s="904"/>
      <c r="F14" s="904"/>
      <c r="G14" s="913" t="s">
        <v>927</v>
      </c>
      <c r="H14" s="914"/>
      <c r="I14" s="914"/>
      <c r="J14" s="915" t="s">
        <v>932</v>
      </c>
      <c r="K14" s="915"/>
      <c r="L14" s="915"/>
      <c r="M14" s="915" t="s">
        <v>792</v>
      </c>
      <c r="N14" s="915"/>
      <c r="O14" s="915"/>
      <c r="P14" s="908"/>
      <c r="Q14" s="908"/>
      <c r="R14" s="909"/>
      <c r="S14" s="911"/>
      <c r="T14" s="908"/>
      <c r="U14" s="912"/>
      <c r="W14" s="376"/>
      <c r="X14" s="376"/>
      <c r="Y14" s="376"/>
      <c r="Z14" s="377"/>
      <c r="AA14" s="375"/>
    </row>
    <row r="15" spans="1:27" ht="18.75" customHeight="1" thickTop="1">
      <c r="A15" s="894" t="s">
        <v>793</v>
      </c>
      <c r="B15" s="723" t="s">
        <v>794</v>
      </c>
      <c r="C15" s="724"/>
      <c r="D15" s="724"/>
      <c r="E15" s="724"/>
      <c r="F15" s="724"/>
      <c r="G15" s="814">
        <v>52156117335.355263</v>
      </c>
      <c r="H15" s="815"/>
      <c r="I15" s="815"/>
      <c r="J15" s="815">
        <f>IF(M15=0,0,M15-G15)</f>
        <v>6939380093.1489334</v>
      </c>
      <c r="K15" s="815"/>
      <c r="L15" s="815"/>
      <c r="M15" s="815">
        <f>'خلاصه مالي صورت وضعیت'!$G$14</f>
        <v>59095497428.504196</v>
      </c>
      <c r="N15" s="815"/>
      <c r="O15" s="815"/>
      <c r="P15" s="896" t="s">
        <v>795</v>
      </c>
      <c r="Q15" s="896"/>
      <c r="R15" s="897"/>
      <c r="S15" s="916"/>
      <c r="T15" s="917"/>
      <c r="U15" s="918"/>
      <c r="W15" s="376"/>
      <c r="X15" s="376"/>
      <c r="Y15" s="376"/>
      <c r="Z15" s="377"/>
    </row>
    <row r="16" spans="1:27" ht="12.95" customHeight="1">
      <c r="A16" s="895"/>
      <c r="B16" s="811"/>
      <c r="C16" s="742"/>
      <c r="D16" s="742"/>
      <c r="E16" s="742"/>
      <c r="F16" s="742"/>
      <c r="G16" s="925">
        <v>38974588220.493797</v>
      </c>
      <c r="H16" s="926"/>
      <c r="I16" s="926"/>
      <c r="J16" s="927">
        <f t="shared" ref="J16:J83" si="0">IF(M16=0,0,M16-G16)</f>
        <v>0</v>
      </c>
      <c r="K16" s="778"/>
      <c r="L16" s="928"/>
      <c r="M16" s="926">
        <f>'خلاصه مالي صورت وضعیت'!$H$14</f>
        <v>0</v>
      </c>
      <c r="N16" s="926"/>
      <c r="O16" s="926"/>
      <c r="P16" s="929" t="s">
        <v>796</v>
      </c>
      <c r="Q16" s="929"/>
      <c r="R16" s="930"/>
      <c r="S16" s="919"/>
      <c r="T16" s="920"/>
      <c r="U16" s="921"/>
      <c r="W16" s="376"/>
      <c r="X16" s="376"/>
      <c r="Y16" s="376"/>
      <c r="Z16" s="377"/>
    </row>
    <row r="17" spans="1:26" ht="12.95" customHeight="1">
      <c r="A17" s="895"/>
      <c r="B17" s="811"/>
      <c r="C17" s="742"/>
      <c r="D17" s="742"/>
      <c r="E17" s="742"/>
      <c r="F17" s="742"/>
      <c r="G17" s="931"/>
      <c r="H17" s="932"/>
      <c r="I17" s="932"/>
      <c r="J17" s="933">
        <f t="shared" si="0"/>
        <v>0</v>
      </c>
      <c r="K17" s="934"/>
      <c r="L17" s="935"/>
      <c r="M17" s="936"/>
      <c r="N17" s="936"/>
      <c r="O17" s="936"/>
      <c r="P17" s="937" t="s">
        <v>797</v>
      </c>
      <c r="Q17" s="937"/>
      <c r="R17" s="938"/>
      <c r="S17" s="922"/>
      <c r="T17" s="923"/>
      <c r="U17" s="924"/>
      <c r="W17" s="376"/>
      <c r="X17" s="376"/>
      <c r="Y17" s="376"/>
      <c r="Z17" s="377"/>
    </row>
    <row r="18" spans="1:26" ht="12.95" customHeight="1">
      <c r="A18" s="953" t="s">
        <v>798</v>
      </c>
      <c r="B18" s="956" t="s">
        <v>799</v>
      </c>
      <c r="C18" s="957"/>
      <c r="D18" s="957"/>
      <c r="E18" s="957"/>
      <c r="F18" s="957"/>
      <c r="G18" s="814">
        <v>7184862909.1920004</v>
      </c>
      <c r="H18" s="815"/>
      <c r="I18" s="815"/>
      <c r="J18" s="816">
        <f t="shared" si="0"/>
        <v>0</v>
      </c>
      <c r="K18" s="817"/>
      <c r="L18" s="818"/>
      <c r="M18" s="819">
        <f>'خلاصه مالي صورت وضعیت'!$G$11</f>
        <v>7184862909.1920004</v>
      </c>
      <c r="N18" s="819"/>
      <c r="O18" s="819"/>
      <c r="P18" s="820" t="s">
        <v>795</v>
      </c>
      <c r="Q18" s="820"/>
      <c r="R18" s="939"/>
      <c r="S18" s="919"/>
      <c r="T18" s="920"/>
      <c r="U18" s="921"/>
      <c r="W18" s="376"/>
      <c r="X18" s="376"/>
      <c r="Y18" s="376"/>
      <c r="Z18" s="377"/>
    </row>
    <row r="19" spans="1:26" ht="12.95" customHeight="1">
      <c r="A19" s="954"/>
      <c r="B19" s="958"/>
      <c r="C19" s="959"/>
      <c r="D19" s="959"/>
      <c r="E19" s="959"/>
      <c r="F19" s="959"/>
      <c r="G19" s="925">
        <v>5295842703</v>
      </c>
      <c r="H19" s="926"/>
      <c r="I19" s="926"/>
      <c r="J19" s="927">
        <f t="shared" si="0"/>
        <v>0</v>
      </c>
      <c r="K19" s="778"/>
      <c r="L19" s="928"/>
      <c r="M19" s="926">
        <f>'خلاصه مالي صورت وضعیت'!$H$11</f>
        <v>0</v>
      </c>
      <c r="N19" s="926"/>
      <c r="O19" s="926"/>
      <c r="P19" s="929" t="s">
        <v>796</v>
      </c>
      <c r="Q19" s="929"/>
      <c r="R19" s="930"/>
      <c r="S19" s="919"/>
      <c r="T19" s="920"/>
      <c r="U19" s="921"/>
      <c r="W19" s="376"/>
      <c r="X19" s="376"/>
      <c r="Y19" s="376"/>
      <c r="Z19" s="377"/>
    </row>
    <row r="20" spans="1:26" ht="12.95" customHeight="1">
      <c r="A20" s="955"/>
      <c r="B20" s="960"/>
      <c r="C20" s="961"/>
      <c r="D20" s="961"/>
      <c r="E20" s="961"/>
      <c r="F20" s="961"/>
      <c r="G20" s="931"/>
      <c r="H20" s="932"/>
      <c r="I20" s="932"/>
      <c r="J20" s="933">
        <f t="shared" si="0"/>
        <v>0</v>
      </c>
      <c r="K20" s="934"/>
      <c r="L20" s="935"/>
      <c r="M20" s="932"/>
      <c r="N20" s="932"/>
      <c r="O20" s="932"/>
      <c r="P20" s="943" t="s">
        <v>797</v>
      </c>
      <c r="Q20" s="943"/>
      <c r="R20" s="944"/>
      <c r="S20" s="919"/>
      <c r="T20" s="920"/>
      <c r="U20" s="921"/>
      <c r="W20" s="376"/>
      <c r="X20" s="376"/>
      <c r="Y20" s="376"/>
      <c r="Z20" s="377"/>
    </row>
    <row r="21" spans="1:26" ht="12.95" customHeight="1">
      <c r="A21" s="822" t="s">
        <v>730</v>
      </c>
      <c r="B21" s="823" t="s">
        <v>916</v>
      </c>
      <c r="C21" s="823"/>
      <c r="D21" s="823"/>
      <c r="E21" s="823"/>
      <c r="F21" s="824"/>
      <c r="G21" s="825">
        <v>28486290919</v>
      </c>
      <c r="H21" s="826"/>
      <c r="I21" s="826"/>
      <c r="J21" s="826">
        <f t="shared" ref="J21" si="1">IF(M21=0,0,M21-G21)</f>
        <v>18990860613</v>
      </c>
      <c r="K21" s="826"/>
      <c r="L21" s="826"/>
      <c r="M21" s="826">
        <f>'خلاصه مالي صورت وضعیت'!G29</f>
        <v>47477151532</v>
      </c>
      <c r="N21" s="826"/>
      <c r="O21" s="826"/>
      <c r="P21" s="951" t="s">
        <v>795</v>
      </c>
      <c r="Q21" s="951"/>
      <c r="R21" s="952"/>
      <c r="S21" s="940"/>
      <c r="T21" s="940"/>
      <c r="U21" s="940"/>
      <c r="W21" s="378"/>
      <c r="X21" s="376"/>
      <c r="Y21" s="376"/>
      <c r="Z21" s="377"/>
    </row>
    <row r="22" spans="1:26" ht="12.95" customHeight="1">
      <c r="A22" s="822"/>
      <c r="B22" s="823"/>
      <c r="C22" s="823"/>
      <c r="D22" s="823"/>
      <c r="E22" s="823"/>
      <c r="F22" s="824"/>
      <c r="G22" s="941">
        <v>0</v>
      </c>
      <c r="H22" s="942"/>
      <c r="I22" s="942"/>
      <c r="J22" s="942">
        <f>IF(M22=0,0,M22-G22)</f>
        <v>0</v>
      </c>
      <c r="K22" s="942"/>
      <c r="L22" s="942"/>
      <c r="M22" s="942">
        <f>'خلاصه مالي صورت وضعیت'!H29</f>
        <v>0</v>
      </c>
      <c r="N22" s="942"/>
      <c r="O22" s="942"/>
      <c r="P22" s="945" t="s">
        <v>796</v>
      </c>
      <c r="Q22" s="945"/>
      <c r="R22" s="946"/>
      <c r="S22" s="940"/>
      <c r="T22" s="940"/>
      <c r="U22" s="940"/>
      <c r="W22" s="376"/>
      <c r="X22" s="376"/>
      <c r="Y22" s="376"/>
      <c r="Z22" s="377"/>
    </row>
    <row r="23" spans="1:26" ht="12.95" customHeight="1">
      <c r="A23" s="822"/>
      <c r="B23" s="823"/>
      <c r="C23" s="823"/>
      <c r="D23" s="823"/>
      <c r="E23" s="823"/>
      <c r="F23" s="824"/>
      <c r="G23" s="947"/>
      <c r="H23" s="948"/>
      <c r="I23" s="948"/>
      <c r="J23" s="948">
        <f t="shared" ref="J23" si="2">IF(M23=0,0,M23-G23)</f>
        <v>0</v>
      </c>
      <c r="K23" s="948"/>
      <c r="L23" s="948"/>
      <c r="M23" s="948">
        <f>'خلاصه مالي صورت وضعیت'!I29</f>
        <v>0</v>
      </c>
      <c r="N23" s="948"/>
      <c r="O23" s="948"/>
      <c r="P23" s="949" t="s">
        <v>797</v>
      </c>
      <c r="Q23" s="949"/>
      <c r="R23" s="950"/>
      <c r="S23" s="940"/>
      <c r="T23" s="940"/>
      <c r="U23" s="940"/>
      <c r="W23" s="378"/>
      <c r="X23" s="376"/>
      <c r="Y23" s="376"/>
      <c r="Z23" s="377"/>
    </row>
    <row r="24" spans="1:26" ht="12.95" customHeight="1">
      <c r="A24" s="822" t="s">
        <v>730</v>
      </c>
      <c r="B24" s="823" t="s">
        <v>800</v>
      </c>
      <c r="C24" s="823"/>
      <c r="D24" s="823"/>
      <c r="E24" s="823"/>
      <c r="F24" s="824"/>
      <c r="G24" s="825">
        <v>45144888612.5</v>
      </c>
      <c r="H24" s="826"/>
      <c r="I24" s="826"/>
      <c r="J24" s="826">
        <f t="shared" si="0"/>
        <v>6346628903.095993</v>
      </c>
      <c r="K24" s="826"/>
      <c r="L24" s="826"/>
      <c r="M24" s="826">
        <f>'خلاصه مالي صورت وضعیت'!G12+'خلاصه مالي صورت وضعیت'!G13+'خلاصه مالي صورت وضعیت'!G32</f>
        <v>51491517515.595993</v>
      </c>
      <c r="N24" s="826"/>
      <c r="O24" s="826"/>
      <c r="P24" s="951" t="s">
        <v>795</v>
      </c>
      <c r="Q24" s="951"/>
      <c r="R24" s="952"/>
      <c r="S24" s="940"/>
      <c r="T24" s="940"/>
      <c r="U24" s="940"/>
      <c r="W24" s="378"/>
      <c r="X24" s="376"/>
      <c r="Y24" s="376"/>
      <c r="Z24" s="377"/>
    </row>
    <row r="25" spans="1:26" ht="12.95" customHeight="1">
      <c r="A25" s="822"/>
      <c r="B25" s="823"/>
      <c r="C25" s="823"/>
      <c r="D25" s="823"/>
      <c r="E25" s="823"/>
      <c r="F25" s="824"/>
      <c r="G25" s="941">
        <v>34458003773.734001</v>
      </c>
      <c r="H25" s="942"/>
      <c r="I25" s="942"/>
      <c r="J25" s="942">
        <f>IF(M25=0,0,M25-G25)</f>
        <v>0</v>
      </c>
      <c r="K25" s="942"/>
      <c r="L25" s="942"/>
      <c r="M25" s="942">
        <f>'خلاصه مالي صورت وضعیت'!H12+'خلاصه مالي صورت وضعیت'!H13+'خلاصه مالي صورت وضعیت'!H32</f>
        <v>0</v>
      </c>
      <c r="N25" s="942"/>
      <c r="O25" s="942"/>
      <c r="P25" s="945" t="s">
        <v>796</v>
      </c>
      <c r="Q25" s="945"/>
      <c r="R25" s="946"/>
      <c r="S25" s="940"/>
      <c r="T25" s="940"/>
      <c r="U25" s="940"/>
      <c r="W25" s="376"/>
      <c r="X25" s="376"/>
      <c r="Y25" s="376"/>
      <c r="Z25" s="377"/>
    </row>
    <row r="26" spans="1:26" ht="12.75" customHeight="1">
      <c r="A26" s="822"/>
      <c r="B26" s="823"/>
      <c r="C26" s="823"/>
      <c r="D26" s="823"/>
      <c r="E26" s="823"/>
      <c r="F26" s="824"/>
      <c r="G26" s="947"/>
      <c r="H26" s="948"/>
      <c r="I26" s="948"/>
      <c r="J26" s="948">
        <f t="shared" si="0"/>
        <v>0</v>
      </c>
      <c r="K26" s="948"/>
      <c r="L26" s="948"/>
      <c r="M26" s="948"/>
      <c r="N26" s="948"/>
      <c r="O26" s="948"/>
      <c r="P26" s="949" t="s">
        <v>797</v>
      </c>
      <c r="Q26" s="949"/>
      <c r="R26" s="950"/>
      <c r="S26" s="940"/>
      <c r="T26" s="940"/>
      <c r="U26" s="940"/>
      <c r="W26" s="378"/>
      <c r="X26" s="376"/>
      <c r="Y26" s="376"/>
      <c r="Z26" s="377"/>
    </row>
    <row r="27" spans="1:26" ht="12.75" customHeight="1">
      <c r="A27" s="962" t="s">
        <v>730</v>
      </c>
      <c r="B27" s="965" t="s">
        <v>876</v>
      </c>
      <c r="C27" s="966"/>
      <c r="D27" s="966"/>
      <c r="E27" s="966"/>
      <c r="F27" s="967"/>
      <c r="G27" s="970">
        <v>0</v>
      </c>
      <c r="H27" s="971"/>
      <c r="I27" s="972"/>
      <c r="J27" s="973"/>
      <c r="K27" s="971"/>
      <c r="L27" s="972"/>
      <c r="M27" s="973">
        <f>'خلاصه مالي صورت وضعیت'!G31+'خلاصه مالي صورت وضعیت'!G33</f>
        <v>10777294363.788</v>
      </c>
      <c r="N27" s="971"/>
      <c r="O27" s="972"/>
      <c r="P27" s="849" t="s">
        <v>795</v>
      </c>
      <c r="Q27" s="850"/>
      <c r="R27" s="851"/>
      <c r="S27" s="827"/>
      <c r="T27" s="828"/>
      <c r="U27" s="829"/>
      <c r="W27" s="378"/>
      <c r="X27" s="376"/>
      <c r="Y27" s="376"/>
      <c r="Z27" s="377"/>
    </row>
    <row r="28" spans="1:26" ht="12.95" customHeight="1">
      <c r="A28" s="963"/>
      <c r="B28" s="958"/>
      <c r="C28" s="959"/>
      <c r="D28" s="959"/>
      <c r="E28" s="959"/>
      <c r="F28" s="968"/>
      <c r="G28" s="835">
        <v>0</v>
      </c>
      <c r="H28" s="836"/>
      <c r="I28" s="837"/>
      <c r="J28" s="838"/>
      <c r="K28" s="836"/>
      <c r="L28" s="837"/>
      <c r="M28" s="838">
        <f>'خلاصه مالي صورت وضعیت'!H31+'خلاصه مالي صورت وضعیت'!H33</f>
        <v>0</v>
      </c>
      <c r="N28" s="836"/>
      <c r="O28" s="837"/>
      <c r="P28" s="839" t="s">
        <v>796</v>
      </c>
      <c r="Q28" s="840"/>
      <c r="R28" s="841"/>
      <c r="S28" s="830"/>
      <c r="T28" s="734"/>
      <c r="U28" s="831"/>
      <c r="W28" s="378"/>
      <c r="X28" s="376"/>
      <c r="Y28" s="376"/>
      <c r="Z28" s="377"/>
    </row>
    <row r="29" spans="1:26" ht="12.75" customHeight="1">
      <c r="A29" s="964"/>
      <c r="B29" s="960"/>
      <c r="C29" s="961"/>
      <c r="D29" s="961"/>
      <c r="E29" s="961"/>
      <c r="F29" s="969"/>
      <c r="G29" s="842"/>
      <c r="H29" s="843"/>
      <c r="I29" s="844"/>
      <c r="J29" s="845"/>
      <c r="K29" s="843"/>
      <c r="L29" s="844"/>
      <c r="M29" s="845"/>
      <c r="N29" s="843"/>
      <c r="O29" s="844"/>
      <c r="P29" s="846" t="s">
        <v>797</v>
      </c>
      <c r="Q29" s="847"/>
      <c r="R29" s="848"/>
      <c r="S29" s="832"/>
      <c r="T29" s="833"/>
      <c r="U29" s="834"/>
      <c r="W29" s="378"/>
      <c r="X29" s="376"/>
      <c r="Y29" s="376"/>
      <c r="Z29" s="377"/>
    </row>
    <row r="30" spans="1:26" ht="12.95" customHeight="1">
      <c r="A30" s="822" t="s">
        <v>730</v>
      </c>
      <c r="B30" s="823" t="s">
        <v>821</v>
      </c>
      <c r="C30" s="823"/>
      <c r="D30" s="823"/>
      <c r="E30" s="823"/>
      <c r="F30" s="824"/>
      <c r="G30" s="825">
        <v>5980200895.0908079</v>
      </c>
      <c r="H30" s="826"/>
      <c r="I30" s="826"/>
      <c r="J30" s="816">
        <f>IF(M30=0,0,M30-G30)</f>
        <v>7184862.9091920853</v>
      </c>
      <c r="K30" s="817"/>
      <c r="L30" s="818"/>
      <c r="M30" s="826">
        <f>'خلاصه مالي صورت وضعیت'!G10</f>
        <v>5987385758</v>
      </c>
      <c r="N30" s="826"/>
      <c r="O30" s="826"/>
      <c r="P30" s="951" t="s">
        <v>795</v>
      </c>
      <c r="Q30" s="951"/>
      <c r="R30" s="952"/>
      <c r="S30" s="940"/>
      <c r="T30" s="940"/>
      <c r="U30" s="940"/>
      <c r="W30" s="378"/>
      <c r="X30" s="376"/>
      <c r="Y30" s="376"/>
      <c r="Z30" s="377"/>
    </row>
    <row r="31" spans="1:26" ht="12.95" customHeight="1">
      <c r="A31" s="822"/>
      <c r="B31" s="823"/>
      <c r="C31" s="823"/>
      <c r="D31" s="823"/>
      <c r="E31" s="823"/>
      <c r="F31" s="824"/>
      <c r="G31" s="941">
        <v>5879612814.3621197</v>
      </c>
      <c r="H31" s="942"/>
      <c r="I31" s="942"/>
      <c r="J31" s="942">
        <f>IF(M31=0,0,M31-G31)</f>
        <v>0</v>
      </c>
      <c r="K31" s="942"/>
      <c r="L31" s="942"/>
      <c r="M31" s="942">
        <f>'خلاصه مالي صورت وضعیت'!H10</f>
        <v>0</v>
      </c>
      <c r="N31" s="942"/>
      <c r="O31" s="942"/>
      <c r="P31" s="945" t="s">
        <v>796</v>
      </c>
      <c r="Q31" s="945"/>
      <c r="R31" s="946"/>
      <c r="S31" s="940"/>
      <c r="T31" s="940"/>
      <c r="U31" s="940"/>
      <c r="W31" s="378"/>
      <c r="X31" s="376"/>
      <c r="Y31" s="376"/>
      <c r="Z31" s="377"/>
    </row>
    <row r="32" spans="1:26" ht="12.95" customHeight="1">
      <c r="A32" s="822"/>
      <c r="B32" s="823"/>
      <c r="C32" s="823"/>
      <c r="D32" s="823"/>
      <c r="E32" s="823"/>
      <c r="F32" s="824"/>
      <c r="G32" s="947"/>
      <c r="H32" s="948"/>
      <c r="I32" s="948"/>
      <c r="J32" s="948"/>
      <c r="K32" s="948"/>
      <c r="L32" s="948"/>
      <c r="M32" s="948"/>
      <c r="N32" s="948"/>
      <c r="O32" s="948"/>
      <c r="P32" s="949" t="s">
        <v>797</v>
      </c>
      <c r="Q32" s="949"/>
      <c r="R32" s="950"/>
      <c r="S32" s="940"/>
      <c r="T32" s="940"/>
      <c r="U32" s="940"/>
      <c r="W32" s="378"/>
      <c r="X32" s="376"/>
      <c r="Y32" s="376"/>
      <c r="Z32" s="377"/>
    </row>
    <row r="33" spans="1:27" ht="12.95" hidden="1" customHeight="1">
      <c r="A33" s="806">
        <v>1</v>
      </c>
      <c r="B33" s="811" t="s">
        <v>801</v>
      </c>
      <c r="C33" s="742"/>
      <c r="D33" s="742"/>
      <c r="E33" s="742"/>
      <c r="F33" s="742"/>
      <c r="G33" s="978">
        <v>0</v>
      </c>
      <c r="H33" s="979"/>
      <c r="I33" s="979"/>
      <c r="J33" s="816">
        <f t="shared" si="0"/>
        <v>0</v>
      </c>
      <c r="K33" s="817"/>
      <c r="L33" s="818"/>
      <c r="M33" s="819">
        <f>SUMIF('خدمات اجرایی '!F:F,'summary-2'!A33,'خدمات اجرایی '!L:L)</f>
        <v>0</v>
      </c>
      <c r="N33" s="819"/>
      <c r="O33" s="819"/>
      <c r="P33" s="820" t="s">
        <v>795</v>
      </c>
      <c r="Q33" s="820"/>
      <c r="R33" s="821"/>
      <c r="S33" s="832"/>
      <c r="T33" s="833"/>
      <c r="U33" s="974"/>
      <c r="W33" s="376"/>
      <c r="X33" s="376"/>
      <c r="Y33" s="376"/>
      <c r="Z33" s="377"/>
    </row>
    <row r="34" spans="1:27" ht="12.95" hidden="1" customHeight="1">
      <c r="A34" s="807"/>
      <c r="B34" s="811"/>
      <c r="C34" s="742"/>
      <c r="D34" s="742"/>
      <c r="E34" s="742"/>
      <c r="F34" s="742"/>
      <c r="G34" s="925">
        <v>0</v>
      </c>
      <c r="H34" s="926"/>
      <c r="I34" s="926"/>
      <c r="J34" s="927">
        <f t="shared" si="0"/>
        <v>0</v>
      </c>
      <c r="K34" s="778"/>
      <c r="L34" s="928"/>
      <c r="M34" s="927">
        <f>SUMIF('خدمات اجرایی '!F:F,'summary-2'!A33,'خدمات اجرایی '!Q:Q)</f>
        <v>0</v>
      </c>
      <c r="N34" s="778"/>
      <c r="O34" s="928"/>
      <c r="P34" s="929" t="s">
        <v>796</v>
      </c>
      <c r="Q34" s="929"/>
      <c r="R34" s="975"/>
      <c r="S34" s="919"/>
      <c r="T34" s="920"/>
      <c r="U34" s="921"/>
      <c r="W34" s="378"/>
      <c r="X34" s="376"/>
      <c r="Y34" s="376"/>
      <c r="Z34" s="377"/>
    </row>
    <row r="35" spans="1:27" ht="12.95" hidden="1" customHeight="1">
      <c r="A35" s="808"/>
      <c r="B35" s="812"/>
      <c r="C35" s="813"/>
      <c r="D35" s="813"/>
      <c r="E35" s="813"/>
      <c r="F35" s="813"/>
      <c r="G35" s="976"/>
      <c r="H35" s="934"/>
      <c r="I35" s="935"/>
      <c r="J35" s="933">
        <f t="shared" si="0"/>
        <v>0</v>
      </c>
      <c r="K35" s="934"/>
      <c r="L35" s="935"/>
      <c r="M35" s="933"/>
      <c r="N35" s="934"/>
      <c r="O35" s="935"/>
      <c r="P35" s="943" t="s">
        <v>797</v>
      </c>
      <c r="Q35" s="943"/>
      <c r="R35" s="977"/>
      <c r="S35" s="919"/>
      <c r="T35" s="920"/>
      <c r="U35" s="921"/>
      <c r="W35" s="376"/>
      <c r="X35" s="376"/>
      <c r="Y35" s="376"/>
      <c r="Z35" s="377"/>
    </row>
    <row r="36" spans="1:27" ht="12.95" hidden="1" customHeight="1">
      <c r="A36" s="806">
        <v>2</v>
      </c>
      <c r="B36" s="809" t="s">
        <v>802</v>
      </c>
      <c r="C36" s="810"/>
      <c r="D36" s="810"/>
      <c r="E36" s="810"/>
      <c r="F36" s="810"/>
      <c r="G36" s="814">
        <v>0</v>
      </c>
      <c r="H36" s="815"/>
      <c r="I36" s="815"/>
      <c r="J36" s="816">
        <f t="shared" si="0"/>
        <v>0</v>
      </c>
      <c r="K36" s="817"/>
      <c r="L36" s="818"/>
      <c r="M36" s="819">
        <f>SUMIF('خدمات اجرایی '!F:F,'summary-2'!A36,'خدمات اجرایی '!L:L)</f>
        <v>0</v>
      </c>
      <c r="N36" s="819"/>
      <c r="O36" s="819"/>
      <c r="P36" s="820" t="s">
        <v>795</v>
      </c>
      <c r="Q36" s="820"/>
      <c r="R36" s="821"/>
      <c r="S36" s="919"/>
      <c r="T36" s="920"/>
      <c r="U36" s="921"/>
      <c r="W36" s="378"/>
      <c r="X36" s="376"/>
      <c r="Y36" s="358"/>
      <c r="Z36" s="377"/>
    </row>
    <row r="37" spans="1:27" ht="12.95" hidden="1" customHeight="1">
      <c r="A37" s="807"/>
      <c r="B37" s="811"/>
      <c r="C37" s="742"/>
      <c r="D37" s="742"/>
      <c r="E37" s="742"/>
      <c r="F37" s="742"/>
      <c r="G37" s="925">
        <v>0</v>
      </c>
      <c r="H37" s="926"/>
      <c r="I37" s="926"/>
      <c r="J37" s="927">
        <f t="shared" si="0"/>
        <v>0</v>
      </c>
      <c r="K37" s="778"/>
      <c r="L37" s="928"/>
      <c r="M37" s="927">
        <f>SUMIF('خدمات اجرایی '!F:F,'summary-2'!A36,'خدمات اجرایی '!Q:Q)</f>
        <v>0</v>
      </c>
      <c r="N37" s="778"/>
      <c r="O37" s="928"/>
      <c r="P37" s="929" t="s">
        <v>796</v>
      </c>
      <c r="Q37" s="929"/>
      <c r="R37" s="975"/>
      <c r="S37" s="919"/>
      <c r="T37" s="920"/>
      <c r="U37" s="921"/>
      <c r="W37" s="376"/>
      <c r="X37" s="376"/>
      <c r="Y37" s="358"/>
      <c r="Z37" s="377"/>
    </row>
    <row r="38" spans="1:27" ht="12.95" hidden="1" customHeight="1">
      <c r="A38" s="808"/>
      <c r="B38" s="812"/>
      <c r="C38" s="813"/>
      <c r="D38" s="813"/>
      <c r="E38" s="813"/>
      <c r="F38" s="813"/>
      <c r="G38" s="976"/>
      <c r="H38" s="934"/>
      <c r="I38" s="935"/>
      <c r="J38" s="933">
        <f t="shared" si="0"/>
        <v>0</v>
      </c>
      <c r="K38" s="934"/>
      <c r="L38" s="935"/>
      <c r="M38" s="932"/>
      <c r="N38" s="932"/>
      <c r="O38" s="932"/>
      <c r="P38" s="943" t="s">
        <v>797</v>
      </c>
      <c r="Q38" s="943"/>
      <c r="R38" s="977"/>
      <c r="S38" s="919"/>
      <c r="T38" s="920"/>
      <c r="U38" s="921"/>
      <c r="W38" s="378"/>
      <c r="X38" s="376"/>
      <c r="Y38" s="358"/>
      <c r="Z38" s="377"/>
    </row>
    <row r="39" spans="1:27" ht="12.95" customHeight="1">
      <c r="A39" s="806">
        <v>3</v>
      </c>
      <c r="B39" s="809" t="s">
        <v>803</v>
      </c>
      <c r="C39" s="810"/>
      <c r="D39" s="810"/>
      <c r="E39" s="810"/>
      <c r="F39" s="810"/>
      <c r="G39" s="814">
        <v>140083740936.29568</v>
      </c>
      <c r="H39" s="815"/>
      <c r="I39" s="815"/>
      <c r="J39" s="816">
        <f t="shared" si="0"/>
        <v>145170753.8237915</v>
      </c>
      <c r="K39" s="817"/>
      <c r="L39" s="818"/>
      <c r="M39" s="819">
        <f>SUMIF('خدمات اجرایی '!F:F,'summary-2'!A39,'خدمات اجرایی '!L:L)</f>
        <v>140228911690.11948</v>
      </c>
      <c r="N39" s="819"/>
      <c r="O39" s="819"/>
      <c r="P39" s="820" t="s">
        <v>795</v>
      </c>
      <c r="Q39" s="820"/>
      <c r="R39" s="821"/>
      <c r="S39" s="919"/>
      <c r="T39" s="920"/>
      <c r="U39" s="921"/>
      <c r="W39" s="376"/>
      <c r="X39" s="376"/>
      <c r="Y39" s="376"/>
      <c r="Z39" s="377"/>
    </row>
    <row r="40" spans="1:27" ht="12.95" customHeight="1">
      <c r="A40" s="807"/>
      <c r="B40" s="811"/>
      <c r="C40" s="742"/>
      <c r="D40" s="742"/>
      <c r="E40" s="742"/>
      <c r="F40" s="742"/>
      <c r="G40" s="925">
        <v>139972626456.61566</v>
      </c>
      <c r="H40" s="926"/>
      <c r="I40" s="926"/>
      <c r="J40" s="927">
        <f t="shared" si="0"/>
        <v>0</v>
      </c>
      <c r="K40" s="778"/>
      <c r="L40" s="928"/>
      <c r="M40" s="927">
        <f>SUMIF('خدمات اجرایی '!F:F,'summary-2'!A39,'خدمات اجرایی '!Q:Q)</f>
        <v>0</v>
      </c>
      <c r="N40" s="778"/>
      <c r="O40" s="928"/>
      <c r="P40" s="929" t="s">
        <v>796</v>
      </c>
      <c r="Q40" s="929"/>
      <c r="R40" s="975"/>
      <c r="S40" s="919"/>
      <c r="T40" s="920"/>
      <c r="U40" s="921"/>
      <c r="W40" s="378"/>
      <c r="X40" s="376"/>
      <c r="Y40" s="376"/>
      <c r="Z40" s="377"/>
    </row>
    <row r="41" spans="1:27" ht="12.95" customHeight="1">
      <c r="A41" s="808"/>
      <c r="B41" s="812"/>
      <c r="C41" s="813"/>
      <c r="D41" s="813"/>
      <c r="E41" s="813"/>
      <c r="F41" s="813"/>
      <c r="G41" s="976"/>
      <c r="H41" s="934"/>
      <c r="I41" s="935"/>
      <c r="J41" s="933">
        <f t="shared" si="0"/>
        <v>0</v>
      </c>
      <c r="K41" s="934"/>
      <c r="L41" s="935"/>
      <c r="M41" s="932"/>
      <c r="N41" s="932"/>
      <c r="O41" s="932"/>
      <c r="P41" s="943" t="s">
        <v>797</v>
      </c>
      <c r="Q41" s="943"/>
      <c r="R41" s="977"/>
      <c r="S41" s="919"/>
      <c r="T41" s="920"/>
      <c r="U41" s="921"/>
      <c r="W41" s="376"/>
      <c r="X41" s="376"/>
      <c r="Y41" s="376"/>
      <c r="Z41" s="377"/>
    </row>
    <row r="42" spans="1:27" s="359" customFormat="1" ht="12.95" customHeight="1">
      <c r="A42" s="806">
        <v>6</v>
      </c>
      <c r="B42" s="980" t="s">
        <v>804</v>
      </c>
      <c r="C42" s="981"/>
      <c r="D42" s="981"/>
      <c r="E42" s="981"/>
      <c r="F42" s="981"/>
      <c r="G42" s="982">
        <v>2542449959.5900002</v>
      </c>
      <c r="H42" s="817"/>
      <c r="I42" s="818"/>
      <c r="J42" s="816">
        <f t="shared" si="0"/>
        <v>0</v>
      </c>
      <c r="K42" s="817"/>
      <c r="L42" s="818"/>
      <c r="M42" s="819">
        <f>SUMIF('خدمات اجرایی '!F:F,'summary-2'!A42,'خدمات اجرایی '!L:L)</f>
        <v>2542449959.5900002</v>
      </c>
      <c r="N42" s="819"/>
      <c r="O42" s="819"/>
      <c r="P42" s="820" t="s">
        <v>795</v>
      </c>
      <c r="Q42" s="820"/>
      <c r="R42" s="821"/>
      <c r="S42" s="919"/>
      <c r="T42" s="920"/>
      <c r="U42" s="921"/>
      <c r="V42" s="358"/>
      <c r="W42" s="378"/>
      <c r="X42" s="379"/>
      <c r="Y42" s="376"/>
      <c r="Z42" s="377"/>
      <c r="AA42" s="375"/>
    </row>
    <row r="43" spans="1:27" s="359" customFormat="1" ht="12.95" customHeight="1">
      <c r="A43" s="807"/>
      <c r="B43" s="980"/>
      <c r="C43" s="981"/>
      <c r="D43" s="981"/>
      <c r="E43" s="981"/>
      <c r="F43" s="981"/>
      <c r="G43" s="777">
        <v>2483126127.1900001</v>
      </c>
      <c r="H43" s="778"/>
      <c r="I43" s="928"/>
      <c r="J43" s="927">
        <f t="shared" si="0"/>
        <v>0</v>
      </c>
      <c r="K43" s="778"/>
      <c r="L43" s="928"/>
      <c r="M43" s="927">
        <f>SUMIF('خدمات اجرایی '!F:F,'summary-2'!A42,'خدمات اجرایی '!Q:Q)</f>
        <v>0</v>
      </c>
      <c r="N43" s="778"/>
      <c r="O43" s="928"/>
      <c r="P43" s="929" t="s">
        <v>796</v>
      </c>
      <c r="Q43" s="929"/>
      <c r="R43" s="975"/>
      <c r="S43" s="919"/>
      <c r="T43" s="920"/>
      <c r="U43" s="921"/>
      <c r="V43" s="358"/>
      <c r="W43" s="376"/>
      <c r="X43" s="376"/>
      <c r="Y43" s="376"/>
      <c r="Z43" s="377"/>
      <c r="AA43" s="375"/>
    </row>
    <row r="44" spans="1:27" s="359" customFormat="1" ht="12.95" customHeight="1">
      <c r="A44" s="808"/>
      <c r="B44" s="980"/>
      <c r="C44" s="981"/>
      <c r="D44" s="981"/>
      <c r="E44" s="981"/>
      <c r="F44" s="981"/>
      <c r="G44" s="976"/>
      <c r="H44" s="934"/>
      <c r="I44" s="935"/>
      <c r="J44" s="933">
        <f t="shared" si="0"/>
        <v>0</v>
      </c>
      <c r="K44" s="934"/>
      <c r="L44" s="935"/>
      <c r="M44" s="932"/>
      <c r="N44" s="932"/>
      <c r="O44" s="932"/>
      <c r="P44" s="943" t="s">
        <v>797</v>
      </c>
      <c r="Q44" s="943"/>
      <c r="R44" s="977"/>
      <c r="S44" s="919"/>
      <c r="T44" s="920"/>
      <c r="U44" s="921"/>
      <c r="V44" s="358"/>
      <c r="W44" s="378"/>
      <c r="X44" s="376"/>
      <c r="Y44" s="376"/>
      <c r="Z44" s="377"/>
      <c r="AA44" s="375"/>
    </row>
    <row r="45" spans="1:27" s="361" customFormat="1" ht="12.95" customHeight="1">
      <c r="A45" s="806">
        <v>8</v>
      </c>
      <c r="B45" s="980" t="s">
        <v>805</v>
      </c>
      <c r="C45" s="981"/>
      <c r="D45" s="981"/>
      <c r="E45" s="981"/>
      <c r="F45" s="981"/>
      <c r="G45" s="814">
        <v>25424499588</v>
      </c>
      <c r="H45" s="815"/>
      <c r="I45" s="815"/>
      <c r="J45" s="816">
        <f t="shared" si="0"/>
        <v>0</v>
      </c>
      <c r="K45" s="817"/>
      <c r="L45" s="818"/>
      <c r="M45" s="819">
        <f>SUMIF('خدمات اجرایی '!F:F,'summary-2'!A45,'خدمات اجرایی '!L:L)</f>
        <v>25424499588</v>
      </c>
      <c r="N45" s="819"/>
      <c r="O45" s="819"/>
      <c r="P45" s="820" t="s">
        <v>795</v>
      </c>
      <c r="Q45" s="820"/>
      <c r="R45" s="821"/>
      <c r="S45" s="919"/>
      <c r="T45" s="920"/>
      <c r="U45" s="921"/>
      <c r="V45" s="358"/>
      <c r="W45" s="376"/>
      <c r="X45" s="376"/>
      <c r="Y45" s="376"/>
      <c r="Z45" s="377"/>
      <c r="AA45" s="375"/>
    </row>
    <row r="46" spans="1:27" s="361" customFormat="1" ht="12.95" customHeight="1">
      <c r="A46" s="807"/>
      <c r="B46" s="980"/>
      <c r="C46" s="981"/>
      <c r="D46" s="981"/>
      <c r="E46" s="981"/>
      <c r="F46" s="981"/>
      <c r="G46" s="925">
        <v>25255002924.080002</v>
      </c>
      <c r="H46" s="926"/>
      <c r="I46" s="926"/>
      <c r="J46" s="927">
        <f t="shared" si="0"/>
        <v>0</v>
      </c>
      <c r="K46" s="778"/>
      <c r="L46" s="928"/>
      <c r="M46" s="927">
        <f>SUMIF('خدمات اجرایی '!F:F,'summary-2'!A45,'خدمات اجرایی '!Q:Q)</f>
        <v>0</v>
      </c>
      <c r="N46" s="778"/>
      <c r="O46" s="928"/>
      <c r="P46" s="929" t="s">
        <v>796</v>
      </c>
      <c r="Q46" s="929"/>
      <c r="R46" s="975"/>
      <c r="S46" s="919"/>
      <c r="T46" s="920"/>
      <c r="U46" s="921"/>
      <c r="V46" s="358"/>
      <c r="W46" s="378"/>
      <c r="X46" s="376"/>
      <c r="Y46" s="376"/>
      <c r="Z46" s="377"/>
      <c r="AA46" s="375"/>
    </row>
    <row r="47" spans="1:27" s="361" customFormat="1" ht="12.95" customHeight="1">
      <c r="A47" s="808"/>
      <c r="B47" s="980"/>
      <c r="C47" s="981"/>
      <c r="D47" s="981"/>
      <c r="E47" s="981"/>
      <c r="F47" s="981"/>
      <c r="G47" s="976"/>
      <c r="H47" s="934"/>
      <c r="I47" s="935"/>
      <c r="J47" s="933">
        <f t="shared" si="0"/>
        <v>0</v>
      </c>
      <c r="K47" s="934"/>
      <c r="L47" s="935"/>
      <c r="M47" s="932"/>
      <c r="N47" s="932"/>
      <c r="O47" s="932"/>
      <c r="P47" s="943" t="s">
        <v>797</v>
      </c>
      <c r="Q47" s="943"/>
      <c r="R47" s="977"/>
      <c r="S47" s="919"/>
      <c r="T47" s="920"/>
      <c r="U47" s="921"/>
      <c r="V47" s="358"/>
      <c r="W47" s="376"/>
      <c r="X47" s="376"/>
      <c r="Y47" s="376"/>
      <c r="Z47" s="377"/>
      <c r="AA47" s="375"/>
    </row>
    <row r="48" spans="1:27" ht="12.95" customHeight="1">
      <c r="A48" s="806">
        <v>9</v>
      </c>
      <c r="B48" s="980" t="s">
        <v>806</v>
      </c>
      <c r="C48" s="981"/>
      <c r="D48" s="981"/>
      <c r="E48" s="981"/>
      <c r="F48" s="981"/>
      <c r="G48" s="814">
        <v>50848999176</v>
      </c>
      <c r="H48" s="815"/>
      <c r="I48" s="815"/>
      <c r="J48" s="816">
        <f t="shared" si="0"/>
        <v>0</v>
      </c>
      <c r="K48" s="817"/>
      <c r="L48" s="818"/>
      <c r="M48" s="819">
        <f>SUMIF('خدمات اجرایی '!F:F,'summary-2'!A48,'خدمات اجرایی '!L:L)</f>
        <v>50848999176</v>
      </c>
      <c r="N48" s="819"/>
      <c r="O48" s="819"/>
      <c r="P48" s="820" t="s">
        <v>795</v>
      </c>
      <c r="Q48" s="820"/>
      <c r="R48" s="821"/>
      <c r="S48" s="919"/>
      <c r="T48" s="920"/>
      <c r="U48" s="921"/>
      <c r="W48" s="378"/>
      <c r="X48" s="376"/>
      <c r="Y48" s="376"/>
      <c r="Z48" s="377"/>
    </row>
    <row r="49" spans="1:26" ht="12.95" customHeight="1">
      <c r="A49" s="807"/>
      <c r="B49" s="980" t="s">
        <v>806</v>
      </c>
      <c r="C49" s="981"/>
      <c r="D49" s="981"/>
      <c r="E49" s="981"/>
      <c r="F49" s="981"/>
      <c r="G49" s="925">
        <v>50510005848.160004</v>
      </c>
      <c r="H49" s="926"/>
      <c r="I49" s="926"/>
      <c r="J49" s="927">
        <f>IF(M49=0,0,M49-G49)</f>
        <v>0</v>
      </c>
      <c r="K49" s="778"/>
      <c r="L49" s="928"/>
      <c r="M49" s="927">
        <f>SUMIF('خدمات اجرایی '!F:F,'summary-2'!A48,'خدمات اجرایی '!Q:Q)</f>
        <v>0</v>
      </c>
      <c r="N49" s="778"/>
      <c r="O49" s="928"/>
      <c r="P49" s="929" t="s">
        <v>796</v>
      </c>
      <c r="Q49" s="929"/>
      <c r="R49" s="975"/>
      <c r="S49" s="919"/>
      <c r="T49" s="920"/>
      <c r="U49" s="921"/>
      <c r="W49" s="376"/>
      <c r="X49" s="376"/>
      <c r="Y49" s="376"/>
      <c r="Z49" s="377"/>
    </row>
    <row r="50" spans="1:26" ht="12.95" customHeight="1">
      <c r="A50" s="808"/>
      <c r="B50" s="980" t="s">
        <v>806</v>
      </c>
      <c r="C50" s="981"/>
      <c r="D50" s="981"/>
      <c r="E50" s="981"/>
      <c r="F50" s="981"/>
      <c r="G50" s="976"/>
      <c r="H50" s="934"/>
      <c r="I50" s="935"/>
      <c r="J50" s="933">
        <f t="shared" si="0"/>
        <v>0</v>
      </c>
      <c r="K50" s="934"/>
      <c r="L50" s="935"/>
      <c r="M50" s="932"/>
      <c r="N50" s="932"/>
      <c r="O50" s="932"/>
      <c r="P50" s="943" t="s">
        <v>797</v>
      </c>
      <c r="Q50" s="943"/>
      <c r="R50" s="977"/>
      <c r="S50" s="919"/>
      <c r="T50" s="920"/>
      <c r="U50" s="921"/>
      <c r="W50" s="378"/>
      <c r="X50" s="376"/>
      <c r="Y50" s="376"/>
      <c r="Z50" s="377"/>
    </row>
    <row r="51" spans="1:26" ht="12.95" customHeight="1">
      <c r="A51" s="806">
        <v>11</v>
      </c>
      <c r="B51" s="980" t="s">
        <v>807</v>
      </c>
      <c r="C51" s="981"/>
      <c r="D51" s="981"/>
      <c r="E51" s="981"/>
      <c r="F51" s="981"/>
      <c r="G51" s="814">
        <v>6327875452.8299999</v>
      </c>
      <c r="H51" s="815"/>
      <c r="I51" s="815"/>
      <c r="J51" s="816">
        <f t="shared" si="0"/>
        <v>1581968863.2299995</v>
      </c>
      <c r="K51" s="817"/>
      <c r="L51" s="818"/>
      <c r="M51" s="819">
        <f>SUMIF('خدمات اجرایی '!F:F,'summary-2'!A51,'خدمات اجرایی '!L:L)</f>
        <v>7909844316.0599995</v>
      </c>
      <c r="N51" s="819"/>
      <c r="O51" s="819"/>
      <c r="P51" s="820" t="s">
        <v>795</v>
      </c>
      <c r="Q51" s="820"/>
      <c r="R51" s="821"/>
      <c r="S51" s="919"/>
      <c r="T51" s="920"/>
      <c r="U51" s="921"/>
      <c r="W51" s="376"/>
      <c r="X51" s="376"/>
      <c r="Y51" s="376"/>
      <c r="Z51" s="377"/>
    </row>
    <row r="52" spans="1:26" ht="12.95" customHeight="1">
      <c r="A52" s="807"/>
      <c r="B52" s="980" t="s">
        <v>806</v>
      </c>
      <c r="C52" s="981"/>
      <c r="D52" s="981"/>
      <c r="E52" s="981"/>
      <c r="F52" s="981"/>
      <c r="G52" s="925">
        <v>527322954.40600002</v>
      </c>
      <c r="H52" s="926"/>
      <c r="I52" s="926"/>
      <c r="J52" s="927">
        <f t="shared" si="0"/>
        <v>0</v>
      </c>
      <c r="K52" s="778"/>
      <c r="L52" s="928"/>
      <c r="M52" s="927">
        <f>SUMIF('خدمات اجرایی '!F:F,'summary-2'!A51,'خدمات اجرایی '!Q:Q)</f>
        <v>0</v>
      </c>
      <c r="N52" s="778"/>
      <c r="O52" s="928"/>
      <c r="P52" s="929" t="s">
        <v>796</v>
      </c>
      <c r="Q52" s="929"/>
      <c r="R52" s="975"/>
      <c r="S52" s="919"/>
      <c r="T52" s="920"/>
      <c r="U52" s="921"/>
      <c r="W52" s="378"/>
      <c r="X52" s="376"/>
      <c r="Y52" s="376"/>
      <c r="Z52" s="377"/>
    </row>
    <row r="53" spans="1:26" ht="12.95" customHeight="1">
      <c r="A53" s="808"/>
      <c r="B53" s="980" t="s">
        <v>806</v>
      </c>
      <c r="C53" s="981"/>
      <c r="D53" s="981"/>
      <c r="E53" s="981"/>
      <c r="F53" s="981"/>
      <c r="G53" s="976"/>
      <c r="H53" s="934"/>
      <c r="I53" s="935"/>
      <c r="J53" s="933">
        <f t="shared" si="0"/>
        <v>0</v>
      </c>
      <c r="K53" s="934"/>
      <c r="L53" s="935"/>
      <c r="M53" s="932"/>
      <c r="N53" s="932"/>
      <c r="O53" s="932"/>
      <c r="P53" s="943" t="s">
        <v>797</v>
      </c>
      <c r="Q53" s="943"/>
      <c r="R53" s="977"/>
      <c r="S53" s="919"/>
      <c r="T53" s="920"/>
      <c r="U53" s="921"/>
      <c r="W53" s="376"/>
      <c r="X53" s="376"/>
      <c r="Y53" s="376"/>
      <c r="Z53" s="377"/>
    </row>
    <row r="54" spans="1:26" ht="12.95" customHeight="1">
      <c r="A54" s="806">
        <v>12</v>
      </c>
      <c r="B54" s="980" t="s">
        <v>808</v>
      </c>
      <c r="C54" s="981"/>
      <c r="D54" s="981"/>
      <c r="E54" s="981"/>
      <c r="F54" s="981"/>
      <c r="G54" s="814">
        <v>16102183072.400002</v>
      </c>
      <c r="H54" s="815"/>
      <c r="I54" s="815"/>
      <c r="J54" s="816">
        <f t="shared" si="0"/>
        <v>0</v>
      </c>
      <c r="K54" s="817"/>
      <c r="L54" s="818"/>
      <c r="M54" s="819">
        <f>'خدمات اجرایی '!L24*0.2+'خدمات اجرایی '!L93*0.8+'خدمات اجرایی '!L162*0.9</f>
        <v>16102183072.400002</v>
      </c>
      <c r="N54" s="819"/>
      <c r="O54" s="819"/>
      <c r="P54" s="820" t="s">
        <v>795</v>
      </c>
      <c r="Q54" s="820"/>
      <c r="R54" s="821"/>
      <c r="S54" s="919"/>
      <c r="T54" s="920"/>
      <c r="U54" s="921"/>
      <c r="W54" s="378"/>
      <c r="X54" s="376"/>
      <c r="Y54" s="376"/>
      <c r="Z54" s="377"/>
    </row>
    <row r="55" spans="1:26" ht="12.95" customHeight="1">
      <c r="A55" s="807"/>
      <c r="B55" s="980" t="s">
        <v>808</v>
      </c>
      <c r="C55" s="981"/>
      <c r="D55" s="981"/>
      <c r="E55" s="981"/>
      <c r="F55" s="981"/>
      <c r="G55" s="925">
        <v>16068283739.616001</v>
      </c>
      <c r="H55" s="926"/>
      <c r="I55" s="926"/>
      <c r="J55" s="927">
        <f t="shared" si="0"/>
        <v>0</v>
      </c>
      <c r="K55" s="778"/>
      <c r="L55" s="928"/>
      <c r="M55" s="927">
        <f>'خدمات اجرایی '!Q24*0.2+'خدمات اجرایی '!Q93*0.8+'خدمات اجرایی '!Q162*0.9</f>
        <v>0</v>
      </c>
      <c r="N55" s="778"/>
      <c r="O55" s="928"/>
      <c r="P55" s="929" t="s">
        <v>796</v>
      </c>
      <c r="Q55" s="929"/>
      <c r="R55" s="975"/>
      <c r="S55" s="919"/>
      <c r="T55" s="920"/>
      <c r="U55" s="921"/>
      <c r="W55" s="402"/>
      <c r="X55" s="403"/>
      <c r="Y55" s="376"/>
      <c r="Z55" s="377"/>
    </row>
    <row r="56" spans="1:26" ht="12.95" customHeight="1">
      <c r="A56" s="808"/>
      <c r="B56" s="980" t="s">
        <v>808</v>
      </c>
      <c r="C56" s="981"/>
      <c r="D56" s="981"/>
      <c r="E56" s="981"/>
      <c r="F56" s="981"/>
      <c r="G56" s="976"/>
      <c r="H56" s="934"/>
      <c r="I56" s="935"/>
      <c r="J56" s="933">
        <f t="shared" si="0"/>
        <v>0</v>
      </c>
      <c r="K56" s="934"/>
      <c r="L56" s="935"/>
      <c r="M56" s="932"/>
      <c r="N56" s="932"/>
      <c r="O56" s="932"/>
      <c r="P56" s="943" t="s">
        <v>797</v>
      </c>
      <c r="Q56" s="943"/>
      <c r="R56" s="977"/>
      <c r="S56" s="919"/>
      <c r="T56" s="920"/>
      <c r="U56" s="921"/>
      <c r="W56" s="378"/>
      <c r="X56" s="376"/>
      <c r="Y56" s="376"/>
      <c r="Z56" s="377"/>
    </row>
    <row r="57" spans="1:26" ht="12.95" customHeight="1">
      <c r="A57" s="806">
        <v>13</v>
      </c>
      <c r="B57" s="980" t="s">
        <v>809</v>
      </c>
      <c r="C57" s="981"/>
      <c r="D57" s="981"/>
      <c r="E57" s="981"/>
      <c r="F57" s="981"/>
      <c r="G57" s="814">
        <v>88591328056.058533</v>
      </c>
      <c r="H57" s="815"/>
      <c r="I57" s="815"/>
      <c r="J57" s="816">
        <f t="shared" si="0"/>
        <v>-43537840741.012596</v>
      </c>
      <c r="K57" s="817"/>
      <c r="L57" s="818"/>
      <c r="M57" s="819">
        <f>SUMIF('خدمات تامین'!F:F,'summary-2'!A57,'خدمات تامین'!L:L)+'خدمات اجرایی '!L24*0.8+'خدمات اجرایی '!L93*0.2+'خدمات اجرایی '!L162*0.1</f>
        <v>45053487315.045937</v>
      </c>
      <c r="N57" s="819"/>
      <c r="O57" s="819"/>
      <c r="P57" s="820" t="s">
        <v>795</v>
      </c>
      <c r="Q57" s="820"/>
      <c r="R57" s="821"/>
      <c r="S57" s="919"/>
      <c r="T57" s="920"/>
      <c r="U57" s="921"/>
      <c r="W57" s="398"/>
      <c r="X57" s="399"/>
      <c r="Y57" s="376"/>
      <c r="Z57" s="377"/>
    </row>
    <row r="58" spans="1:26" ht="12.95" customHeight="1">
      <c r="A58" s="807"/>
      <c r="B58" s="980" t="s">
        <v>809</v>
      </c>
      <c r="C58" s="981"/>
      <c r="D58" s="981"/>
      <c r="E58" s="981"/>
      <c r="F58" s="981"/>
      <c r="G58" s="925">
        <v>50850167571.381096</v>
      </c>
      <c r="H58" s="926"/>
      <c r="I58" s="926"/>
      <c r="J58" s="927">
        <f t="shared" si="0"/>
        <v>0</v>
      </c>
      <c r="K58" s="778"/>
      <c r="L58" s="928"/>
      <c r="M58" s="927">
        <f>SUMIF('خدمات تامین'!F:F,'summary-2'!A57,'خدمات تامین'!Q:Q)+'خدمات اجرایی '!Q24*0.8+'خدمات اجرایی '!Q93*0.2+'خدمات اجرایی '!Q162*0.1</f>
        <v>0</v>
      </c>
      <c r="N58" s="778"/>
      <c r="O58" s="928"/>
      <c r="P58" s="929" t="s">
        <v>796</v>
      </c>
      <c r="Q58" s="929"/>
      <c r="R58" s="975"/>
      <c r="S58" s="919"/>
      <c r="T58" s="920"/>
      <c r="U58" s="921"/>
      <c r="W58" s="400"/>
      <c r="X58" s="401"/>
      <c r="Y58" s="376"/>
      <c r="Z58" s="377"/>
    </row>
    <row r="59" spans="1:26" ht="12.95" customHeight="1">
      <c r="A59" s="808"/>
      <c r="B59" s="980" t="s">
        <v>809</v>
      </c>
      <c r="C59" s="981"/>
      <c r="D59" s="981"/>
      <c r="E59" s="981"/>
      <c r="F59" s="981"/>
      <c r="G59" s="976"/>
      <c r="H59" s="934"/>
      <c r="I59" s="935"/>
      <c r="J59" s="933">
        <f t="shared" si="0"/>
        <v>0</v>
      </c>
      <c r="K59" s="934"/>
      <c r="L59" s="935"/>
      <c r="M59" s="932"/>
      <c r="N59" s="932"/>
      <c r="O59" s="932"/>
      <c r="P59" s="943" t="s">
        <v>797</v>
      </c>
      <c r="Q59" s="943"/>
      <c r="R59" s="977"/>
      <c r="S59" s="919"/>
      <c r="T59" s="920"/>
      <c r="U59" s="921"/>
      <c r="W59" s="376"/>
      <c r="X59" s="376"/>
      <c r="Y59" s="376"/>
      <c r="Z59" s="377"/>
    </row>
    <row r="60" spans="1:26" ht="12.95" customHeight="1">
      <c r="A60" s="806">
        <v>14</v>
      </c>
      <c r="B60" s="980" t="s">
        <v>810</v>
      </c>
      <c r="C60" s="981"/>
      <c r="D60" s="981"/>
      <c r="E60" s="981"/>
      <c r="F60" s="981"/>
      <c r="G60" s="814">
        <v>166789417297.28833</v>
      </c>
      <c r="H60" s="815"/>
      <c r="I60" s="815"/>
      <c r="J60" s="816">
        <f t="shared" si="0"/>
        <v>-46072723836.833801</v>
      </c>
      <c r="K60" s="817"/>
      <c r="L60" s="818"/>
      <c r="M60" s="819">
        <f>SUMIF('خدمات اجرایی '!F:F,'summary-2'!A60,'خدمات اجرایی '!L:L)</f>
        <v>120716693460.45453</v>
      </c>
      <c r="N60" s="819"/>
      <c r="O60" s="819"/>
      <c r="P60" s="820" t="s">
        <v>795</v>
      </c>
      <c r="Q60" s="820"/>
      <c r="R60" s="821"/>
      <c r="S60" s="919"/>
      <c r="T60" s="920"/>
      <c r="U60" s="921"/>
      <c r="W60" s="376"/>
      <c r="X60" s="376"/>
      <c r="Y60" s="376"/>
      <c r="Z60" s="377"/>
    </row>
    <row r="61" spans="1:26" ht="12.95" customHeight="1">
      <c r="A61" s="807"/>
      <c r="B61" s="980" t="s">
        <v>810</v>
      </c>
      <c r="C61" s="981"/>
      <c r="D61" s="981"/>
      <c r="E61" s="981"/>
      <c r="F61" s="981"/>
      <c r="G61" s="925">
        <v>108825638005.62637</v>
      </c>
      <c r="H61" s="926"/>
      <c r="I61" s="926"/>
      <c r="J61" s="927">
        <f t="shared" si="0"/>
        <v>0</v>
      </c>
      <c r="K61" s="778"/>
      <c r="L61" s="928"/>
      <c r="M61" s="927">
        <f>SUMIF('خدمات اجرایی '!F:F,'summary-2'!A60,'خدمات اجرایی '!Q:Q)</f>
        <v>0</v>
      </c>
      <c r="N61" s="778"/>
      <c r="O61" s="928"/>
      <c r="P61" s="929" t="s">
        <v>796</v>
      </c>
      <c r="Q61" s="929"/>
      <c r="R61" s="975"/>
      <c r="S61" s="919"/>
      <c r="T61" s="920"/>
      <c r="U61" s="921"/>
      <c r="W61" s="376"/>
      <c r="X61" s="376"/>
      <c r="Y61" s="376"/>
      <c r="Z61" s="377"/>
    </row>
    <row r="62" spans="1:26" ht="12.95" customHeight="1">
      <c r="A62" s="808"/>
      <c r="B62" s="980" t="s">
        <v>810</v>
      </c>
      <c r="C62" s="981"/>
      <c r="D62" s="981"/>
      <c r="E62" s="981"/>
      <c r="F62" s="981"/>
      <c r="G62" s="976"/>
      <c r="H62" s="934"/>
      <c r="I62" s="935"/>
      <c r="J62" s="933">
        <f t="shared" si="0"/>
        <v>0</v>
      </c>
      <c r="K62" s="934"/>
      <c r="L62" s="935"/>
      <c r="M62" s="932"/>
      <c r="N62" s="932"/>
      <c r="O62" s="932"/>
      <c r="P62" s="943" t="s">
        <v>797</v>
      </c>
      <c r="Q62" s="943"/>
      <c r="R62" s="977"/>
      <c r="S62" s="919"/>
      <c r="T62" s="920"/>
      <c r="U62" s="921"/>
      <c r="W62" s="376"/>
      <c r="X62" s="376"/>
      <c r="Y62" s="376"/>
      <c r="Z62" s="377"/>
    </row>
    <row r="63" spans="1:26" ht="12.95" customHeight="1">
      <c r="A63" s="806">
        <v>16</v>
      </c>
      <c r="B63" s="980" t="s">
        <v>639</v>
      </c>
      <c r="C63" s="981"/>
      <c r="D63" s="981"/>
      <c r="E63" s="981"/>
      <c r="F63" s="981"/>
      <c r="G63" s="982">
        <v>1412472198.4400001</v>
      </c>
      <c r="H63" s="817"/>
      <c r="I63" s="818"/>
      <c r="J63" s="816">
        <f t="shared" si="0"/>
        <v>0</v>
      </c>
      <c r="K63" s="817"/>
      <c r="L63" s="818"/>
      <c r="M63" s="819">
        <f>SUMIF('خدمات اجرایی '!F:F,'summary-2'!A63,'خدمات اجرایی '!L:L)</f>
        <v>1412472198.4400001</v>
      </c>
      <c r="N63" s="819"/>
      <c r="O63" s="819"/>
      <c r="P63" s="820" t="s">
        <v>795</v>
      </c>
      <c r="Q63" s="820"/>
      <c r="R63" s="821"/>
      <c r="S63" s="919"/>
      <c r="T63" s="920"/>
      <c r="U63" s="921"/>
      <c r="W63" s="376"/>
      <c r="X63" s="376"/>
      <c r="Y63" s="376"/>
      <c r="Z63" s="377"/>
    </row>
    <row r="64" spans="1:26" ht="12.95" customHeight="1">
      <c r="A64" s="807"/>
      <c r="B64" s="980" t="s">
        <v>639</v>
      </c>
      <c r="C64" s="981"/>
      <c r="D64" s="981"/>
      <c r="E64" s="981"/>
      <c r="F64" s="981"/>
      <c r="G64" s="777">
        <v>1403055717.1200001</v>
      </c>
      <c r="H64" s="778"/>
      <c r="I64" s="928"/>
      <c r="J64" s="927">
        <f t="shared" si="0"/>
        <v>0</v>
      </c>
      <c r="K64" s="778"/>
      <c r="L64" s="928"/>
      <c r="M64" s="927">
        <f>SUMIF('خدمات اجرایی '!F:F,'summary-2'!A63,'خدمات اجرایی '!Q:Q)</f>
        <v>0</v>
      </c>
      <c r="N64" s="778"/>
      <c r="O64" s="928"/>
      <c r="P64" s="929" t="s">
        <v>796</v>
      </c>
      <c r="Q64" s="929"/>
      <c r="R64" s="975"/>
      <c r="S64" s="919"/>
      <c r="T64" s="920"/>
      <c r="U64" s="921"/>
      <c r="W64" s="376"/>
      <c r="X64" s="376"/>
      <c r="Y64" s="376"/>
      <c r="Z64" s="377"/>
    </row>
    <row r="65" spans="1:26" ht="12.95" customHeight="1">
      <c r="A65" s="808"/>
      <c r="B65" s="980" t="s">
        <v>639</v>
      </c>
      <c r="C65" s="981"/>
      <c r="D65" s="981"/>
      <c r="E65" s="981"/>
      <c r="F65" s="981"/>
      <c r="G65" s="976"/>
      <c r="H65" s="934"/>
      <c r="I65" s="935"/>
      <c r="J65" s="933">
        <f t="shared" si="0"/>
        <v>0</v>
      </c>
      <c r="K65" s="934"/>
      <c r="L65" s="935"/>
      <c r="M65" s="932"/>
      <c r="N65" s="932"/>
      <c r="O65" s="932"/>
      <c r="P65" s="943" t="s">
        <v>797</v>
      </c>
      <c r="Q65" s="943"/>
      <c r="R65" s="977"/>
      <c r="S65" s="919"/>
      <c r="T65" s="920"/>
      <c r="U65" s="921"/>
      <c r="W65" s="376"/>
      <c r="X65" s="376"/>
      <c r="Y65" s="376"/>
      <c r="Z65" s="377"/>
    </row>
    <row r="66" spans="1:26" ht="12.95" hidden="1" customHeight="1">
      <c r="A66" s="806">
        <v>19</v>
      </c>
      <c r="B66" s="980" t="s">
        <v>811</v>
      </c>
      <c r="C66" s="981"/>
      <c r="D66" s="981"/>
      <c r="E66" s="981"/>
      <c r="F66" s="981"/>
      <c r="G66" s="814">
        <v>0</v>
      </c>
      <c r="H66" s="815"/>
      <c r="I66" s="815"/>
      <c r="J66" s="816">
        <f t="shared" si="0"/>
        <v>0</v>
      </c>
      <c r="K66" s="817"/>
      <c r="L66" s="818"/>
      <c r="M66" s="819">
        <f>SUMIF('خدمات اجرایی '!F:F,'summary-2'!A66,'خدمات اجرایی '!L:L)</f>
        <v>0</v>
      </c>
      <c r="N66" s="819"/>
      <c r="O66" s="819"/>
      <c r="P66" s="820" t="s">
        <v>795</v>
      </c>
      <c r="Q66" s="820"/>
      <c r="R66" s="821"/>
      <c r="S66" s="919"/>
      <c r="T66" s="920"/>
      <c r="U66" s="921"/>
      <c r="W66" s="376"/>
      <c r="X66" s="376"/>
      <c r="Y66" s="376"/>
      <c r="Z66" s="377"/>
    </row>
    <row r="67" spans="1:26" ht="12.95" hidden="1" customHeight="1">
      <c r="A67" s="807"/>
      <c r="B67" s="980"/>
      <c r="C67" s="981"/>
      <c r="D67" s="981"/>
      <c r="E67" s="981"/>
      <c r="F67" s="981"/>
      <c r="G67" s="925">
        <v>0</v>
      </c>
      <c r="H67" s="926"/>
      <c r="I67" s="926"/>
      <c r="J67" s="927">
        <f t="shared" si="0"/>
        <v>0</v>
      </c>
      <c r="K67" s="778"/>
      <c r="L67" s="928"/>
      <c r="M67" s="927">
        <f>SUMIF('خدمات اجرایی '!F:F,'summary-2'!A66,'خدمات اجرایی '!Q:Q)</f>
        <v>0</v>
      </c>
      <c r="N67" s="778"/>
      <c r="O67" s="928"/>
      <c r="P67" s="929" t="s">
        <v>796</v>
      </c>
      <c r="Q67" s="929"/>
      <c r="R67" s="975"/>
      <c r="S67" s="919"/>
      <c r="T67" s="920"/>
      <c r="U67" s="921"/>
      <c r="W67" s="376"/>
      <c r="X67" s="376"/>
      <c r="Y67" s="376"/>
      <c r="Z67" s="377"/>
    </row>
    <row r="68" spans="1:26" ht="12.95" hidden="1" customHeight="1">
      <c r="A68" s="808"/>
      <c r="B68" s="980"/>
      <c r="C68" s="981"/>
      <c r="D68" s="981"/>
      <c r="E68" s="981"/>
      <c r="F68" s="981"/>
      <c r="G68" s="976"/>
      <c r="H68" s="934"/>
      <c r="I68" s="935"/>
      <c r="J68" s="933">
        <f t="shared" si="0"/>
        <v>0</v>
      </c>
      <c r="K68" s="934"/>
      <c r="L68" s="935"/>
      <c r="M68" s="932"/>
      <c r="N68" s="932"/>
      <c r="O68" s="932"/>
      <c r="P68" s="943" t="s">
        <v>797</v>
      </c>
      <c r="Q68" s="943"/>
      <c r="R68" s="977"/>
      <c r="S68" s="919"/>
      <c r="T68" s="920"/>
      <c r="U68" s="921"/>
      <c r="W68" s="376"/>
      <c r="X68" s="376"/>
      <c r="Y68" s="376"/>
      <c r="Z68" s="377"/>
    </row>
    <row r="69" spans="1:26" ht="12.95" customHeight="1">
      <c r="A69" s="806">
        <v>20</v>
      </c>
      <c r="B69" s="980" t="s">
        <v>812</v>
      </c>
      <c r="C69" s="981"/>
      <c r="D69" s="981"/>
      <c r="E69" s="981"/>
      <c r="F69" s="981"/>
      <c r="G69" s="814">
        <v>3954922158.0299997</v>
      </c>
      <c r="H69" s="815"/>
      <c r="I69" s="815"/>
      <c r="J69" s="816">
        <f t="shared" si="0"/>
        <v>0</v>
      </c>
      <c r="K69" s="817"/>
      <c r="L69" s="818"/>
      <c r="M69" s="819">
        <f>SUMIF('خدمات اجرایی '!F:F,'summary-2'!A69,'خدمات اجرایی '!L:L)</f>
        <v>3954922158.0299997</v>
      </c>
      <c r="N69" s="819"/>
      <c r="O69" s="819"/>
      <c r="P69" s="820" t="s">
        <v>795</v>
      </c>
      <c r="Q69" s="820"/>
      <c r="R69" s="821"/>
      <c r="S69" s="919"/>
      <c r="T69" s="920"/>
      <c r="U69" s="921"/>
      <c r="W69" s="376"/>
      <c r="X69" s="376"/>
      <c r="Y69" s="376"/>
      <c r="Z69" s="377"/>
    </row>
    <row r="70" spans="1:26" ht="12.95" customHeight="1">
      <c r="A70" s="807"/>
      <c r="B70" s="980" t="s">
        <v>812</v>
      </c>
      <c r="C70" s="981"/>
      <c r="D70" s="981"/>
      <c r="E70" s="981"/>
      <c r="F70" s="981"/>
      <c r="G70" s="925">
        <v>3928556010.3099995</v>
      </c>
      <c r="H70" s="926"/>
      <c r="I70" s="926"/>
      <c r="J70" s="927">
        <f t="shared" si="0"/>
        <v>0</v>
      </c>
      <c r="K70" s="778"/>
      <c r="L70" s="928"/>
      <c r="M70" s="927">
        <f>SUMIF('خدمات اجرایی '!F:F,'summary-2'!A69,'خدمات اجرایی '!Q:Q)</f>
        <v>0</v>
      </c>
      <c r="N70" s="778"/>
      <c r="O70" s="928"/>
      <c r="P70" s="929" t="s">
        <v>796</v>
      </c>
      <c r="Q70" s="929"/>
      <c r="R70" s="975"/>
      <c r="S70" s="919"/>
      <c r="T70" s="920"/>
      <c r="U70" s="921"/>
      <c r="W70" s="376"/>
      <c r="X70" s="376"/>
      <c r="Y70" s="376"/>
      <c r="Z70" s="377"/>
    </row>
    <row r="71" spans="1:26" ht="12.95" customHeight="1">
      <c r="A71" s="808"/>
      <c r="B71" s="980" t="s">
        <v>812</v>
      </c>
      <c r="C71" s="981"/>
      <c r="D71" s="981"/>
      <c r="E71" s="981"/>
      <c r="F71" s="981"/>
      <c r="G71" s="976"/>
      <c r="H71" s="934"/>
      <c r="I71" s="935"/>
      <c r="J71" s="933">
        <f t="shared" si="0"/>
        <v>0</v>
      </c>
      <c r="K71" s="934"/>
      <c r="L71" s="935"/>
      <c r="M71" s="932"/>
      <c r="N71" s="932"/>
      <c r="O71" s="932"/>
      <c r="P71" s="943" t="s">
        <v>797</v>
      </c>
      <c r="Q71" s="943"/>
      <c r="R71" s="977"/>
      <c r="S71" s="919"/>
      <c r="T71" s="920"/>
      <c r="U71" s="921"/>
      <c r="W71" s="376"/>
      <c r="X71" s="376"/>
      <c r="Y71" s="376"/>
      <c r="Z71" s="377"/>
    </row>
    <row r="72" spans="1:26" ht="12.95" customHeight="1">
      <c r="A72" s="806">
        <v>21</v>
      </c>
      <c r="B72" s="980" t="s">
        <v>813</v>
      </c>
      <c r="C72" s="981"/>
      <c r="D72" s="981"/>
      <c r="E72" s="981"/>
      <c r="F72" s="981"/>
      <c r="G72" s="814">
        <v>1927634563.0590014</v>
      </c>
      <c r="H72" s="815"/>
      <c r="I72" s="815"/>
      <c r="J72" s="816">
        <f t="shared" si="0"/>
        <v>0</v>
      </c>
      <c r="K72" s="817"/>
      <c r="L72" s="818"/>
      <c r="M72" s="819">
        <f>SUMIF('خدمات اجرایی '!F:F,'summary-2'!A72,'خدمات اجرایی '!L:L)</f>
        <v>1927634563.0590014</v>
      </c>
      <c r="N72" s="819"/>
      <c r="O72" s="819"/>
      <c r="P72" s="820" t="s">
        <v>795</v>
      </c>
      <c r="Q72" s="820"/>
      <c r="R72" s="821"/>
      <c r="S72" s="919"/>
      <c r="T72" s="920"/>
      <c r="U72" s="921"/>
      <c r="W72" s="376"/>
      <c r="X72" s="376"/>
      <c r="Y72" s="376"/>
      <c r="Z72" s="377"/>
    </row>
    <row r="73" spans="1:26" ht="12.95" customHeight="1">
      <c r="A73" s="807"/>
      <c r="B73" s="980" t="s">
        <v>812</v>
      </c>
      <c r="C73" s="981"/>
      <c r="D73" s="981"/>
      <c r="E73" s="981"/>
      <c r="F73" s="981"/>
      <c r="G73" s="925">
        <v>5179064.730832871</v>
      </c>
      <c r="H73" s="926"/>
      <c r="I73" s="926"/>
      <c r="J73" s="927">
        <f t="shared" si="0"/>
        <v>0</v>
      </c>
      <c r="K73" s="778"/>
      <c r="L73" s="928"/>
      <c r="M73" s="927">
        <f>SUMIF('خدمات اجرایی '!F:F,'summary-2'!A72,'خدمات اجرایی '!Q:Q)</f>
        <v>0</v>
      </c>
      <c r="N73" s="778"/>
      <c r="O73" s="928"/>
      <c r="P73" s="929" t="s">
        <v>796</v>
      </c>
      <c r="Q73" s="929"/>
      <c r="R73" s="975"/>
      <c r="S73" s="919"/>
      <c r="T73" s="920"/>
      <c r="U73" s="921"/>
      <c r="W73" s="376"/>
      <c r="X73" s="376"/>
      <c r="Y73" s="376"/>
      <c r="Z73" s="377"/>
    </row>
    <row r="74" spans="1:26" ht="12.95" customHeight="1">
      <c r="A74" s="808"/>
      <c r="B74" s="980" t="s">
        <v>812</v>
      </c>
      <c r="C74" s="981"/>
      <c r="D74" s="981"/>
      <c r="E74" s="981"/>
      <c r="F74" s="981"/>
      <c r="G74" s="976"/>
      <c r="H74" s="934"/>
      <c r="I74" s="935"/>
      <c r="J74" s="933">
        <f t="shared" si="0"/>
        <v>0</v>
      </c>
      <c r="K74" s="934"/>
      <c r="L74" s="935"/>
      <c r="M74" s="932"/>
      <c r="N74" s="932"/>
      <c r="O74" s="932"/>
      <c r="P74" s="943" t="s">
        <v>797</v>
      </c>
      <c r="Q74" s="943"/>
      <c r="R74" s="977"/>
      <c r="S74" s="919"/>
      <c r="T74" s="920"/>
      <c r="U74" s="921"/>
      <c r="W74" s="376"/>
      <c r="X74" s="376"/>
      <c r="Y74" s="376"/>
      <c r="Z74" s="377"/>
    </row>
    <row r="75" spans="1:26" ht="12.95" customHeight="1">
      <c r="A75" s="806">
        <v>22</v>
      </c>
      <c r="B75" s="980" t="s">
        <v>814</v>
      </c>
      <c r="C75" s="981"/>
      <c r="D75" s="981"/>
      <c r="E75" s="981"/>
      <c r="F75" s="981"/>
      <c r="G75" s="814">
        <v>188627057387.3501</v>
      </c>
      <c r="H75" s="815"/>
      <c r="I75" s="815"/>
      <c r="J75" s="816">
        <f t="shared" si="0"/>
        <v>-98389264855.69722</v>
      </c>
      <c r="K75" s="817"/>
      <c r="L75" s="818"/>
      <c r="M75" s="819">
        <f>SUMIF('خدمات اجرایی '!F:F,'summary-2'!A75,'خدمات اجرایی '!L:L)+SUMIF('خدمات تامین'!F:F,'summary-2'!A75,'خدمات تامین'!L:L)</f>
        <v>90237792531.652878</v>
      </c>
      <c r="N75" s="819"/>
      <c r="O75" s="819"/>
      <c r="P75" s="820" t="s">
        <v>795</v>
      </c>
      <c r="Q75" s="820"/>
      <c r="R75" s="821"/>
      <c r="S75" s="919"/>
      <c r="T75" s="920"/>
      <c r="U75" s="921"/>
      <c r="W75" s="376"/>
      <c r="X75" s="376"/>
      <c r="Y75" s="376"/>
      <c r="Z75" s="377"/>
    </row>
    <row r="76" spans="1:26" ht="12.95" customHeight="1">
      <c r="A76" s="807"/>
      <c r="B76" s="980" t="s">
        <v>814</v>
      </c>
      <c r="C76" s="981"/>
      <c r="D76" s="981"/>
      <c r="E76" s="981"/>
      <c r="F76" s="981"/>
      <c r="G76" s="925">
        <v>86170530929.930023</v>
      </c>
      <c r="H76" s="926"/>
      <c r="I76" s="926"/>
      <c r="J76" s="927">
        <f t="shared" si="0"/>
        <v>0</v>
      </c>
      <c r="K76" s="778"/>
      <c r="L76" s="928"/>
      <c r="M76" s="927">
        <f>SUMIF('خدمات اجرایی '!F:F,'summary-2'!A75,'خدمات اجرایی '!Q:Q)+SUMIF('خدمات تامین'!F:F,'summary-2'!A75,'خدمات تامین'!Q:Q)</f>
        <v>0</v>
      </c>
      <c r="N76" s="778"/>
      <c r="O76" s="928"/>
      <c r="P76" s="929" t="s">
        <v>796</v>
      </c>
      <c r="Q76" s="929"/>
      <c r="R76" s="975"/>
      <c r="S76" s="919"/>
      <c r="T76" s="920"/>
      <c r="U76" s="921"/>
      <c r="W76" s="402"/>
      <c r="X76" s="403"/>
      <c r="Y76" s="376"/>
      <c r="Z76" s="377"/>
    </row>
    <row r="77" spans="1:26" ht="12.95" customHeight="1">
      <c r="A77" s="808"/>
      <c r="B77" s="980" t="s">
        <v>814</v>
      </c>
      <c r="C77" s="981"/>
      <c r="D77" s="981"/>
      <c r="E77" s="981"/>
      <c r="F77" s="981"/>
      <c r="G77" s="976"/>
      <c r="H77" s="934"/>
      <c r="I77" s="935"/>
      <c r="J77" s="933">
        <f t="shared" si="0"/>
        <v>0</v>
      </c>
      <c r="K77" s="934"/>
      <c r="L77" s="935"/>
      <c r="M77" s="932"/>
      <c r="N77" s="932"/>
      <c r="O77" s="932"/>
      <c r="P77" s="943" t="s">
        <v>797</v>
      </c>
      <c r="Q77" s="943"/>
      <c r="R77" s="977"/>
      <c r="S77" s="919"/>
      <c r="T77" s="920"/>
      <c r="U77" s="921"/>
      <c r="W77" s="404"/>
      <c r="X77" s="404"/>
      <c r="Y77" s="376"/>
      <c r="Z77" s="377"/>
    </row>
    <row r="78" spans="1:26" ht="12.95" customHeight="1">
      <c r="A78" s="806">
        <v>23</v>
      </c>
      <c r="B78" s="811" t="s">
        <v>815</v>
      </c>
      <c r="C78" s="742"/>
      <c r="D78" s="742"/>
      <c r="E78" s="742"/>
      <c r="F78" s="742"/>
      <c r="G78" s="982">
        <v>5654943147.5118647</v>
      </c>
      <c r="H78" s="817"/>
      <c r="I78" s="818"/>
      <c r="J78" s="816">
        <f t="shared" si="0"/>
        <v>3918703087.0874319</v>
      </c>
      <c r="K78" s="817"/>
      <c r="L78" s="818"/>
      <c r="M78" s="819">
        <f>SUMIF('خدمات اجرایی '!F:F,'summary-2'!A78,'خدمات اجرایی '!L:L)</f>
        <v>9573646234.5992966</v>
      </c>
      <c r="N78" s="819"/>
      <c r="O78" s="819"/>
      <c r="P78" s="820" t="s">
        <v>795</v>
      </c>
      <c r="Q78" s="820"/>
      <c r="R78" s="821"/>
      <c r="S78" s="919"/>
      <c r="T78" s="920"/>
      <c r="U78" s="921"/>
      <c r="W78" s="376"/>
      <c r="X78" s="376"/>
      <c r="Y78" s="376"/>
      <c r="Z78" s="377"/>
    </row>
    <row r="79" spans="1:26" ht="12.95" customHeight="1">
      <c r="A79" s="807"/>
      <c r="B79" s="811" t="s">
        <v>815</v>
      </c>
      <c r="C79" s="742"/>
      <c r="D79" s="742"/>
      <c r="E79" s="742"/>
      <c r="F79" s="742"/>
      <c r="G79" s="777">
        <v>155371941.92498612</v>
      </c>
      <c r="H79" s="778"/>
      <c r="I79" s="928"/>
      <c r="J79" s="927">
        <f t="shared" si="0"/>
        <v>0</v>
      </c>
      <c r="K79" s="778"/>
      <c r="L79" s="928"/>
      <c r="M79" s="927">
        <f>SUMIF('خدمات اجرایی '!F:F,'summary-2'!A78,'خدمات اجرایی '!Q:Q)</f>
        <v>0</v>
      </c>
      <c r="N79" s="778"/>
      <c r="O79" s="928"/>
      <c r="P79" s="929" t="s">
        <v>796</v>
      </c>
      <c r="Q79" s="929"/>
      <c r="R79" s="975"/>
      <c r="S79" s="919"/>
      <c r="T79" s="920"/>
      <c r="U79" s="921"/>
      <c r="W79" s="376"/>
      <c r="X79" s="376"/>
      <c r="Y79" s="376"/>
      <c r="Z79" s="377"/>
    </row>
    <row r="80" spans="1:26" ht="12.95" customHeight="1" thickBot="1">
      <c r="A80" s="991"/>
      <c r="B80" s="811" t="s">
        <v>815</v>
      </c>
      <c r="C80" s="742"/>
      <c r="D80" s="742"/>
      <c r="E80" s="742"/>
      <c r="F80" s="742"/>
      <c r="G80" s="983"/>
      <c r="H80" s="984"/>
      <c r="I80" s="985"/>
      <c r="J80" s="986">
        <f t="shared" si="0"/>
        <v>0</v>
      </c>
      <c r="K80" s="984"/>
      <c r="L80" s="985"/>
      <c r="M80" s="936"/>
      <c r="N80" s="936"/>
      <c r="O80" s="936"/>
      <c r="P80" s="937" t="s">
        <v>797</v>
      </c>
      <c r="Q80" s="937"/>
      <c r="R80" s="987"/>
      <c r="S80" s="922"/>
      <c r="T80" s="923"/>
      <c r="U80" s="924"/>
      <c r="W80" s="376"/>
      <c r="X80" s="376"/>
      <c r="Y80" s="376"/>
      <c r="Z80" s="377"/>
    </row>
    <row r="81" spans="1:27" s="359" customFormat="1" ht="14.45" customHeight="1" thickTop="1">
      <c r="A81" s="1003" t="s">
        <v>816</v>
      </c>
      <c r="B81" s="1004"/>
      <c r="C81" s="1004"/>
      <c r="D81" s="1004"/>
      <c r="E81" s="1004"/>
      <c r="F81" s="1004"/>
      <c r="G81" s="1009">
        <f>G15+G18+G21+G24+G27+G30+G39+G42+G45+G48+G51+G54+G57+G60+G63+G69+G72+G75+G78</f>
        <v>837239883663.99158</v>
      </c>
      <c r="H81" s="1010"/>
      <c r="I81" s="1011"/>
      <c r="J81" s="1012">
        <f t="shared" si="0"/>
        <v>-139292637893.46033</v>
      </c>
      <c r="K81" s="1010"/>
      <c r="L81" s="1011"/>
      <c r="M81" s="1009">
        <f>M15+M18+M21+M24+M27+M30+M39+M42+M45+M48+M51+M54+M57+M60+M63+M69+M72+M75+M78</f>
        <v>697947245770.53125</v>
      </c>
      <c r="N81" s="1010"/>
      <c r="O81" s="1011"/>
      <c r="P81" s="1013" t="s">
        <v>795</v>
      </c>
      <c r="Q81" s="1013"/>
      <c r="R81" s="1014"/>
      <c r="S81" s="1015"/>
      <c r="T81" s="1016"/>
      <c r="U81" s="1017"/>
      <c r="V81" s="440">
        <f>M81+'خدمات اجرایی '!L216</f>
        <v>745424397302.53125</v>
      </c>
      <c r="W81" s="376"/>
      <c r="X81" s="376"/>
      <c r="Y81" s="376"/>
      <c r="Z81" s="377"/>
      <c r="AA81" s="375"/>
    </row>
    <row r="82" spans="1:27" s="359" customFormat="1" ht="14.45" customHeight="1">
      <c r="A82" s="1005"/>
      <c r="B82" s="1006"/>
      <c r="C82" s="1006"/>
      <c r="D82" s="1006"/>
      <c r="E82" s="1006"/>
      <c r="F82" s="1006"/>
      <c r="G82" s="800">
        <f>G16+G19+G25+G28+G31+G40+G43+G46+G49+G52+G55+G58+G61+G64+G70+G73+G76+G79</f>
        <v>570762914802.68091</v>
      </c>
      <c r="H82" s="801"/>
      <c r="I82" s="802"/>
      <c r="J82" s="803">
        <f>IF(M82=0,0,M82-G82)</f>
        <v>0</v>
      </c>
      <c r="K82" s="804"/>
      <c r="L82" s="805"/>
      <c r="M82" s="803"/>
      <c r="N82" s="801"/>
      <c r="O82" s="802"/>
      <c r="P82" s="1024" t="s">
        <v>796</v>
      </c>
      <c r="Q82" s="1024"/>
      <c r="R82" s="1025"/>
      <c r="S82" s="1018"/>
      <c r="T82" s="1019"/>
      <c r="U82" s="1020"/>
      <c r="V82" s="405">
        <v>28486290919.200001</v>
      </c>
      <c r="W82" s="406"/>
      <c r="X82" s="407"/>
      <c r="Y82" s="376"/>
      <c r="Z82" s="377"/>
      <c r="AA82" s="375"/>
    </row>
    <row r="83" spans="1:27" s="359" customFormat="1" ht="14.45" customHeight="1" thickBot="1">
      <c r="A83" s="1007"/>
      <c r="B83" s="1008"/>
      <c r="C83" s="1008"/>
      <c r="D83" s="1008"/>
      <c r="E83" s="1008"/>
      <c r="F83" s="1008"/>
      <c r="G83" s="995"/>
      <c r="H83" s="996"/>
      <c r="I83" s="997"/>
      <c r="J83" s="998">
        <f t="shared" si="0"/>
        <v>0</v>
      </c>
      <c r="K83" s="996"/>
      <c r="L83" s="997"/>
      <c r="M83" s="998"/>
      <c r="N83" s="996"/>
      <c r="O83" s="997"/>
      <c r="P83" s="999" t="s">
        <v>797</v>
      </c>
      <c r="Q83" s="999"/>
      <c r="R83" s="1000"/>
      <c r="S83" s="1021"/>
      <c r="T83" s="1022"/>
      <c r="U83" s="1023"/>
      <c r="V83" s="440">
        <f>V82+G81</f>
        <v>865726174583.19153</v>
      </c>
      <c r="W83" s="376"/>
      <c r="X83" s="376"/>
      <c r="Y83" s="376"/>
      <c r="Z83" s="377"/>
      <c r="AA83" s="375"/>
    </row>
    <row r="84" spans="1:27" ht="9.9499999999999993" customHeight="1" thickBot="1">
      <c r="A84" s="898"/>
      <c r="B84" s="898"/>
      <c r="C84" s="898"/>
      <c r="D84" s="898"/>
      <c r="E84" s="898"/>
      <c r="F84" s="898"/>
      <c r="G84" s="898"/>
      <c r="H84" s="898"/>
      <c r="I84" s="898"/>
      <c r="J84" s="898"/>
      <c r="K84" s="898"/>
      <c r="L84" s="898"/>
      <c r="M84" s="898"/>
      <c r="N84" s="898"/>
      <c r="O84" s="898"/>
      <c r="P84" s="898"/>
      <c r="Q84" s="898"/>
      <c r="R84" s="898"/>
      <c r="S84" s="898"/>
      <c r="T84" s="898"/>
      <c r="U84" s="898"/>
      <c r="Z84" s="377"/>
    </row>
    <row r="85" spans="1:27" s="359" customFormat="1" ht="20.100000000000001" customHeight="1">
      <c r="A85" s="873" t="s">
        <v>817</v>
      </c>
      <c r="B85" s="874"/>
      <c r="C85" s="874"/>
      <c r="D85" s="874"/>
      <c r="E85" s="874"/>
      <c r="F85" s="874"/>
      <c r="G85" s="874"/>
      <c r="H85" s="1001" t="s">
        <v>818</v>
      </c>
      <c r="I85" s="1001"/>
      <c r="J85" s="1001"/>
      <c r="K85" s="1001"/>
      <c r="L85" s="1001"/>
      <c r="M85" s="1001"/>
      <c r="N85" s="1001"/>
      <c r="O85" s="874" t="s">
        <v>819</v>
      </c>
      <c r="P85" s="874"/>
      <c r="Q85" s="874"/>
      <c r="R85" s="874"/>
      <c r="S85" s="874"/>
      <c r="T85" s="874"/>
      <c r="U85" s="1002"/>
      <c r="V85" s="358"/>
      <c r="W85" s="376"/>
      <c r="X85" s="376"/>
      <c r="Y85" s="376"/>
      <c r="Z85" s="377"/>
      <c r="AA85" s="375"/>
    </row>
    <row r="86" spans="1:27" ht="20.100000000000001" customHeight="1" thickBot="1">
      <c r="A86" s="988"/>
      <c r="B86" s="989"/>
      <c r="C86" s="989"/>
      <c r="D86" s="989"/>
      <c r="E86" s="989"/>
      <c r="F86" s="989"/>
      <c r="G86" s="989"/>
      <c r="H86" s="989"/>
      <c r="I86" s="989"/>
      <c r="J86" s="989"/>
      <c r="K86" s="989"/>
      <c r="L86" s="989"/>
      <c r="M86" s="989"/>
      <c r="N86" s="989"/>
      <c r="O86" s="989"/>
      <c r="P86" s="989"/>
      <c r="Q86" s="989"/>
      <c r="R86" s="989"/>
      <c r="S86" s="989"/>
      <c r="T86" s="989"/>
      <c r="U86" s="990"/>
    </row>
    <row r="87" spans="1:27" s="369" customFormat="1" ht="20.100000000000001" customHeight="1">
      <c r="V87" s="358"/>
      <c r="W87" s="373"/>
      <c r="X87" s="373"/>
      <c r="Y87" s="373"/>
      <c r="Z87" s="374"/>
      <c r="AA87" s="375"/>
    </row>
    <row r="88" spans="1:27" s="369" customFormat="1" ht="20.100000000000001" customHeight="1">
      <c r="G88" s="992">
        <v>528078903629</v>
      </c>
      <c r="H88" s="993"/>
      <c r="I88" s="994"/>
      <c r="J88" s="1026">
        <v>42684011173.680908</v>
      </c>
      <c r="K88" s="1027"/>
      <c r="L88" s="1028"/>
      <c r="M88" s="1026">
        <v>570762914802.68091</v>
      </c>
      <c r="N88" s="993"/>
      <c r="O88" s="994"/>
      <c r="V88" s="358"/>
      <c r="W88" s="373"/>
      <c r="X88" s="373"/>
      <c r="Y88" s="373"/>
      <c r="Z88" s="374"/>
      <c r="AA88" s="375"/>
    </row>
    <row r="89" spans="1:27" s="369" customFormat="1" ht="20.100000000000001" customHeight="1">
      <c r="A89" s="799" t="s">
        <v>885</v>
      </c>
      <c r="B89" s="799"/>
      <c r="C89" s="799"/>
      <c r="D89" s="799"/>
      <c r="E89" s="799"/>
      <c r="F89" s="799"/>
      <c r="G89" s="800">
        <v>528078903629</v>
      </c>
      <c r="H89" s="801"/>
      <c r="I89" s="802"/>
      <c r="J89" s="803">
        <v>72861865321.830322</v>
      </c>
      <c r="K89" s="804"/>
      <c r="L89" s="805"/>
      <c r="M89" s="803">
        <v>600940768950.83032</v>
      </c>
      <c r="N89" s="801"/>
      <c r="O89" s="802"/>
      <c r="V89" s="358"/>
      <c r="W89" s="373"/>
      <c r="X89" s="373"/>
      <c r="Y89" s="373"/>
      <c r="Z89" s="374"/>
      <c r="AA89" s="375"/>
    </row>
    <row r="90" spans="1:27" s="369" customFormat="1" ht="20.100000000000001" customHeight="1">
      <c r="G90" s="799">
        <f t="shared" ref="G90" si="3">G89-G88</f>
        <v>0</v>
      </c>
      <c r="H90" s="799"/>
      <c r="I90" s="799"/>
      <c r="J90" s="799">
        <f t="shared" ref="J90" si="4">J89-J88</f>
        <v>30177854148.149414</v>
      </c>
      <c r="K90" s="799"/>
      <c r="L90" s="799"/>
      <c r="M90" s="799">
        <f>M89-M88</f>
        <v>30177854148.149414</v>
      </c>
      <c r="N90" s="799"/>
      <c r="O90" s="799"/>
      <c r="V90" s="358"/>
      <c r="W90" s="373"/>
      <c r="X90" s="373"/>
      <c r="Y90" s="373"/>
      <c r="Z90" s="374"/>
      <c r="AA90" s="375"/>
    </row>
    <row r="91" spans="1:27" s="369" customFormat="1" ht="20.100000000000001" customHeight="1">
      <c r="G91" s="800">
        <v>528078903629</v>
      </c>
      <c r="H91" s="801"/>
      <c r="I91" s="802"/>
      <c r="J91" s="803">
        <v>78015728879.970825</v>
      </c>
      <c r="K91" s="804"/>
      <c r="L91" s="805"/>
      <c r="M91" s="803">
        <v>606094632508.97083</v>
      </c>
      <c r="N91" s="801"/>
      <c r="O91" s="802"/>
      <c r="V91" s="358"/>
      <c r="W91" s="373"/>
      <c r="X91" s="373"/>
      <c r="Y91" s="373"/>
      <c r="Z91" s="374"/>
      <c r="AA91" s="375"/>
    </row>
    <row r="92" spans="1:27" s="369" customFormat="1" ht="20.100000000000001" customHeight="1">
      <c r="A92" s="799" t="s">
        <v>884</v>
      </c>
      <c r="B92" s="799"/>
      <c r="C92" s="799"/>
      <c r="D92" s="799"/>
      <c r="E92" s="799"/>
      <c r="F92" s="799"/>
      <c r="G92" s="799">
        <f t="shared" ref="G92" si="5">G91-G88</f>
        <v>0</v>
      </c>
      <c r="H92" s="799"/>
      <c r="I92" s="799"/>
      <c r="J92" s="799">
        <f t="shared" ref="J92" si="6">J91-J88</f>
        <v>35331717706.289917</v>
      </c>
      <c r="K92" s="799"/>
      <c r="L92" s="799"/>
      <c r="M92" s="799">
        <f>M91-M88</f>
        <v>35331717706.289917</v>
      </c>
      <c r="N92" s="799"/>
      <c r="O92" s="799"/>
      <c r="V92" s="358"/>
      <c r="W92" s="373"/>
      <c r="X92" s="373"/>
      <c r="Y92" s="373"/>
      <c r="Z92" s="374"/>
      <c r="AA92" s="375"/>
    </row>
    <row r="93" spans="1:27" s="369" customFormat="1" ht="20.100000000000001" customHeight="1">
      <c r="A93" s="799" t="s">
        <v>474</v>
      </c>
      <c r="B93" s="799"/>
      <c r="C93" s="799"/>
      <c r="D93" s="799"/>
      <c r="E93" s="799"/>
      <c r="F93" s="799"/>
      <c r="G93" s="799">
        <f t="shared" ref="G93" si="7">G92-G90</f>
        <v>0</v>
      </c>
      <c r="H93" s="799"/>
      <c r="I93" s="799"/>
      <c r="J93" s="799">
        <f t="shared" ref="J93" si="8">J92-J90</f>
        <v>5153863558.1405029</v>
      </c>
      <c r="K93" s="799"/>
      <c r="L93" s="799"/>
      <c r="M93" s="799">
        <f>M92-M90</f>
        <v>5153863558.1405029</v>
      </c>
      <c r="N93" s="799"/>
      <c r="O93" s="799"/>
      <c r="W93" s="373"/>
      <c r="X93" s="373"/>
      <c r="Y93" s="373"/>
      <c r="Z93" s="374"/>
      <c r="AA93" s="375"/>
    </row>
    <row r="94" spans="1:27" s="369" customFormat="1" ht="20.100000000000001" customHeight="1">
      <c r="W94" s="373"/>
      <c r="X94" s="373"/>
      <c r="Y94" s="373"/>
      <c r="Z94" s="374"/>
      <c r="AA94" s="375"/>
    </row>
    <row r="95" spans="1:27" s="369" customFormat="1" ht="20.100000000000001" customHeight="1">
      <c r="W95" s="373"/>
      <c r="X95" s="373"/>
      <c r="Y95" s="373"/>
      <c r="Z95" s="374"/>
      <c r="AA95" s="375"/>
    </row>
    <row r="96" spans="1:27" s="369" customFormat="1" ht="20.100000000000001" customHeight="1">
      <c r="W96" s="373"/>
      <c r="X96" s="373"/>
      <c r="Y96" s="373"/>
      <c r="Z96" s="374"/>
      <c r="AA96" s="375"/>
    </row>
  </sheetData>
  <mergeCells count="421">
    <mergeCell ref="P23:R23"/>
    <mergeCell ref="G88:I88"/>
    <mergeCell ref="M90:O90"/>
    <mergeCell ref="G83:I83"/>
    <mergeCell ref="J83:L83"/>
    <mergeCell ref="M83:O83"/>
    <mergeCell ref="P83:R83"/>
    <mergeCell ref="A84:U84"/>
    <mergeCell ref="A85:G85"/>
    <mergeCell ref="H85:N85"/>
    <mergeCell ref="O85:U85"/>
    <mergeCell ref="A81:F83"/>
    <mergeCell ref="G81:I81"/>
    <mergeCell ref="J81:L81"/>
    <mergeCell ref="M81:O81"/>
    <mergeCell ref="P81:R81"/>
    <mergeCell ref="S81:U83"/>
    <mergeCell ref="G82:I82"/>
    <mergeCell ref="J82:L82"/>
    <mergeCell ref="M82:O82"/>
    <mergeCell ref="P82:R82"/>
    <mergeCell ref="J88:L88"/>
    <mergeCell ref="M88:O88"/>
    <mergeCell ref="G90:I90"/>
    <mergeCell ref="J90:L90"/>
    <mergeCell ref="A86:G86"/>
    <mergeCell ref="H86:N86"/>
    <mergeCell ref="O86:U86"/>
    <mergeCell ref="A78:A80"/>
    <mergeCell ref="B78:F80"/>
    <mergeCell ref="G78:I78"/>
    <mergeCell ref="J78:L78"/>
    <mergeCell ref="M78:O78"/>
    <mergeCell ref="P78:R78"/>
    <mergeCell ref="A89:F89"/>
    <mergeCell ref="G89:I89"/>
    <mergeCell ref="J89:L89"/>
    <mergeCell ref="M89:O89"/>
    <mergeCell ref="A75:A77"/>
    <mergeCell ref="B75:F77"/>
    <mergeCell ref="G75:I75"/>
    <mergeCell ref="J75:L75"/>
    <mergeCell ref="M75:O75"/>
    <mergeCell ref="P75:R75"/>
    <mergeCell ref="S78:U80"/>
    <mergeCell ref="G79:I79"/>
    <mergeCell ref="J79:L79"/>
    <mergeCell ref="S75:U77"/>
    <mergeCell ref="G76:I76"/>
    <mergeCell ref="J76:L76"/>
    <mergeCell ref="M76:O76"/>
    <mergeCell ref="P76:R76"/>
    <mergeCell ref="G77:I77"/>
    <mergeCell ref="J77:L77"/>
    <mergeCell ref="M77:O77"/>
    <mergeCell ref="P77:R77"/>
    <mergeCell ref="M79:O79"/>
    <mergeCell ref="P79:R79"/>
    <mergeCell ref="G80:I80"/>
    <mergeCell ref="J80:L80"/>
    <mergeCell ref="M80:O80"/>
    <mergeCell ref="P80:R80"/>
    <mergeCell ref="S72:U74"/>
    <mergeCell ref="G73:I73"/>
    <mergeCell ref="J73:L73"/>
    <mergeCell ref="M73:O73"/>
    <mergeCell ref="P73:R73"/>
    <mergeCell ref="G74:I74"/>
    <mergeCell ref="J74:L74"/>
    <mergeCell ref="M74:O74"/>
    <mergeCell ref="P74:R74"/>
    <mergeCell ref="S69:U71"/>
    <mergeCell ref="G70:I70"/>
    <mergeCell ref="J70:L70"/>
    <mergeCell ref="M70:O70"/>
    <mergeCell ref="P70:R70"/>
    <mergeCell ref="G71:I71"/>
    <mergeCell ref="J71:L71"/>
    <mergeCell ref="M71:O71"/>
    <mergeCell ref="P71:R71"/>
    <mergeCell ref="G69:I69"/>
    <mergeCell ref="J69:L69"/>
    <mergeCell ref="M69:O69"/>
    <mergeCell ref="P69:R69"/>
    <mergeCell ref="A72:A74"/>
    <mergeCell ref="B72:F74"/>
    <mergeCell ref="G72:I72"/>
    <mergeCell ref="J72:L72"/>
    <mergeCell ref="M72:O72"/>
    <mergeCell ref="P72:R72"/>
    <mergeCell ref="A69:A71"/>
    <mergeCell ref="B69:F71"/>
    <mergeCell ref="A66:A68"/>
    <mergeCell ref="B66:F68"/>
    <mergeCell ref="G66:I66"/>
    <mergeCell ref="J66:L66"/>
    <mergeCell ref="M66:O66"/>
    <mergeCell ref="P66:R66"/>
    <mergeCell ref="A63:A65"/>
    <mergeCell ref="B63:F65"/>
    <mergeCell ref="G63:I63"/>
    <mergeCell ref="J63:L63"/>
    <mergeCell ref="M63:O63"/>
    <mergeCell ref="P63:R63"/>
    <mergeCell ref="S66:U68"/>
    <mergeCell ref="G67:I67"/>
    <mergeCell ref="J67:L67"/>
    <mergeCell ref="S63:U65"/>
    <mergeCell ref="G64:I64"/>
    <mergeCell ref="J64:L64"/>
    <mergeCell ref="M64:O64"/>
    <mergeCell ref="P64:R64"/>
    <mergeCell ref="G65:I65"/>
    <mergeCell ref="J65:L65"/>
    <mergeCell ref="M65:O65"/>
    <mergeCell ref="P65:R65"/>
    <mergeCell ref="M67:O67"/>
    <mergeCell ref="P67:R67"/>
    <mergeCell ref="G68:I68"/>
    <mergeCell ref="J68:L68"/>
    <mergeCell ref="M68:O68"/>
    <mergeCell ref="P68:R68"/>
    <mergeCell ref="S60:U62"/>
    <mergeCell ref="G61:I61"/>
    <mergeCell ref="J61:L61"/>
    <mergeCell ref="M61:O61"/>
    <mergeCell ref="P61:R61"/>
    <mergeCell ref="G62:I62"/>
    <mergeCell ref="J62:L62"/>
    <mergeCell ref="M62:O62"/>
    <mergeCell ref="P62:R62"/>
    <mergeCell ref="S57:U59"/>
    <mergeCell ref="G58:I58"/>
    <mergeCell ref="J58:L58"/>
    <mergeCell ref="M58:O58"/>
    <mergeCell ref="P58:R58"/>
    <mergeCell ref="G59:I59"/>
    <mergeCell ref="J59:L59"/>
    <mergeCell ref="M59:O59"/>
    <mergeCell ref="P59:R59"/>
    <mergeCell ref="G57:I57"/>
    <mergeCell ref="J57:L57"/>
    <mergeCell ref="M57:O57"/>
    <mergeCell ref="P57:R57"/>
    <mergeCell ref="A60:A62"/>
    <mergeCell ref="B60:F62"/>
    <mergeCell ref="G60:I60"/>
    <mergeCell ref="J60:L60"/>
    <mergeCell ref="M60:O60"/>
    <mergeCell ref="P60:R60"/>
    <mergeCell ref="A57:A59"/>
    <mergeCell ref="B57:F59"/>
    <mergeCell ref="A54:A56"/>
    <mergeCell ref="B54:F56"/>
    <mergeCell ref="G54:I54"/>
    <mergeCell ref="J54:L54"/>
    <mergeCell ref="M54:O54"/>
    <mergeCell ref="P54:R54"/>
    <mergeCell ref="A51:A53"/>
    <mergeCell ref="B51:F53"/>
    <mergeCell ref="G51:I51"/>
    <mergeCell ref="J51:L51"/>
    <mergeCell ref="M51:O51"/>
    <mergeCell ref="P51:R51"/>
    <mergeCell ref="S54:U56"/>
    <mergeCell ref="G55:I55"/>
    <mergeCell ref="J55:L55"/>
    <mergeCell ref="S51:U53"/>
    <mergeCell ref="G52:I52"/>
    <mergeCell ref="J52:L52"/>
    <mergeCell ref="M52:O52"/>
    <mergeCell ref="P52:R52"/>
    <mergeCell ref="G53:I53"/>
    <mergeCell ref="J53:L53"/>
    <mergeCell ref="M53:O53"/>
    <mergeCell ref="P53:R53"/>
    <mergeCell ref="M55:O55"/>
    <mergeCell ref="P55:R55"/>
    <mergeCell ref="G56:I56"/>
    <mergeCell ref="J56:L56"/>
    <mergeCell ref="M56:O56"/>
    <mergeCell ref="P56:R56"/>
    <mergeCell ref="S48:U50"/>
    <mergeCell ref="G49:I49"/>
    <mergeCell ref="J49:L49"/>
    <mergeCell ref="M49:O49"/>
    <mergeCell ref="P49:R49"/>
    <mergeCell ref="G50:I50"/>
    <mergeCell ref="J50:L50"/>
    <mergeCell ref="M50:O50"/>
    <mergeCell ref="P50:R50"/>
    <mergeCell ref="S45:U47"/>
    <mergeCell ref="G46:I46"/>
    <mergeCell ref="J46:L46"/>
    <mergeCell ref="M46:O46"/>
    <mergeCell ref="P46:R46"/>
    <mergeCell ref="G47:I47"/>
    <mergeCell ref="J47:L47"/>
    <mergeCell ref="M47:O47"/>
    <mergeCell ref="P47:R47"/>
    <mergeCell ref="G45:I45"/>
    <mergeCell ref="J45:L45"/>
    <mergeCell ref="M45:O45"/>
    <mergeCell ref="P45:R45"/>
    <mergeCell ref="A48:A50"/>
    <mergeCell ref="B48:F50"/>
    <mergeCell ref="G48:I48"/>
    <mergeCell ref="J48:L48"/>
    <mergeCell ref="M48:O48"/>
    <mergeCell ref="P48:R48"/>
    <mergeCell ref="A45:A47"/>
    <mergeCell ref="B45:F47"/>
    <mergeCell ref="A42:A44"/>
    <mergeCell ref="B42:F44"/>
    <mergeCell ref="G42:I42"/>
    <mergeCell ref="J42:L42"/>
    <mergeCell ref="M42:O42"/>
    <mergeCell ref="P42:R42"/>
    <mergeCell ref="A39:A41"/>
    <mergeCell ref="B39:F41"/>
    <mergeCell ref="G39:I39"/>
    <mergeCell ref="J39:L39"/>
    <mergeCell ref="M39:O39"/>
    <mergeCell ref="P39:R39"/>
    <mergeCell ref="S42:U44"/>
    <mergeCell ref="G43:I43"/>
    <mergeCell ref="J43:L43"/>
    <mergeCell ref="S39:U41"/>
    <mergeCell ref="G40:I40"/>
    <mergeCell ref="J40:L40"/>
    <mergeCell ref="M40:O40"/>
    <mergeCell ref="P40:R40"/>
    <mergeCell ref="G41:I41"/>
    <mergeCell ref="J41:L41"/>
    <mergeCell ref="M41:O41"/>
    <mergeCell ref="P41:R41"/>
    <mergeCell ref="M43:O43"/>
    <mergeCell ref="P43:R43"/>
    <mergeCell ref="G44:I44"/>
    <mergeCell ref="J44:L44"/>
    <mergeCell ref="M44:O44"/>
    <mergeCell ref="P44:R44"/>
    <mergeCell ref="S36:U38"/>
    <mergeCell ref="G37:I37"/>
    <mergeCell ref="J37:L37"/>
    <mergeCell ref="M37:O37"/>
    <mergeCell ref="P37:R37"/>
    <mergeCell ref="G38:I38"/>
    <mergeCell ref="J38:L38"/>
    <mergeCell ref="M38:O38"/>
    <mergeCell ref="P38:R38"/>
    <mergeCell ref="S30:U32"/>
    <mergeCell ref="G31:I31"/>
    <mergeCell ref="J31:L31"/>
    <mergeCell ref="M31:O31"/>
    <mergeCell ref="P31:R31"/>
    <mergeCell ref="G32:I32"/>
    <mergeCell ref="J32:L32"/>
    <mergeCell ref="M32:O32"/>
    <mergeCell ref="P32:R32"/>
    <mergeCell ref="P30:R30"/>
    <mergeCell ref="S33:U35"/>
    <mergeCell ref="G34:I34"/>
    <mergeCell ref="J34:L34"/>
    <mergeCell ref="M34:O34"/>
    <mergeCell ref="P34:R34"/>
    <mergeCell ref="G35:I35"/>
    <mergeCell ref="J35:L35"/>
    <mergeCell ref="M35:O35"/>
    <mergeCell ref="P35:R35"/>
    <mergeCell ref="G33:I33"/>
    <mergeCell ref="J33:L33"/>
    <mergeCell ref="M33:O33"/>
    <mergeCell ref="P33:R33"/>
    <mergeCell ref="A27:A29"/>
    <mergeCell ref="B27:F29"/>
    <mergeCell ref="G27:I27"/>
    <mergeCell ref="J27:L27"/>
    <mergeCell ref="M27:O27"/>
    <mergeCell ref="A21:A23"/>
    <mergeCell ref="B21:F23"/>
    <mergeCell ref="G21:I21"/>
    <mergeCell ref="J21:L21"/>
    <mergeCell ref="M21:O21"/>
    <mergeCell ref="G22:I22"/>
    <mergeCell ref="J22:L22"/>
    <mergeCell ref="G23:I23"/>
    <mergeCell ref="J23:L23"/>
    <mergeCell ref="M23:O23"/>
    <mergeCell ref="A18:A20"/>
    <mergeCell ref="B18:F20"/>
    <mergeCell ref="G18:I18"/>
    <mergeCell ref="J18:L18"/>
    <mergeCell ref="M18:O18"/>
    <mergeCell ref="A24:A26"/>
    <mergeCell ref="B24:F26"/>
    <mergeCell ref="G24:I24"/>
    <mergeCell ref="J24:L24"/>
    <mergeCell ref="M24:O24"/>
    <mergeCell ref="P18:R18"/>
    <mergeCell ref="S24:U26"/>
    <mergeCell ref="G25:I25"/>
    <mergeCell ref="J25:L25"/>
    <mergeCell ref="S18:U20"/>
    <mergeCell ref="G19:I19"/>
    <mergeCell ref="J19:L19"/>
    <mergeCell ref="M19:O19"/>
    <mergeCell ref="P19:R19"/>
    <mergeCell ref="G20:I20"/>
    <mergeCell ref="J20:L20"/>
    <mergeCell ref="M20:O20"/>
    <mergeCell ref="P20:R20"/>
    <mergeCell ref="M25:O25"/>
    <mergeCell ref="P25:R25"/>
    <mergeCell ref="G26:I26"/>
    <mergeCell ref="J26:L26"/>
    <mergeCell ref="M26:O26"/>
    <mergeCell ref="P26:R26"/>
    <mergeCell ref="P24:R24"/>
    <mergeCell ref="P21:R21"/>
    <mergeCell ref="S21:U23"/>
    <mergeCell ref="M22:O22"/>
    <mergeCell ref="P22:R22"/>
    <mergeCell ref="A15:A17"/>
    <mergeCell ref="B15:F17"/>
    <mergeCell ref="G15:I15"/>
    <mergeCell ref="J15:L15"/>
    <mergeCell ref="M15:O15"/>
    <mergeCell ref="P15:R15"/>
    <mergeCell ref="A12:U12"/>
    <mergeCell ref="A13:A14"/>
    <mergeCell ref="B13:F14"/>
    <mergeCell ref="G13:O13"/>
    <mergeCell ref="P13:R14"/>
    <mergeCell ref="S13:U14"/>
    <mergeCell ref="G14:I14"/>
    <mergeCell ref="J14:L14"/>
    <mergeCell ref="M14:O14"/>
    <mergeCell ref="S15:U17"/>
    <mergeCell ref="G16:I16"/>
    <mergeCell ref="J16:L16"/>
    <mergeCell ref="M16:O16"/>
    <mergeCell ref="P16:R16"/>
    <mergeCell ref="G17:I17"/>
    <mergeCell ref="J17:L17"/>
    <mergeCell ref="M17:O17"/>
    <mergeCell ref="P17:R17"/>
    <mergeCell ref="A7:U7"/>
    <mergeCell ref="A8:U8"/>
    <mergeCell ref="A9:C9"/>
    <mergeCell ref="D9:G9"/>
    <mergeCell ref="H9:J9"/>
    <mergeCell ref="K9:N9"/>
    <mergeCell ref="O9:Q9"/>
    <mergeCell ref="R9:U9"/>
    <mergeCell ref="A11:C11"/>
    <mergeCell ref="D11:G11"/>
    <mergeCell ref="H11:J11"/>
    <mergeCell ref="K11:N11"/>
    <mergeCell ref="O11:Q11"/>
    <mergeCell ref="R11:U11"/>
    <mergeCell ref="A10:C10"/>
    <mergeCell ref="D10:G10"/>
    <mergeCell ref="H10:J10"/>
    <mergeCell ref="K10:N10"/>
    <mergeCell ref="O10:Q10"/>
    <mergeCell ref="R10:U10"/>
    <mergeCell ref="A5:C5"/>
    <mergeCell ref="D5:E5"/>
    <mergeCell ref="F5:H5"/>
    <mergeCell ref="I5:J5"/>
    <mergeCell ref="K5:L5"/>
    <mergeCell ref="M5:N5"/>
    <mergeCell ref="O5:P5"/>
    <mergeCell ref="Q5:U5"/>
    <mergeCell ref="A6:U6"/>
    <mergeCell ref="A1:E3"/>
    <mergeCell ref="F1:P3"/>
    <mergeCell ref="Q1:U3"/>
    <mergeCell ref="A4:C4"/>
    <mergeCell ref="D4:E4"/>
    <mergeCell ref="F4:H4"/>
    <mergeCell ref="I4:J4"/>
    <mergeCell ref="K4:L4"/>
    <mergeCell ref="M4:N4"/>
    <mergeCell ref="O4:P4"/>
    <mergeCell ref="Q4:U4"/>
    <mergeCell ref="S27:U29"/>
    <mergeCell ref="G28:I28"/>
    <mergeCell ref="J28:L28"/>
    <mergeCell ref="M28:O28"/>
    <mergeCell ref="P28:R28"/>
    <mergeCell ref="G29:I29"/>
    <mergeCell ref="J29:L29"/>
    <mergeCell ref="M29:O29"/>
    <mergeCell ref="P29:R29"/>
    <mergeCell ref="P27:R27"/>
    <mergeCell ref="A36:A38"/>
    <mergeCell ref="B36:F38"/>
    <mergeCell ref="G36:I36"/>
    <mergeCell ref="J36:L36"/>
    <mergeCell ref="M36:O36"/>
    <mergeCell ref="P36:R36"/>
    <mergeCell ref="A33:A35"/>
    <mergeCell ref="B33:F35"/>
    <mergeCell ref="A30:A32"/>
    <mergeCell ref="B30:F32"/>
    <mergeCell ref="G30:I30"/>
    <mergeCell ref="J30:L30"/>
    <mergeCell ref="M30:O30"/>
    <mergeCell ref="A93:F93"/>
    <mergeCell ref="G93:I93"/>
    <mergeCell ref="J93:L93"/>
    <mergeCell ref="G91:I91"/>
    <mergeCell ref="J91:L91"/>
    <mergeCell ref="G92:I92"/>
    <mergeCell ref="J92:L92"/>
    <mergeCell ref="M92:O92"/>
    <mergeCell ref="A92:F92"/>
    <mergeCell ref="M91:O91"/>
    <mergeCell ref="M93:O93"/>
  </mergeCells>
  <printOptions horizontalCentered="1"/>
  <pageMargins left="0" right="0" top="0.1" bottom="0.1" header="0" footer="0"/>
  <pageSetup paperSize="9" scale="7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96"/>
  <sheetViews>
    <sheetView rightToLeft="1" view="pageBreakPreview" zoomScale="80" zoomScaleNormal="100" zoomScaleSheetLayoutView="80" workbookViewId="0">
      <selection activeCell="M14" sqref="M14:O14"/>
    </sheetView>
  </sheetViews>
  <sheetFormatPr defaultColWidth="5.4375" defaultRowHeight="20.100000000000001" customHeight="1"/>
  <cols>
    <col min="1" max="8" width="5.4375" style="358"/>
    <col min="9" max="12" width="7" style="358" customWidth="1"/>
    <col min="13" max="14" width="5.4375" style="358"/>
    <col min="15" max="15" width="6.6875" style="358" customWidth="1"/>
    <col min="16" max="19" width="5.4375" style="358"/>
    <col min="20" max="20" width="5.875" style="358" customWidth="1"/>
    <col min="21" max="22" width="5.4375" style="358"/>
    <col min="23" max="23" width="16.875" style="369" bestFit="1" customWidth="1"/>
    <col min="24" max="25" width="15.6875" style="369" customWidth="1"/>
    <col min="26" max="26" width="13.875" style="369" bestFit="1" customWidth="1"/>
    <col min="27" max="28" width="5.4375" style="369"/>
    <col min="29" max="29" width="14.4375" style="369" bestFit="1" customWidth="1"/>
    <col min="30" max="16384" width="5.4375" style="358"/>
  </cols>
  <sheetData>
    <row r="1" spans="1:29" ht="18" customHeight="1">
      <c r="A1" s="735"/>
      <c r="B1" s="736"/>
      <c r="C1" s="736"/>
      <c r="D1" s="736"/>
      <c r="E1" s="852"/>
      <c r="F1" s="857" t="s">
        <v>763</v>
      </c>
      <c r="G1" s="857"/>
      <c r="H1" s="857"/>
      <c r="I1" s="857"/>
      <c r="J1" s="857"/>
      <c r="K1" s="857"/>
      <c r="L1" s="857"/>
      <c r="M1" s="857"/>
      <c r="N1" s="857"/>
      <c r="O1" s="857"/>
      <c r="P1" s="858"/>
      <c r="Q1" s="736"/>
      <c r="R1" s="736"/>
      <c r="S1" s="736"/>
      <c r="T1" s="736"/>
      <c r="U1" s="737"/>
    </row>
    <row r="2" spans="1:29" ht="18" customHeight="1">
      <c r="A2" s="853"/>
      <c r="B2" s="734"/>
      <c r="C2" s="734"/>
      <c r="D2" s="734"/>
      <c r="E2" s="831"/>
      <c r="F2" s="859"/>
      <c r="G2" s="859"/>
      <c r="H2" s="859"/>
      <c r="I2" s="859"/>
      <c r="J2" s="859"/>
      <c r="K2" s="859"/>
      <c r="L2" s="859"/>
      <c r="M2" s="859"/>
      <c r="N2" s="859"/>
      <c r="O2" s="859"/>
      <c r="P2" s="860"/>
      <c r="Q2" s="734"/>
      <c r="R2" s="734"/>
      <c r="S2" s="734"/>
      <c r="T2" s="734"/>
      <c r="U2" s="863"/>
    </row>
    <row r="3" spans="1:29" ht="18.75" customHeight="1" thickBot="1">
      <c r="A3" s="854"/>
      <c r="B3" s="855"/>
      <c r="C3" s="855"/>
      <c r="D3" s="855"/>
      <c r="E3" s="856"/>
      <c r="F3" s="861"/>
      <c r="G3" s="861"/>
      <c r="H3" s="861"/>
      <c r="I3" s="861"/>
      <c r="J3" s="861"/>
      <c r="K3" s="861"/>
      <c r="L3" s="861"/>
      <c r="M3" s="861"/>
      <c r="N3" s="861"/>
      <c r="O3" s="861"/>
      <c r="P3" s="862"/>
      <c r="Q3" s="855"/>
      <c r="R3" s="855"/>
      <c r="S3" s="855"/>
      <c r="T3" s="855"/>
      <c r="U3" s="864"/>
    </row>
    <row r="4" spans="1:29" s="359" customFormat="1" ht="18" hidden="1">
      <c r="A4" s="865" t="s">
        <v>764</v>
      </c>
      <c r="B4" s="866"/>
      <c r="C4" s="867"/>
      <c r="D4" s="868" t="s">
        <v>765</v>
      </c>
      <c r="E4" s="868"/>
      <c r="F4" s="869" t="s">
        <v>766</v>
      </c>
      <c r="G4" s="866"/>
      <c r="H4" s="867"/>
      <c r="I4" s="868" t="s">
        <v>767</v>
      </c>
      <c r="J4" s="868"/>
      <c r="K4" s="868" t="s">
        <v>768</v>
      </c>
      <c r="L4" s="868"/>
      <c r="M4" s="868" t="s">
        <v>769</v>
      </c>
      <c r="N4" s="868"/>
      <c r="O4" s="868" t="s">
        <v>770</v>
      </c>
      <c r="P4" s="868"/>
      <c r="Q4" s="707" t="s">
        <v>771</v>
      </c>
      <c r="R4" s="708"/>
      <c r="S4" s="708"/>
      <c r="T4" s="708"/>
      <c r="U4" s="709"/>
      <c r="W4" s="375"/>
      <c r="X4" s="375"/>
      <c r="Y4" s="375"/>
      <c r="Z4" s="375"/>
      <c r="AA4" s="375"/>
      <c r="AB4" s="375"/>
      <c r="AC4" s="375"/>
    </row>
    <row r="5" spans="1:29" s="359" customFormat="1" ht="18.399999999999999" hidden="1" thickBot="1">
      <c r="A5" s="710" t="str">
        <f>[1]Cover!A5</f>
        <v>00</v>
      </c>
      <c r="B5" s="870"/>
      <c r="C5" s="711"/>
      <c r="D5" s="712" t="str">
        <f>[1]Cover!C5</f>
        <v>01</v>
      </c>
      <c r="E5" s="711"/>
      <c r="F5" s="713" t="str">
        <f>[1]Cover!E5</f>
        <v>025</v>
      </c>
      <c r="G5" s="871"/>
      <c r="H5" s="714"/>
      <c r="I5" s="713" t="str">
        <f>[1]Cover!G5</f>
        <v>ST</v>
      </c>
      <c r="J5" s="714"/>
      <c r="K5" s="713" t="str">
        <f>[1]Cover!I5</f>
        <v>ECO</v>
      </c>
      <c r="L5" s="714"/>
      <c r="M5" s="713">
        <f>[1]Cover!K5</f>
        <v>18</v>
      </c>
      <c r="N5" s="714"/>
      <c r="O5" s="715">
        <f>[1]Cover!M5</f>
        <v>95210</v>
      </c>
      <c r="P5" s="715"/>
      <c r="Q5" s="716" t="str">
        <f>"صفحه 4 از "&amp;[1]Cover!S5</f>
        <v>صفحه 4 از 24</v>
      </c>
      <c r="R5" s="717"/>
      <c r="S5" s="717"/>
      <c r="T5" s="717"/>
      <c r="U5" s="718"/>
      <c r="W5" s="375"/>
      <c r="X5" s="375"/>
      <c r="Y5" s="375"/>
      <c r="Z5" s="375"/>
      <c r="AA5" s="375"/>
      <c r="AB5" s="375"/>
      <c r="AC5" s="375"/>
    </row>
    <row r="6" spans="1:29" ht="9.9499999999999993" customHeight="1">
      <c r="A6" s="734"/>
      <c r="B6" s="734"/>
      <c r="C6" s="734"/>
      <c r="D6" s="734"/>
      <c r="E6" s="734"/>
      <c r="F6" s="734"/>
      <c r="G6" s="734"/>
      <c r="H6" s="734"/>
      <c r="I6" s="734"/>
      <c r="J6" s="734"/>
      <c r="K6" s="734"/>
      <c r="L6" s="734"/>
      <c r="M6" s="734"/>
      <c r="N6" s="734"/>
      <c r="O6" s="734"/>
      <c r="P6" s="734"/>
      <c r="Q6" s="734"/>
      <c r="R6" s="734"/>
      <c r="S6" s="734"/>
      <c r="T6" s="734"/>
      <c r="U6" s="734"/>
    </row>
    <row r="7" spans="1:29" ht="20.100000000000001" customHeight="1">
      <c r="A7" s="1029" t="s">
        <v>893</v>
      </c>
      <c r="B7" s="1029"/>
      <c r="C7" s="1029"/>
      <c r="D7" s="1029"/>
      <c r="E7" s="1029"/>
      <c r="F7" s="1029"/>
      <c r="G7" s="1029"/>
      <c r="H7" s="1029"/>
      <c r="I7" s="1029"/>
      <c r="J7" s="1029"/>
      <c r="K7" s="1029"/>
      <c r="L7" s="1029"/>
      <c r="M7" s="1029"/>
      <c r="N7" s="1029"/>
      <c r="O7" s="1029"/>
      <c r="P7" s="1029"/>
      <c r="Q7" s="1029"/>
      <c r="R7" s="1029"/>
      <c r="S7" s="1029"/>
      <c r="T7" s="1029"/>
      <c r="U7" s="1029"/>
    </row>
    <row r="8" spans="1:29" ht="9.9499999999999993" customHeight="1" thickBot="1">
      <c r="A8" s="872"/>
      <c r="B8" s="872"/>
      <c r="C8" s="872"/>
      <c r="D8" s="872"/>
      <c r="E8" s="872"/>
      <c r="F8" s="872"/>
      <c r="G8" s="872"/>
      <c r="H8" s="872"/>
      <c r="I8" s="872"/>
      <c r="J8" s="872"/>
      <c r="K8" s="872"/>
      <c r="L8" s="872"/>
      <c r="M8" s="872"/>
      <c r="N8" s="872"/>
      <c r="O8" s="872"/>
      <c r="P8" s="872"/>
      <c r="Q8" s="872"/>
      <c r="R8" s="872"/>
      <c r="S8" s="872"/>
      <c r="T8" s="872"/>
      <c r="U8" s="872"/>
    </row>
    <row r="9" spans="1:29" s="359" customFormat="1" ht="30.75" customHeight="1">
      <c r="A9" s="873" t="s">
        <v>13</v>
      </c>
      <c r="B9" s="874"/>
      <c r="C9" s="874"/>
      <c r="D9" s="875" t="s">
        <v>780</v>
      </c>
      <c r="E9" s="708"/>
      <c r="F9" s="708"/>
      <c r="G9" s="709"/>
      <c r="H9" s="873" t="s">
        <v>781</v>
      </c>
      <c r="I9" s="874"/>
      <c r="J9" s="874"/>
      <c r="K9" s="876" t="s">
        <v>17</v>
      </c>
      <c r="L9" s="877"/>
      <c r="M9" s="877"/>
      <c r="N9" s="878"/>
      <c r="O9" s="873" t="s">
        <v>782</v>
      </c>
      <c r="P9" s="874"/>
      <c r="Q9" s="874"/>
      <c r="R9" s="879" t="s">
        <v>882</v>
      </c>
      <c r="S9" s="879"/>
      <c r="T9" s="879"/>
      <c r="U9" s="880"/>
      <c r="W9" s="375"/>
      <c r="X9" s="375"/>
      <c r="Y9" s="375"/>
      <c r="Z9" s="375"/>
      <c r="AA9" s="375"/>
      <c r="AB9" s="375"/>
      <c r="AC9" s="375"/>
    </row>
    <row r="10" spans="1:29" s="359" customFormat="1" ht="30" customHeight="1">
      <c r="A10" s="889" t="s">
        <v>8</v>
      </c>
      <c r="B10" s="774"/>
      <c r="C10" s="771"/>
      <c r="D10" s="890" t="s">
        <v>840</v>
      </c>
      <c r="E10" s="891"/>
      <c r="F10" s="891"/>
      <c r="G10" s="892"/>
      <c r="H10" s="889" t="s">
        <v>10</v>
      </c>
      <c r="I10" s="774"/>
      <c r="J10" s="774"/>
      <c r="K10" s="771" t="s">
        <v>841</v>
      </c>
      <c r="L10" s="772"/>
      <c r="M10" s="772"/>
      <c r="N10" s="893"/>
      <c r="O10" s="889" t="s">
        <v>9</v>
      </c>
      <c r="P10" s="774"/>
      <c r="Q10" s="774"/>
      <c r="R10" s="772" t="s">
        <v>883</v>
      </c>
      <c r="S10" s="772"/>
      <c r="T10" s="772"/>
      <c r="U10" s="893"/>
      <c r="W10" s="375"/>
      <c r="X10" s="375"/>
      <c r="Y10" s="375"/>
      <c r="Z10" s="375"/>
      <c r="AA10" s="375"/>
      <c r="AB10" s="375"/>
      <c r="AC10" s="375"/>
    </row>
    <row r="11" spans="1:29" s="359" customFormat="1" ht="20.100000000000001" customHeight="1" thickBot="1">
      <c r="A11" s="881" t="s">
        <v>783</v>
      </c>
      <c r="B11" s="791"/>
      <c r="C11" s="791"/>
      <c r="D11" s="882" t="s">
        <v>784</v>
      </c>
      <c r="E11" s="883"/>
      <c r="F11" s="883"/>
      <c r="G11" s="884"/>
      <c r="H11" s="885" t="s">
        <v>785</v>
      </c>
      <c r="I11" s="886"/>
      <c r="J11" s="886"/>
      <c r="K11" s="789" t="s">
        <v>886</v>
      </c>
      <c r="L11" s="717"/>
      <c r="M11" s="717"/>
      <c r="N11" s="718"/>
      <c r="O11" s="881" t="s">
        <v>786</v>
      </c>
      <c r="P11" s="791"/>
      <c r="Q11" s="791"/>
      <c r="R11" s="887" t="str">
        <f>'خلاصه مالي صورت وضعیت'!E5</f>
        <v>1399/06/02</v>
      </c>
      <c r="S11" s="887"/>
      <c r="T11" s="887"/>
      <c r="U11" s="888"/>
      <c r="W11" s="375"/>
      <c r="X11" s="375"/>
      <c r="Y11" s="375"/>
      <c r="Z11" s="375"/>
      <c r="AA11" s="375"/>
      <c r="AB11" s="375"/>
      <c r="AC11" s="375"/>
    </row>
    <row r="12" spans="1:29" ht="9.9499999999999993" customHeight="1" thickBot="1">
      <c r="A12" s="898"/>
      <c r="B12" s="898"/>
      <c r="C12" s="898"/>
      <c r="D12" s="898"/>
      <c r="E12" s="898"/>
      <c r="F12" s="898"/>
      <c r="G12" s="898"/>
      <c r="H12" s="898"/>
      <c r="I12" s="898"/>
      <c r="J12" s="898"/>
      <c r="K12" s="898"/>
      <c r="L12" s="898"/>
      <c r="M12" s="898"/>
      <c r="N12" s="898"/>
      <c r="O12" s="898"/>
      <c r="P12" s="898"/>
      <c r="Q12" s="898"/>
      <c r="R12" s="898"/>
      <c r="S12" s="898"/>
      <c r="T12" s="898"/>
      <c r="U12" s="898"/>
    </row>
    <row r="13" spans="1:29" s="359" customFormat="1" ht="20.100000000000001" customHeight="1">
      <c r="A13" s="899" t="s">
        <v>787</v>
      </c>
      <c r="B13" s="901" t="s">
        <v>788</v>
      </c>
      <c r="C13" s="902"/>
      <c r="D13" s="902"/>
      <c r="E13" s="902"/>
      <c r="F13" s="902"/>
      <c r="G13" s="905" t="s">
        <v>789</v>
      </c>
      <c r="H13" s="906"/>
      <c r="I13" s="906"/>
      <c r="J13" s="906"/>
      <c r="K13" s="906"/>
      <c r="L13" s="906"/>
      <c r="M13" s="906"/>
      <c r="N13" s="906"/>
      <c r="O13" s="906"/>
      <c r="P13" s="906" t="s">
        <v>790</v>
      </c>
      <c r="Q13" s="906"/>
      <c r="R13" s="907"/>
      <c r="S13" s="1031" t="s">
        <v>820</v>
      </c>
      <c r="T13" s="906"/>
      <c r="U13" s="910"/>
      <c r="W13" s="375"/>
      <c r="X13" s="375"/>
      <c r="Y13" s="375"/>
      <c r="Z13" s="375"/>
      <c r="AA13" s="375"/>
      <c r="AB13" s="375"/>
      <c r="AC13" s="375"/>
    </row>
    <row r="14" spans="1:29" s="359" customFormat="1" ht="20.100000000000001" customHeight="1" thickBot="1">
      <c r="A14" s="900"/>
      <c r="B14" s="903"/>
      <c r="C14" s="904"/>
      <c r="D14" s="904"/>
      <c r="E14" s="904"/>
      <c r="F14" s="904"/>
      <c r="G14" s="1032" t="s">
        <v>926</v>
      </c>
      <c r="H14" s="915"/>
      <c r="I14" s="915"/>
      <c r="J14" s="915" t="s">
        <v>932</v>
      </c>
      <c r="K14" s="915"/>
      <c r="L14" s="915"/>
      <c r="M14" s="915" t="s">
        <v>792</v>
      </c>
      <c r="N14" s="915"/>
      <c r="O14" s="915"/>
      <c r="P14" s="908"/>
      <c r="Q14" s="908"/>
      <c r="R14" s="909"/>
      <c r="S14" s="911"/>
      <c r="T14" s="908"/>
      <c r="U14" s="912"/>
      <c r="W14" s="375"/>
      <c r="X14" s="375"/>
      <c r="Y14" s="375"/>
      <c r="Z14" s="375"/>
      <c r="AA14" s="375"/>
      <c r="AB14" s="375"/>
      <c r="AC14" s="375"/>
    </row>
    <row r="15" spans="1:29" ht="18" customHeight="1" thickTop="1">
      <c r="A15" s="953" t="s">
        <v>730</v>
      </c>
      <c r="B15" s="956" t="s">
        <v>918</v>
      </c>
      <c r="C15" s="957"/>
      <c r="D15" s="957"/>
      <c r="E15" s="957"/>
      <c r="F15" s="957"/>
      <c r="G15" s="1030">
        <f>'summary-2'!G30:I30</f>
        <v>5980200895.0908079</v>
      </c>
      <c r="H15" s="819"/>
      <c r="I15" s="819"/>
      <c r="J15" s="816">
        <f t="shared" ref="J15:J68" si="0">IF(M15=0,0,M15-G15)</f>
        <v>47484336394.909195</v>
      </c>
      <c r="K15" s="817"/>
      <c r="L15" s="818"/>
      <c r="M15" s="819">
        <f>'خلاصه مالي صورت وضعیت'!G29+'خلاصه مالي صورت وضعیت'!G10</f>
        <v>53464537290</v>
      </c>
      <c r="N15" s="819"/>
      <c r="O15" s="819"/>
      <c r="P15" s="820" t="s">
        <v>795</v>
      </c>
      <c r="Q15" s="820"/>
      <c r="R15" s="939"/>
      <c r="S15" s="1033" t="s">
        <v>822</v>
      </c>
      <c r="T15" s="1034"/>
      <c r="U15" s="1035"/>
      <c r="W15" s="375"/>
      <c r="X15" s="375"/>
    </row>
    <row r="16" spans="1:29" ht="14.1" customHeight="1">
      <c r="A16" s="954"/>
      <c r="B16" s="958"/>
      <c r="C16" s="959"/>
      <c r="D16" s="959"/>
      <c r="E16" s="959"/>
      <c r="F16" s="959"/>
      <c r="G16" s="925">
        <f>'summary-2'!G31:I31</f>
        <v>5879612814.3621197</v>
      </c>
      <c r="H16" s="926"/>
      <c r="I16" s="926"/>
      <c r="J16" s="927">
        <f t="shared" si="0"/>
        <v>0</v>
      </c>
      <c r="K16" s="778"/>
      <c r="L16" s="928"/>
      <c r="M16" s="926">
        <f>'summary-2'!M31:O31</f>
        <v>0</v>
      </c>
      <c r="N16" s="926"/>
      <c r="O16" s="926"/>
      <c r="P16" s="929" t="s">
        <v>796</v>
      </c>
      <c r="Q16" s="929"/>
      <c r="R16" s="930"/>
      <c r="S16" s="1036"/>
      <c r="T16" s="1037"/>
      <c r="U16" s="1038"/>
      <c r="W16" s="375"/>
      <c r="X16" s="375"/>
    </row>
    <row r="17" spans="1:29" ht="14.1" customHeight="1">
      <c r="A17" s="955"/>
      <c r="B17" s="960"/>
      <c r="C17" s="961"/>
      <c r="D17" s="961"/>
      <c r="E17" s="961"/>
      <c r="F17" s="961"/>
      <c r="G17" s="931"/>
      <c r="H17" s="932"/>
      <c r="I17" s="932"/>
      <c r="J17" s="933">
        <f t="shared" si="0"/>
        <v>0</v>
      </c>
      <c r="K17" s="934"/>
      <c r="L17" s="935"/>
      <c r="M17" s="932"/>
      <c r="N17" s="932"/>
      <c r="O17" s="932"/>
      <c r="P17" s="943" t="s">
        <v>797</v>
      </c>
      <c r="Q17" s="943"/>
      <c r="R17" s="944"/>
      <c r="S17" s="1039"/>
      <c r="T17" s="1040"/>
      <c r="U17" s="1041"/>
      <c r="W17" s="375"/>
      <c r="X17" s="375"/>
    </row>
    <row r="18" spans="1:29" ht="14.1" customHeight="1">
      <c r="A18" s="1042" t="s">
        <v>730</v>
      </c>
      <c r="B18" s="810" t="s">
        <v>917</v>
      </c>
      <c r="C18" s="810"/>
      <c r="D18" s="810"/>
      <c r="E18" s="810"/>
      <c r="F18" s="1045"/>
      <c r="G18" s="814">
        <f>'summary-2'!G24:I24</f>
        <v>45144888612.5</v>
      </c>
      <c r="H18" s="815"/>
      <c r="I18" s="815"/>
      <c r="J18" s="816">
        <f t="shared" si="0"/>
        <v>12334014660.755989</v>
      </c>
      <c r="K18" s="817"/>
      <c r="L18" s="818"/>
      <c r="M18" s="815">
        <f>'خلاصه مالي صورت وضعیت'!G12+'خلاصه مالي صورت وضعیت'!G13+'خلاصه مالي صورت وضعیت'!G31+'خلاصه مالي صورت وضعیت'!G32</f>
        <v>57478903273.255989</v>
      </c>
      <c r="N18" s="815"/>
      <c r="O18" s="815"/>
      <c r="P18" s="896" t="s">
        <v>795</v>
      </c>
      <c r="Q18" s="896"/>
      <c r="R18" s="897"/>
      <c r="S18" s="1033" t="s">
        <v>823</v>
      </c>
      <c r="T18" s="1034"/>
      <c r="U18" s="1035"/>
      <c r="W18" s="375"/>
      <c r="X18" s="375"/>
    </row>
    <row r="19" spans="1:29" ht="14.1" customHeight="1">
      <c r="A19" s="1043"/>
      <c r="B19" s="742"/>
      <c r="C19" s="742"/>
      <c r="D19" s="742"/>
      <c r="E19" s="742"/>
      <c r="F19" s="1046"/>
      <c r="G19" s="925">
        <f>'summary-2'!G25:I25</f>
        <v>34458003773.734001</v>
      </c>
      <c r="H19" s="926"/>
      <c r="I19" s="926"/>
      <c r="J19" s="927">
        <f t="shared" si="0"/>
        <v>0</v>
      </c>
      <c r="K19" s="778"/>
      <c r="L19" s="928"/>
      <c r="M19" s="927">
        <f>'summary-2'!M25:O25</f>
        <v>0</v>
      </c>
      <c r="N19" s="778"/>
      <c r="O19" s="928"/>
      <c r="P19" s="929" t="s">
        <v>796</v>
      </c>
      <c r="Q19" s="929"/>
      <c r="R19" s="930"/>
      <c r="S19" s="1036"/>
      <c r="T19" s="1037"/>
      <c r="U19" s="1038"/>
      <c r="W19" s="375"/>
      <c r="X19" s="375"/>
    </row>
    <row r="20" spans="1:29" ht="14.1" customHeight="1">
      <c r="A20" s="1044"/>
      <c r="B20" s="813"/>
      <c r="C20" s="813"/>
      <c r="D20" s="813"/>
      <c r="E20" s="813"/>
      <c r="F20" s="1047"/>
      <c r="G20" s="1057"/>
      <c r="H20" s="936"/>
      <c r="I20" s="936"/>
      <c r="J20" s="933">
        <f t="shared" si="0"/>
        <v>0</v>
      </c>
      <c r="K20" s="934"/>
      <c r="L20" s="935"/>
      <c r="M20" s="933"/>
      <c r="N20" s="934"/>
      <c r="O20" s="935"/>
      <c r="P20" s="937" t="s">
        <v>797</v>
      </c>
      <c r="Q20" s="937"/>
      <c r="R20" s="938"/>
      <c r="S20" s="1039"/>
      <c r="T20" s="1040"/>
      <c r="U20" s="1041"/>
      <c r="W20" s="375"/>
      <c r="X20" s="375"/>
    </row>
    <row r="21" spans="1:29" ht="14.1" hidden="1" customHeight="1">
      <c r="A21" s="807">
        <v>1</v>
      </c>
      <c r="B21" s="811" t="s">
        <v>801</v>
      </c>
      <c r="C21" s="742"/>
      <c r="D21" s="742"/>
      <c r="E21" s="742"/>
      <c r="F21" s="742"/>
      <c r="G21" s="982"/>
      <c r="H21" s="817"/>
      <c r="I21" s="818"/>
      <c r="J21" s="816">
        <f t="shared" si="0"/>
        <v>0</v>
      </c>
      <c r="K21" s="817"/>
      <c r="L21" s="818"/>
      <c r="M21" s="816">
        <f>'summary-2'!M33</f>
        <v>0</v>
      </c>
      <c r="N21" s="817"/>
      <c r="O21" s="818"/>
      <c r="P21" s="820" t="s">
        <v>795</v>
      </c>
      <c r="Q21" s="820"/>
      <c r="R21" s="939"/>
      <c r="S21" s="1048" t="s">
        <v>824</v>
      </c>
      <c r="T21" s="1049"/>
      <c r="U21" s="1050"/>
      <c r="W21" s="375"/>
      <c r="X21" s="375"/>
      <c r="Y21" s="375"/>
      <c r="Z21" s="375"/>
    </row>
    <row r="22" spans="1:29" ht="14.1" hidden="1" customHeight="1">
      <c r="A22" s="807"/>
      <c r="B22" s="811"/>
      <c r="C22" s="742"/>
      <c r="D22" s="742"/>
      <c r="E22" s="742"/>
      <c r="F22" s="742"/>
      <c r="G22" s="777"/>
      <c r="H22" s="778"/>
      <c r="I22" s="928"/>
      <c r="J22" s="927">
        <f t="shared" si="0"/>
        <v>0</v>
      </c>
      <c r="K22" s="778"/>
      <c r="L22" s="928"/>
      <c r="M22" s="927">
        <f>'summary-2'!M34</f>
        <v>0</v>
      </c>
      <c r="N22" s="778"/>
      <c r="O22" s="928"/>
      <c r="P22" s="929" t="s">
        <v>796</v>
      </c>
      <c r="Q22" s="929"/>
      <c r="R22" s="930"/>
      <c r="S22" s="1051"/>
      <c r="T22" s="1052"/>
      <c r="U22" s="1053"/>
      <c r="W22" s="375"/>
      <c r="X22" s="375"/>
      <c r="Y22" s="375"/>
    </row>
    <row r="23" spans="1:29" ht="14.1" hidden="1" customHeight="1">
      <c r="A23" s="808"/>
      <c r="B23" s="812"/>
      <c r="C23" s="813"/>
      <c r="D23" s="813"/>
      <c r="E23" s="813"/>
      <c r="F23" s="813"/>
      <c r="G23" s="976"/>
      <c r="H23" s="934"/>
      <c r="I23" s="935"/>
      <c r="J23" s="933">
        <f t="shared" si="0"/>
        <v>0</v>
      </c>
      <c r="K23" s="934"/>
      <c r="L23" s="935"/>
      <c r="M23" s="933">
        <f>'summary-2'!M35</f>
        <v>0</v>
      </c>
      <c r="N23" s="934"/>
      <c r="O23" s="935"/>
      <c r="P23" s="943" t="s">
        <v>797</v>
      </c>
      <c r="Q23" s="943"/>
      <c r="R23" s="944"/>
      <c r="S23" s="1054"/>
      <c r="T23" s="1055"/>
      <c r="U23" s="1056"/>
      <c r="W23" s="375"/>
      <c r="X23" s="375"/>
      <c r="Y23" s="375"/>
    </row>
    <row r="24" spans="1:29" ht="14.1" hidden="1" customHeight="1">
      <c r="A24" s="1058">
        <v>2</v>
      </c>
      <c r="B24" s="809" t="s">
        <v>802</v>
      </c>
      <c r="C24" s="810"/>
      <c r="D24" s="810"/>
      <c r="E24" s="810"/>
      <c r="F24" s="810"/>
      <c r="G24" s="982"/>
      <c r="H24" s="817"/>
      <c r="I24" s="818"/>
      <c r="J24" s="816">
        <f t="shared" si="0"/>
        <v>0</v>
      </c>
      <c r="K24" s="817"/>
      <c r="L24" s="818"/>
      <c r="M24" s="816">
        <f>'summary-2'!M36</f>
        <v>0</v>
      </c>
      <c r="N24" s="817"/>
      <c r="O24" s="818"/>
      <c r="P24" s="820" t="s">
        <v>795</v>
      </c>
      <c r="Q24" s="820"/>
      <c r="R24" s="821"/>
      <c r="S24" s="1048" t="s">
        <v>825</v>
      </c>
      <c r="T24" s="1049"/>
      <c r="U24" s="1050"/>
      <c r="W24" s="375"/>
      <c r="X24" s="375"/>
      <c r="Y24" s="375"/>
    </row>
    <row r="25" spans="1:29" ht="14.1" hidden="1" customHeight="1">
      <c r="A25" s="807"/>
      <c r="B25" s="811"/>
      <c r="C25" s="742"/>
      <c r="D25" s="742"/>
      <c r="E25" s="742"/>
      <c r="F25" s="742"/>
      <c r="G25" s="777"/>
      <c r="H25" s="778"/>
      <c r="I25" s="928"/>
      <c r="J25" s="927">
        <f t="shared" si="0"/>
        <v>0</v>
      </c>
      <c r="K25" s="778"/>
      <c r="L25" s="928"/>
      <c r="M25" s="927">
        <f>'summary-2'!M37</f>
        <v>0</v>
      </c>
      <c r="N25" s="778"/>
      <c r="O25" s="928"/>
      <c r="P25" s="929" t="s">
        <v>796</v>
      </c>
      <c r="Q25" s="929"/>
      <c r="R25" s="975"/>
      <c r="S25" s="1051"/>
      <c r="T25" s="1052"/>
      <c r="U25" s="1053"/>
      <c r="W25" s="375"/>
      <c r="X25" s="375"/>
      <c r="Y25" s="375"/>
    </row>
    <row r="26" spans="1:29" ht="14.1" hidden="1" customHeight="1">
      <c r="A26" s="808"/>
      <c r="B26" s="812"/>
      <c r="C26" s="813"/>
      <c r="D26" s="813"/>
      <c r="E26" s="813"/>
      <c r="F26" s="813"/>
      <c r="G26" s="976"/>
      <c r="H26" s="934"/>
      <c r="I26" s="935"/>
      <c r="J26" s="933">
        <f t="shared" si="0"/>
        <v>0</v>
      </c>
      <c r="K26" s="934"/>
      <c r="L26" s="935"/>
      <c r="M26" s="933">
        <f>'summary-2'!M38</f>
        <v>0</v>
      </c>
      <c r="N26" s="934"/>
      <c r="O26" s="935"/>
      <c r="P26" s="943" t="s">
        <v>797</v>
      </c>
      <c r="Q26" s="943"/>
      <c r="R26" s="977"/>
      <c r="S26" s="1054"/>
      <c r="T26" s="1055"/>
      <c r="U26" s="1056"/>
      <c r="W26" s="375"/>
      <c r="X26" s="375"/>
      <c r="Y26" s="375"/>
    </row>
    <row r="27" spans="1:29" ht="14.1" customHeight="1">
      <c r="A27" s="1058">
        <v>3</v>
      </c>
      <c r="B27" s="809" t="s">
        <v>803</v>
      </c>
      <c r="C27" s="810"/>
      <c r="D27" s="810"/>
      <c r="E27" s="810"/>
      <c r="F27" s="810"/>
      <c r="G27" s="982">
        <f>'summary-2'!G39:I39</f>
        <v>140083740936.29568</v>
      </c>
      <c r="H27" s="817"/>
      <c r="I27" s="818"/>
      <c r="J27" s="816">
        <f t="shared" si="0"/>
        <v>145170753.8237915</v>
      </c>
      <c r="K27" s="817"/>
      <c r="L27" s="818"/>
      <c r="M27" s="816">
        <f>'summary-2'!M39</f>
        <v>140228911690.11948</v>
      </c>
      <c r="N27" s="817"/>
      <c r="O27" s="818"/>
      <c r="P27" s="820" t="s">
        <v>795</v>
      </c>
      <c r="Q27" s="820"/>
      <c r="R27" s="821"/>
      <c r="S27" s="1048" t="s">
        <v>826</v>
      </c>
      <c r="T27" s="1049"/>
      <c r="U27" s="1050"/>
      <c r="W27" s="375"/>
      <c r="X27" s="375"/>
      <c r="Y27" s="375"/>
    </row>
    <row r="28" spans="1:29" ht="14.1" customHeight="1">
      <c r="A28" s="807"/>
      <c r="B28" s="811"/>
      <c r="C28" s="742"/>
      <c r="D28" s="742"/>
      <c r="E28" s="742"/>
      <c r="F28" s="742"/>
      <c r="G28" s="925">
        <f>'summary-2'!G40:I40</f>
        <v>139972626456.61566</v>
      </c>
      <c r="H28" s="926"/>
      <c r="I28" s="926"/>
      <c r="J28" s="927">
        <f t="shared" si="0"/>
        <v>0</v>
      </c>
      <c r="K28" s="778"/>
      <c r="L28" s="928"/>
      <c r="M28" s="927">
        <f>'summary-2'!M40</f>
        <v>0</v>
      </c>
      <c r="N28" s="778"/>
      <c r="O28" s="928"/>
      <c r="P28" s="929" t="s">
        <v>796</v>
      </c>
      <c r="Q28" s="929"/>
      <c r="R28" s="975"/>
      <c r="S28" s="1051"/>
      <c r="T28" s="1052"/>
      <c r="U28" s="1053"/>
      <c r="W28" s="375"/>
      <c r="X28" s="375"/>
      <c r="Y28" s="375"/>
    </row>
    <row r="29" spans="1:29" ht="14.1" customHeight="1">
      <c r="A29" s="808"/>
      <c r="B29" s="812"/>
      <c r="C29" s="813"/>
      <c r="D29" s="813"/>
      <c r="E29" s="813"/>
      <c r="F29" s="813"/>
      <c r="G29" s="976"/>
      <c r="H29" s="934"/>
      <c r="I29" s="935"/>
      <c r="J29" s="933">
        <f t="shared" si="0"/>
        <v>0</v>
      </c>
      <c r="K29" s="934"/>
      <c r="L29" s="935"/>
      <c r="M29" s="933">
        <f>'summary-2'!M41</f>
        <v>0</v>
      </c>
      <c r="N29" s="934"/>
      <c r="O29" s="935"/>
      <c r="P29" s="943" t="s">
        <v>797</v>
      </c>
      <c r="Q29" s="943"/>
      <c r="R29" s="977"/>
      <c r="S29" s="1054"/>
      <c r="T29" s="1055"/>
      <c r="U29" s="1056"/>
      <c r="W29" s="375"/>
      <c r="X29" s="375"/>
      <c r="Y29" s="375"/>
    </row>
    <row r="30" spans="1:29" s="359" customFormat="1" ht="14.1" customHeight="1">
      <c r="A30" s="1059">
        <v>6</v>
      </c>
      <c r="B30" s="980" t="s">
        <v>804</v>
      </c>
      <c r="C30" s="981"/>
      <c r="D30" s="981"/>
      <c r="E30" s="981"/>
      <c r="F30" s="981"/>
      <c r="G30" s="982">
        <f>'summary-2'!G42:I42</f>
        <v>2542449959.5900002</v>
      </c>
      <c r="H30" s="817"/>
      <c r="I30" s="818"/>
      <c r="J30" s="816">
        <f t="shared" si="0"/>
        <v>0</v>
      </c>
      <c r="K30" s="817"/>
      <c r="L30" s="818"/>
      <c r="M30" s="816">
        <f>'summary-2'!M42</f>
        <v>2542449959.5900002</v>
      </c>
      <c r="N30" s="817"/>
      <c r="O30" s="818"/>
      <c r="P30" s="820" t="s">
        <v>795</v>
      </c>
      <c r="Q30" s="820"/>
      <c r="R30" s="821"/>
      <c r="S30" s="1048" t="s">
        <v>827</v>
      </c>
      <c r="T30" s="1049"/>
      <c r="U30" s="1050"/>
      <c r="W30" s="375"/>
      <c r="X30" s="375"/>
      <c r="Y30" s="375"/>
      <c r="Z30" s="375"/>
      <c r="AA30" s="375"/>
      <c r="AB30" s="375"/>
      <c r="AC30" s="375"/>
    </row>
    <row r="31" spans="1:29" s="359" customFormat="1" ht="14.1" customHeight="1">
      <c r="A31" s="1059"/>
      <c r="B31" s="980"/>
      <c r="C31" s="981"/>
      <c r="D31" s="981"/>
      <c r="E31" s="981"/>
      <c r="F31" s="981"/>
      <c r="G31" s="925">
        <f>'summary-2'!G43:I43</f>
        <v>2483126127.1900001</v>
      </c>
      <c r="H31" s="926"/>
      <c r="I31" s="926"/>
      <c r="J31" s="927">
        <f t="shared" si="0"/>
        <v>0</v>
      </c>
      <c r="K31" s="778"/>
      <c r="L31" s="928"/>
      <c r="M31" s="927">
        <f>'summary-2'!M43</f>
        <v>0</v>
      </c>
      <c r="N31" s="778"/>
      <c r="O31" s="928"/>
      <c r="P31" s="929" t="s">
        <v>796</v>
      </c>
      <c r="Q31" s="929"/>
      <c r="R31" s="975"/>
      <c r="S31" s="1051"/>
      <c r="T31" s="1052"/>
      <c r="U31" s="1053"/>
      <c r="W31" s="375"/>
      <c r="X31" s="375"/>
      <c r="Y31" s="375"/>
      <c r="Z31" s="375"/>
      <c r="AA31" s="375"/>
      <c r="AB31" s="375"/>
      <c r="AC31" s="375"/>
    </row>
    <row r="32" spans="1:29" s="359" customFormat="1" ht="14.1" customHeight="1">
      <c r="A32" s="1059"/>
      <c r="B32" s="980"/>
      <c r="C32" s="981"/>
      <c r="D32" s="981"/>
      <c r="E32" s="981"/>
      <c r="F32" s="981"/>
      <c r="G32" s="976"/>
      <c r="H32" s="934"/>
      <c r="I32" s="935"/>
      <c r="J32" s="933">
        <f t="shared" si="0"/>
        <v>0</v>
      </c>
      <c r="K32" s="934"/>
      <c r="L32" s="935"/>
      <c r="M32" s="933">
        <f>'summary-2'!M44</f>
        <v>0</v>
      </c>
      <c r="N32" s="934"/>
      <c r="O32" s="935"/>
      <c r="P32" s="943" t="s">
        <v>797</v>
      </c>
      <c r="Q32" s="943"/>
      <c r="R32" s="977"/>
      <c r="S32" s="1054"/>
      <c r="T32" s="1055"/>
      <c r="U32" s="1056"/>
      <c r="W32" s="375"/>
      <c r="X32" s="375"/>
      <c r="Y32" s="375"/>
      <c r="Z32" s="375"/>
      <c r="AA32" s="375"/>
      <c r="AB32" s="375"/>
      <c r="AC32" s="375"/>
    </row>
    <row r="33" spans="1:29" s="361" customFormat="1" ht="14.1" customHeight="1">
      <c r="A33" s="1059">
        <v>8</v>
      </c>
      <c r="B33" s="980" t="s">
        <v>805</v>
      </c>
      <c r="C33" s="981"/>
      <c r="D33" s="981"/>
      <c r="E33" s="981"/>
      <c r="F33" s="981"/>
      <c r="G33" s="982">
        <f>'summary-2'!G45:I45</f>
        <v>25424499588</v>
      </c>
      <c r="H33" s="817"/>
      <c r="I33" s="818"/>
      <c r="J33" s="816">
        <f t="shared" si="0"/>
        <v>0</v>
      </c>
      <c r="K33" s="817"/>
      <c r="L33" s="818"/>
      <c r="M33" s="816">
        <f>'summary-2'!M45</f>
        <v>25424499588</v>
      </c>
      <c r="N33" s="817"/>
      <c r="O33" s="818"/>
      <c r="P33" s="820" t="s">
        <v>795</v>
      </c>
      <c r="Q33" s="820"/>
      <c r="R33" s="821"/>
      <c r="S33" s="1048" t="s">
        <v>828</v>
      </c>
      <c r="T33" s="1049"/>
      <c r="U33" s="1050"/>
      <c r="W33" s="375"/>
      <c r="X33" s="375"/>
      <c r="Y33" s="375"/>
      <c r="Z33" s="380"/>
      <c r="AA33" s="380"/>
      <c r="AB33" s="380"/>
      <c r="AC33" s="380"/>
    </row>
    <row r="34" spans="1:29" s="361" customFormat="1" ht="14.1" customHeight="1">
      <c r="A34" s="1059"/>
      <c r="B34" s="980"/>
      <c r="C34" s="981"/>
      <c r="D34" s="981"/>
      <c r="E34" s="981"/>
      <c r="F34" s="981"/>
      <c r="G34" s="925">
        <f>'summary-2'!G46:I46</f>
        <v>25255002924.080002</v>
      </c>
      <c r="H34" s="926"/>
      <c r="I34" s="926"/>
      <c r="J34" s="927">
        <f t="shared" si="0"/>
        <v>0</v>
      </c>
      <c r="K34" s="778"/>
      <c r="L34" s="928"/>
      <c r="M34" s="927">
        <f>'summary-2'!M46</f>
        <v>0</v>
      </c>
      <c r="N34" s="778"/>
      <c r="O34" s="928"/>
      <c r="P34" s="929" t="s">
        <v>796</v>
      </c>
      <c r="Q34" s="929"/>
      <c r="R34" s="975"/>
      <c r="S34" s="1051"/>
      <c r="T34" s="1052"/>
      <c r="U34" s="1053"/>
      <c r="W34" s="375"/>
      <c r="X34" s="375"/>
      <c r="Y34" s="375"/>
      <c r="Z34" s="380"/>
      <c r="AA34" s="380"/>
      <c r="AB34" s="380"/>
      <c r="AC34" s="380"/>
    </row>
    <row r="35" spans="1:29" s="361" customFormat="1" ht="14.1" customHeight="1">
      <c r="A35" s="1059"/>
      <c r="B35" s="980"/>
      <c r="C35" s="981"/>
      <c r="D35" s="981"/>
      <c r="E35" s="981"/>
      <c r="F35" s="981"/>
      <c r="G35" s="976"/>
      <c r="H35" s="934"/>
      <c r="I35" s="935"/>
      <c r="J35" s="933">
        <f t="shared" si="0"/>
        <v>0</v>
      </c>
      <c r="K35" s="934"/>
      <c r="L35" s="935"/>
      <c r="M35" s="933">
        <f>'summary-2'!M47</f>
        <v>0</v>
      </c>
      <c r="N35" s="934"/>
      <c r="O35" s="935"/>
      <c r="P35" s="943" t="s">
        <v>797</v>
      </c>
      <c r="Q35" s="943"/>
      <c r="R35" s="977"/>
      <c r="S35" s="1054"/>
      <c r="T35" s="1055"/>
      <c r="U35" s="1056"/>
      <c r="W35" s="375"/>
      <c r="X35" s="375"/>
      <c r="Y35" s="375"/>
      <c r="Z35" s="380"/>
      <c r="AA35" s="380"/>
      <c r="AB35" s="380"/>
      <c r="AC35" s="380"/>
    </row>
    <row r="36" spans="1:29" ht="14.1" customHeight="1">
      <c r="A36" s="1059">
        <v>9</v>
      </c>
      <c r="B36" s="980" t="s">
        <v>806</v>
      </c>
      <c r="C36" s="981"/>
      <c r="D36" s="981"/>
      <c r="E36" s="981"/>
      <c r="F36" s="981"/>
      <c r="G36" s="982">
        <f>'summary-2'!G48:I48</f>
        <v>50848999176</v>
      </c>
      <c r="H36" s="817"/>
      <c r="I36" s="818"/>
      <c r="J36" s="816">
        <f t="shared" si="0"/>
        <v>0</v>
      </c>
      <c r="K36" s="817"/>
      <c r="L36" s="818"/>
      <c r="M36" s="816">
        <f>'summary-2'!M48</f>
        <v>50848999176</v>
      </c>
      <c r="N36" s="817"/>
      <c r="O36" s="818"/>
      <c r="P36" s="820" t="s">
        <v>795</v>
      </c>
      <c r="Q36" s="820"/>
      <c r="R36" s="821"/>
      <c r="S36" s="1048" t="s">
        <v>829</v>
      </c>
      <c r="T36" s="1049"/>
      <c r="U36" s="1050"/>
      <c r="W36" s="375"/>
      <c r="X36" s="375"/>
      <c r="Y36" s="375"/>
    </row>
    <row r="37" spans="1:29" ht="14.1" customHeight="1">
      <c r="A37" s="1059">
        <v>9</v>
      </c>
      <c r="B37" s="980" t="s">
        <v>806</v>
      </c>
      <c r="C37" s="981"/>
      <c r="D37" s="981"/>
      <c r="E37" s="981"/>
      <c r="F37" s="981"/>
      <c r="G37" s="925">
        <f>'summary-2'!G49:I49</f>
        <v>50510005848.160004</v>
      </c>
      <c r="H37" s="926"/>
      <c r="I37" s="926"/>
      <c r="J37" s="927">
        <f t="shared" si="0"/>
        <v>0</v>
      </c>
      <c r="K37" s="778"/>
      <c r="L37" s="928"/>
      <c r="M37" s="927">
        <f>'summary-2'!M49</f>
        <v>0</v>
      </c>
      <c r="N37" s="778"/>
      <c r="O37" s="928"/>
      <c r="P37" s="929" t="s">
        <v>796</v>
      </c>
      <c r="Q37" s="929"/>
      <c r="R37" s="975"/>
      <c r="S37" s="1051"/>
      <c r="T37" s="1052"/>
      <c r="U37" s="1053"/>
      <c r="W37" s="375"/>
      <c r="X37" s="375"/>
      <c r="Y37" s="375"/>
    </row>
    <row r="38" spans="1:29" ht="14.1" customHeight="1">
      <c r="A38" s="1059">
        <v>9</v>
      </c>
      <c r="B38" s="980" t="s">
        <v>806</v>
      </c>
      <c r="C38" s="981"/>
      <c r="D38" s="981"/>
      <c r="E38" s="981"/>
      <c r="F38" s="981"/>
      <c r="G38" s="976"/>
      <c r="H38" s="934"/>
      <c r="I38" s="935"/>
      <c r="J38" s="933">
        <f t="shared" si="0"/>
        <v>0</v>
      </c>
      <c r="K38" s="934"/>
      <c r="L38" s="935"/>
      <c r="M38" s="933">
        <f>'summary-2'!M50</f>
        <v>0</v>
      </c>
      <c r="N38" s="934"/>
      <c r="O38" s="935"/>
      <c r="P38" s="943" t="s">
        <v>797</v>
      </c>
      <c r="Q38" s="943"/>
      <c r="R38" s="977"/>
      <c r="S38" s="1054"/>
      <c r="T38" s="1055"/>
      <c r="U38" s="1056"/>
      <c r="W38" s="375"/>
      <c r="X38" s="375"/>
      <c r="Y38" s="375"/>
    </row>
    <row r="39" spans="1:29" ht="14.1" customHeight="1">
      <c r="A39" s="1059">
        <v>11</v>
      </c>
      <c r="B39" s="980" t="s">
        <v>807</v>
      </c>
      <c r="C39" s="981"/>
      <c r="D39" s="981"/>
      <c r="E39" s="981"/>
      <c r="F39" s="981"/>
      <c r="G39" s="982">
        <f>'summary-2'!G51:I51</f>
        <v>6327875452.8299999</v>
      </c>
      <c r="H39" s="817"/>
      <c r="I39" s="818"/>
      <c r="J39" s="816">
        <f t="shared" si="0"/>
        <v>1581968863.2299995</v>
      </c>
      <c r="K39" s="817"/>
      <c r="L39" s="818"/>
      <c r="M39" s="816">
        <f>'summary-2'!M51</f>
        <v>7909844316.0599995</v>
      </c>
      <c r="N39" s="817"/>
      <c r="O39" s="818"/>
      <c r="P39" s="820" t="s">
        <v>795</v>
      </c>
      <c r="Q39" s="820"/>
      <c r="R39" s="821"/>
      <c r="S39" s="1048" t="s">
        <v>830</v>
      </c>
      <c r="T39" s="1049"/>
      <c r="U39" s="1050"/>
      <c r="W39" s="375"/>
      <c r="X39" s="375"/>
      <c r="Y39" s="375"/>
    </row>
    <row r="40" spans="1:29" ht="14.1" customHeight="1">
      <c r="A40" s="1059">
        <v>12</v>
      </c>
      <c r="B40" s="980" t="s">
        <v>806</v>
      </c>
      <c r="C40" s="981"/>
      <c r="D40" s="981"/>
      <c r="E40" s="981"/>
      <c r="F40" s="981"/>
      <c r="G40" s="925">
        <f>'summary-2'!G52:I52</f>
        <v>527322954.40600002</v>
      </c>
      <c r="H40" s="926"/>
      <c r="I40" s="926"/>
      <c r="J40" s="927">
        <f t="shared" si="0"/>
        <v>0</v>
      </c>
      <c r="K40" s="778"/>
      <c r="L40" s="928"/>
      <c r="M40" s="927">
        <f>'summary-2'!M52</f>
        <v>0</v>
      </c>
      <c r="N40" s="778"/>
      <c r="O40" s="928"/>
      <c r="P40" s="929" t="s">
        <v>796</v>
      </c>
      <c r="Q40" s="929"/>
      <c r="R40" s="975"/>
      <c r="S40" s="1051"/>
      <c r="T40" s="1052"/>
      <c r="U40" s="1053"/>
      <c r="W40" s="375"/>
      <c r="X40" s="375"/>
      <c r="Y40" s="375"/>
    </row>
    <row r="41" spans="1:29" ht="14.1" customHeight="1">
      <c r="A41" s="1059">
        <v>12</v>
      </c>
      <c r="B41" s="980" t="s">
        <v>806</v>
      </c>
      <c r="C41" s="981"/>
      <c r="D41" s="981"/>
      <c r="E41" s="981"/>
      <c r="F41" s="981"/>
      <c r="G41" s="976"/>
      <c r="H41" s="934"/>
      <c r="I41" s="935"/>
      <c r="J41" s="933">
        <f t="shared" si="0"/>
        <v>0</v>
      </c>
      <c r="K41" s="934"/>
      <c r="L41" s="935"/>
      <c r="M41" s="933">
        <f>'summary-2'!M53</f>
        <v>0</v>
      </c>
      <c r="N41" s="934"/>
      <c r="O41" s="935"/>
      <c r="P41" s="943" t="s">
        <v>797</v>
      </c>
      <c r="Q41" s="943"/>
      <c r="R41" s="977"/>
      <c r="S41" s="1054"/>
      <c r="T41" s="1055"/>
      <c r="U41" s="1056"/>
      <c r="W41" s="375"/>
      <c r="X41" s="375"/>
      <c r="Y41" s="375"/>
    </row>
    <row r="42" spans="1:29" ht="14.1" customHeight="1">
      <c r="A42" s="1059">
        <v>12</v>
      </c>
      <c r="B42" s="980" t="s">
        <v>808</v>
      </c>
      <c r="C42" s="981"/>
      <c r="D42" s="981"/>
      <c r="E42" s="981"/>
      <c r="F42" s="981"/>
      <c r="G42" s="982">
        <f>'summary-2'!G54:I54</f>
        <v>16102183072.400002</v>
      </c>
      <c r="H42" s="817"/>
      <c r="I42" s="818"/>
      <c r="J42" s="816">
        <f t="shared" si="0"/>
        <v>0</v>
      </c>
      <c r="K42" s="817"/>
      <c r="L42" s="818"/>
      <c r="M42" s="816">
        <f>'summary-2'!M54</f>
        <v>16102183072.400002</v>
      </c>
      <c r="N42" s="817"/>
      <c r="O42" s="818"/>
      <c r="P42" s="820" t="s">
        <v>795</v>
      </c>
      <c r="Q42" s="820"/>
      <c r="R42" s="821"/>
      <c r="S42" s="1048" t="s">
        <v>831</v>
      </c>
      <c r="T42" s="1049"/>
      <c r="U42" s="1050"/>
      <c r="W42" s="375"/>
      <c r="X42" s="375"/>
      <c r="Y42" s="375"/>
    </row>
    <row r="43" spans="1:29" ht="14.1" customHeight="1">
      <c r="A43" s="1059">
        <v>12</v>
      </c>
      <c r="B43" s="980" t="s">
        <v>808</v>
      </c>
      <c r="C43" s="981"/>
      <c r="D43" s="981"/>
      <c r="E43" s="981"/>
      <c r="F43" s="981"/>
      <c r="G43" s="925">
        <f>'summary-2'!G55:I55</f>
        <v>16068283739.616001</v>
      </c>
      <c r="H43" s="926"/>
      <c r="I43" s="926"/>
      <c r="J43" s="927">
        <f t="shared" si="0"/>
        <v>0</v>
      </c>
      <c r="K43" s="778"/>
      <c r="L43" s="928"/>
      <c r="M43" s="927">
        <f>'summary-2'!M55</f>
        <v>0</v>
      </c>
      <c r="N43" s="778"/>
      <c r="O43" s="928"/>
      <c r="P43" s="929" t="s">
        <v>796</v>
      </c>
      <c r="Q43" s="929"/>
      <c r="R43" s="975"/>
      <c r="S43" s="1051"/>
      <c r="T43" s="1052"/>
      <c r="U43" s="1053"/>
      <c r="W43" s="375"/>
      <c r="X43" s="375"/>
      <c r="Y43" s="375"/>
    </row>
    <row r="44" spans="1:29" ht="14.1" customHeight="1">
      <c r="A44" s="1059">
        <v>12</v>
      </c>
      <c r="B44" s="980" t="s">
        <v>808</v>
      </c>
      <c r="C44" s="981"/>
      <c r="D44" s="981"/>
      <c r="E44" s="981"/>
      <c r="F44" s="981"/>
      <c r="G44" s="976"/>
      <c r="H44" s="934"/>
      <c r="I44" s="935"/>
      <c r="J44" s="933">
        <f t="shared" si="0"/>
        <v>0</v>
      </c>
      <c r="K44" s="934"/>
      <c r="L44" s="935"/>
      <c r="M44" s="933">
        <f>'summary-2'!M56</f>
        <v>0</v>
      </c>
      <c r="N44" s="934"/>
      <c r="O44" s="935"/>
      <c r="P44" s="943" t="s">
        <v>797</v>
      </c>
      <c r="Q44" s="943"/>
      <c r="R44" s="977"/>
      <c r="S44" s="1054"/>
      <c r="T44" s="1055"/>
      <c r="U44" s="1056"/>
      <c r="W44" s="375"/>
      <c r="X44" s="375"/>
      <c r="Y44" s="375"/>
    </row>
    <row r="45" spans="1:29" ht="14.1" customHeight="1">
      <c r="A45" s="1059">
        <v>13</v>
      </c>
      <c r="B45" s="980" t="s">
        <v>809</v>
      </c>
      <c r="C45" s="981"/>
      <c r="D45" s="981"/>
      <c r="E45" s="981"/>
      <c r="F45" s="981"/>
      <c r="G45" s="982">
        <f>'summary-2'!G57:I57</f>
        <v>88591328056.058533</v>
      </c>
      <c r="H45" s="817"/>
      <c r="I45" s="818"/>
      <c r="J45" s="816">
        <f t="shared" si="0"/>
        <v>-43537840741.012596</v>
      </c>
      <c r="K45" s="817"/>
      <c r="L45" s="818"/>
      <c r="M45" s="816">
        <f>'summary-2'!M57</f>
        <v>45053487315.045937</v>
      </c>
      <c r="N45" s="817"/>
      <c r="O45" s="818"/>
      <c r="P45" s="820" t="s">
        <v>795</v>
      </c>
      <c r="Q45" s="820"/>
      <c r="R45" s="821"/>
      <c r="S45" s="1048" t="s">
        <v>832</v>
      </c>
      <c r="T45" s="1049"/>
      <c r="U45" s="1050"/>
      <c r="W45" s="375"/>
      <c r="X45" s="375"/>
      <c r="Y45" s="375"/>
    </row>
    <row r="46" spans="1:29" ht="14.1" customHeight="1">
      <c r="A46" s="1059">
        <v>13</v>
      </c>
      <c r="B46" s="980" t="s">
        <v>809</v>
      </c>
      <c r="C46" s="981"/>
      <c r="D46" s="981"/>
      <c r="E46" s="981"/>
      <c r="F46" s="981"/>
      <c r="G46" s="925">
        <f>'summary-2'!G58:I58</f>
        <v>50850167571.381096</v>
      </c>
      <c r="H46" s="926"/>
      <c r="I46" s="926"/>
      <c r="J46" s="927">
        <f t="shared" si="0"/>
        <v>0</v>
      </c>
      <c r="K46" s="778"/>
      <c r="L46" s="928"/>
      <c r="M46" s="927">
        <f>'summary-2'!M58</f>
        <v>0</v>
      </c>
      <c r="N46" s="778"/>
      <c r="O46" s="928"/>
      <c r="P46" s="929" t="s">
        <v>796</v>
      </c>
      <c r="Q46" s="929"/>
      <c r="R46" s="975"/>
      <c r="S46" s="1051"/>
      <c r="T46" s="1052"/>
      <c r="U46" s="1053"/>
      <c r="W46" s="375"/>
      <c r="X46" s="375"/>
      <c r="Y46" s="375"/>
    </row>
    <row r="47" spans="1:29" ht="14.1" customHeight="1">
      <c r="A47" s="1059">
        <v>13</v>
      </c>
      <c r="B47" s="980" t="s">
        <v>809</v>
      </c>
      <c r="C47" s="981"/>
      <c r="D47" s="981"/>
      <c r="E47" s="981"/>
      <c r="F47" s="981"/>
      <c r="G47" s="976"/>
      <c r="H47" s="934"/>
      <c r="I47" s="935"/>
      <c r="J47" s="933">
        <f t="shared" si="0"/>
        <v>0</v>
      </c>
      <c r="K47" s="934"/>
      <c r="L47" s="935"/>
      <c r="M47" s="933">
        <f>'summary-2'!M59</f>
        <v>0</v>
      </c>
      <c r="N47" s="934"/>
      <c r="O47" s="935"/>
      <c r="P47" s="943" t="s">
        <v>797</v>
      </c>
      <c r="Q47" s="943"/>
      <c r="R47" s="977"/>
      <c r="S47" s="1054"/>
      <c r="T47" s="1055"/>
      <c r="U47" s="1056"/>
      <c r="W47" s="375"/>
      <c r="X47" s="375"/>
      <c r="Y47" s="375"/>
    </row>
    <row r="48" spans="1:29" ht="14.1" customHeight="1">
      <c r="A48" s="1059">
        <v>14</v>
      </c>
      <c r="B48" s="980" t="s">
        <v>810</v>
      </c>
      <c r="C48" s="981"/>
      <c r="D48" s="981"/>
      <c r="E48" s="981"/>
      <c r="F48" s="981"/>
      <c r="G48" s="982">
        <f>'summary-2'!G60:I60</f>
        <v>166789417297.28833</v>
      </c>
      <c r="H48" s="817"/>
      <c r="I48" s="818"/>
      <c r="J48" s="816">
        <f t="shared" si="0"/>
        <v>-46072723836.833801</v>
      </c>
      <c r="K48" s="817"/>
      <c r="L48" s="818"/>
      <c r="M48" s="816">
        <f>'summary-2'!M60</f>
        <v>120716693460.45453</v>
      </c>
      <c r="N48" s="817"/>
      <c r="O48" s="818"/>
      <c r="P48" s="820" t="s">
        <v>795</v>
      </c>
      <c r="Q48" s="820"/>
      <c r="R48" s="821"/>
      <c r="S48" s="1048" t="s">
        <v>833</v>
      </c>
      <c r="T48" s="1049"/>
      <c r="U48" s="1050"/>
      <c r="W48" s="375"/>
      <c r="X48" s="375"/>
      <c r="Y48" s="375"/>
    </row>
    <row r="49" spans="1:25" ht="14.1" customHeight="1">
      <c r="A49" s="1059">
        <v>14</v>
      </c>
      <c r="B49" s="980" t="s">
        <v>810</v>
      </c>
      <c r="C49" s="981"/>
      <c r="D49" s="981"/>
      <c r="E49" s="981"/>
      <c r="F49" s="981"/>
      <c r="G49" s="925">
        <f>'summary-2'!G61:I61</f>
        <v>108825638005.62637</v>
      </c>
      <c r="H49" s="926"/>
      <c r="I49" s="926"/>
      <c r="J49" s="927">
        <f t="shared" si="0"/>
        <v>0</v>
      </c>
      <c r="K49" s="778"/>
      <c r="L49" s="928"/>
      <c r="M49" s="927">
        <f>'summary-2'!M61</f>
        <v>0</v>
      </c>
      <c r="N49" s="778"/>
      <c r="O49" s="928"/>
      <c r="P49" s="929" t="s">
        <v>796</v>
      </c>
      <c r="Q49" s="929"/>
      <c r="R49" s="975"/>
      <c r="S49" s="1051"/>
      <c r="T49" s="1052"/>
      <c r="U49" s="1053"/>
      <c r="W49" s="375"/>
      <c r="X49" s="375"/>
      <c r="Y49" s="375"/>
    </row>
    <row r="50" spans="1:25" ht="14.1" customHeight="1">
      <c r="A50" s="1059">
        <v>14</v>
      </c>
      <c r="B50" s="980" t="s">
        <v>810</v>
      </c>
      <c r="C50" s="981"/>
      <c r="D50" s="981"/>
      <c r="E50" s="981"/>
      <c r="F50" s="981"/>
      <c r="G50" s="976"/>
      <c r="H50" s="934"/>
      <c r="I50" s="935"/>
      <c r="J50" s="933">
        <f t="shared" si="0"/>
        <v>0</v>
      </c>
      <c r="K50" s="934"/>
      <c r="L50" s="935"/>
      <c r="M50" s="933">
        <f>'summary-2'!M62</f>
        <v>0</v>
      </c>
      <c r="N50" s="934"/>
      <c r="O50" s="935"/>
      <c r="P50" s="943" t="s">
        <v>797</v>
      </c>
      <c r="Q50" s="943"/>
      <c r="R50" s="977"/>
      <c r="S50" s="1054"/>
      <c r="T50" s="1055"/>
      <c r="U50" s="1056"/>
      <c r="W50" s="375"/>
      <c r="X50" s="375"/>
      <c r="Y50" s="375"/>
    </row>
    <row r="51" spans="1:25" ht="14.1" customHeight="1">
      <c r="A51" s="1059">
        <v>16</v>
      </c>
      <c r="B51" s="980" t="s">
        <v>639</v>
      </c>
      <c r="C51" s="981"/>
      <c r="D51" s="981"/>
      <c r="E51" s="981"/>
      <c r="F51" s="981"/>
      <c r="G51" s="982">
        <f>'summary-2'!G63:I63</f>
        <v>1412472198.4400001</v>
      </c>
      <c r="H51" s="817"/>
      <c r="I51" s="818"/>
      <c r="J51" s="816">
        <f t="shared" si="0"/>
        <v>0</v>
      </c>
      <c r="K51" s="817"/>
      <c r="L51" s="818"/>
      <c r="M51" s="816">
        <f>'summary-2'!M63</f>
        <v>1412472198.4400001</v>
      </c>
      <c r="N51" s="817"/>
      <c r="O51" s="818"/>
      <c r="P51" s="820" t="s">
        <v>795</v>
      </c>
      <c r="Q51" s="820"/>
      <c r="R51" s="821"/>
      <c r="S51" s="1048" t="s">
        <v>834</v>
      </c>
      <c r="T51" s="1049"/>
      <c r="U51" s="1050"/>
      <c r="W51" s="375"/>
      <c r="X51" s="375"/>
      <c r="Y51" s="375"/>
    </row>
    <row r="52" spans="1:25" ht="14.1" customHeight="1">
      <c r="A52" s="1059">
        <v>16</v>
      </c>
      <c r="B52" s="980" t="s">
        <v>639</v>
      </c>
      <c r="C52" s="981"/>
      <c r="D52" s="981"/>
      <c r="E52" s="981"/>
      <c r="F52" s="981"/>
      <c r="G52" s="925">
        <f>'summary-2'!G64:I64</f>
        <v>1403055717.1200001</v>
      </c>
      <c r="H52" s="926"/>
      <c r="I52" s="926"/>
      <c r="J52" s="927">
        <f t="shared" si="0"/>
        <v>0</v>
      </c>
      <c r="K52" s="778"/>
      <c r="L52" s="928"/>
      <c r="M52" s="927">
        <f>'summary-2'!M64</f>
        <v>0</v>
      </c>
      <c r="N52" s="778"/>
      <c r="O52" s="928"/>
      <c r="P52" s="929" t="s">
        <v>796</v>
      </c>
      <c r="Q52" s="929"/>
      <c r="R52" s="975"/>
      <c r="S52" s="1051"/>
      <c r="T52" s="1052"/>
      <c r="U52" s="1053"/>
      <c r="W52" s="375"/>
      <c r="X52" s="375"/>
      <c r="Y52" s="375"/>
    </row>
    <row r="53" spans="1:25" ht="14.1" customHeight="1">
      <c r="A53" s="1059">
        <v>16</v>
      </c>
      <c r="B53" s="980" t="s">
        <v>639</v>
      </c>
      <c r="C53" s="981"/>
      <c r="D53" s="981"/>
      <c r="E53" s="981"/>
      <c r="F53" s="981"/>
      <c r="G53" s="976"/>
      <c r="H53" s="934"/>
      <c r="I53" s="935"/>
      <c r="J53" s="933">
        <f t="shared" si="0"/>
        <v>0</v>
      </c>
      <c r="K53" s="934"/>
      <c r="L53" s="935"/>
      <c r="M53" s="933">
        <f>'summary-2'!M65</f>
        <v>0</v>
      </c>
      <c r="N53" s="934"/>
      <c r="O53" s="935"/>
      <c r="P53" s="943" t="s">
        <v>797</v>
      </c>
      <c r="Q53" s="943"/>
      <c r="R53" s="977"/>
      <c r="S53" s="1054"/>
      <c r="T53" s="1055"/>
      <c r="U53" s="1056"/>
      <c r="W53" s="375"/>
      <c r="X53" s="375"/>
      <c r="Y53" s="375"/>
    </row>
    <row r="54" spans="1:25" ht="14.1" hidden="1" customHeight="1">
      <c r="A54" s="1059">
        <v>19</v>
      </c>
      <c r="B54" s="980" t="s">
        <v>811</v>
      </c>
      <c r="C54" s="981"/>
      <c r="D54" s="981"/>
      <c r="E54" s="981"/>
      <c r="F54" s="981"/>
      <c r="G54" s="982"/>
      <c r="H54" s="817"/>
      <c r="I54" s="818"/>
      <c r="J54" s="816">
        <f t="shared" si="0"/>
        <v>0</v>
      </c>
      <c r="K54" s="817"/>
      <c r="L54" s="818"/>
      <c r="M54" s="816">
        <f>'summary-2'!M66</f>
        <v>0</v>
      </c>
      <c r="N54" s="817"/>
      <c r="O54" s="818"/>
      <c r="P54" s="820" t="s">
        <v>795</v>
      </c>
      <c r="Q54" s="820"/>
      <c r="R54" s="821"/>
      <c r="S54" s="1048" t="s">
        <v>835</v>
      </c>
      <c r="T54" s="1049"/>
      <c r="U54" s="1050"/>
      <c r="W54" s="375"/>
      <c r="X54" s="375"/>
      <c r="Y54" s="375"/>
    </row>
    <row r="55" spans="1:25" ht="14.1" hidden="1" customHeight="1">
      <c r="A55" s="1059">
        <v>20</v>
      </c>
      <c r="B55" s="980"/>
      <c r="C55" s="981"/>
      <c r="D55" s="981"/>
      <c r="E55" s="981"/>
      <c r="F55" s="981"/>
      <c r="G55" s="777"/>
      <c r="H55" s="778"/>
      <c r="I55" s="928"/>
      <c r="J55" s="927">
        <f t="shared" si="0"/>
        <v>0</v>
      </c>
      <c r="K55" s="778"/>
      <c r="L55" s="928"/>
      <c r="M55" s="927">
        <f>'summary-2'!M67</f>
        <v>0</v>
      </c>
      <c r="N55" s="778"/>
      <c r="O55" s="928"/>
      <c r="P55" s="929" t="s">
        <v>796</v>
      </c>
      <c r="Q55" s="929"/>
      <c r="R55" s="975"/>
      <c r="S55" s="1051"/>
      <c r="T55" s="1052"/>
      <c r="U55" s="1053"/>
      <c r="W55" s="375"/>
      <c r="X55" s="375"/>
      <c r="Y55" s="375"/>
    </row>
    <row r="56" spans="1:25" ht="14.1" hidden="1" customHeight="1">
      <c r="A56" s="1059">
        <v>20</v>
      </c>
      <c r="B56" s="980"/>
      <c r="C56" s="981"/>
      <c r="D56" s="981"/>
      <c r="E56" s="981"/>
      <c r="F56" s="981"/>
      <c r="G56" s="976"/>
      <c r="H56" s="934"/>
      <c r="I56" s="935"/>
      <c r="J56" s="933">
        <f t="shared" si="0"/>
        <v>0</v>
      </c>
      <c r="K56" s="934"/>
      <c r="L56" s="935"/>
      <c r="M56" s="933">
        <f>'summary-2'!M68</f>
        <v>0</v>
      </c>
      <c r="N56" s="934"/>
      <c r="O56" s="935"/>
      <c r="P56" s="943" t="s">
        <v>797</v>
      </c>
      <c r="Q56" s="943"/>
      <c r="R56" s="977"/>
      <c r="S56" s="1054"/>
      <c r="T56" s="1055"/>
      <c r="U56" s="1056"/>
      <c r="W56" s="375"/>
      <c r="X56" s="375"/>
      <c r="Y56" s="375"/>
    </row>
    <row r="57" spans="1:25" ht="14.1" customHeight="1">
      <c r="A57" s="1059">
        <v>20</v>
      </c>
      <c r="B57" s="980" t="s">
        <v>812</v>
      </c>
      <c r="C57" s="981"/>
      <c r="D57" s="981"/>
      <c r="E57" s="981"/>
      <c r="F57" s="981"/>
      <c r="G57" s="982">
        <f>'summary-2'!G69:I69</f>
        <v>3954922158.0299997</v>
      </c>
      <c r="H57" s="817"/>
      <c r="I57" s="818"/>
      <c r="J57" s="816">
        <f t="shared" si="0"/>
        <v>0</v>
      </c>
      <c r="K57" s="817"/>
      <c r="L57" s="818"/>
      <c r="M57" s="816">
        <f>'summary-2'!M69</f>
        <v>3954922158.0299997</v>
      </c>
      <c r="N57" s="817"/>
      <c r="O57" s="818"/>
      <c r="P57" s="820" t="s">
        <v>795</v>
      </c>
      <c r="Q57" s="820"/>
      <c r="R57" s="821"/>
      <c r="S57" s="1048" t="s">
        <v>836</v>
      </c>
      <c r="T57" s="1049"/>
      <c r="U57" s="1050"/>
      <c r="W57" s="375"/>
      <c r="X57" s="375"/>
      <c r="Y57" s="375"/>
    </row>
    <row r="58" spans="1:25" ht="14.1" customHeight="1">
      <c r="A58" s="1059">
        <v>20</v>
      </c>
      <c r="B58" s="980" t="s">
        <v>812</v>
      </c>
      <c r="C58" s="981"/>
      <c r="D58" s="981"/>
      <c r="E58" s="981"/>
      <c r="F58" s="981"/>
      <c r="G58" s="925">
        <f>'summary-2'!G70:I70</f>
        <v>3928556010.3099995</v>
      </c>
      <c r="H58" s="926"/>
      <c r="I58" s="926"/>
      <c r="J58" s="927">
        <f t="shared" si="0"/>
        <v>0</v>
      </c>
      <c r="K58" s="778"/>
      <c r="L58" s="928"/>
      <c r="M58" s="927">
        <f>'summary-2'!M70</f>
        <v>0</v>
      </c>
      <c r="N58" s="778"/>
      <c r="O58" s="928"/>
      <c r="P58" s="929" t="s">
        <v>796</v>
      </c>
      <c r="Q58" s="929"/>
      <c r="R58" s="975"/>
      <c r="S58" s="1051"/>
      <c r="T58" s="1052"/>
      <c r="U58" s="1053"/>
      <c r="W58" s="375"/>
      <c r="X58" s="375"/>
      <c r="Y58" s="375"/>
    </row>
    <row r="59" spans="1:25" ht="14.1" customHeight="1">
      <c r="A59" s="1059">
        <v>20</v>
      </c>
      <c r="B59" s="980" t="s">
        <v>812</v>
      </c>
      <c r="C59" s="981"/>
      <c r="D59" s="981"/>
      <c r="E59" s="981"/>
      <c r="F59" s="981"/>
      <c r="G59" s="976"/>
      <c r="H59" s="934"/>
      <c r="I59" s="935"/>
      <c r="J59" s="933">
        <f t="shared" si="0"/>
        <v>0</v>
      </c>
      <c r="K59" s="934"/>
      <c r="L59" s="935"/>
      <c r="M59" s="933">
        <f>'summary-2'!M71</f>
        <v>0</v>
      </c>
      <c r="N59" s="934"/>
      <c r="O59" s="935"/>
      <c r="P59" s="943" t="s">
        <v>797</v>
      </c>
      <c r="Q59" s="943"/>
      <c r="R59" s="977"/>
      <c r="S59" s="1054"/>
      <c r="T59" s="1055"/>
      <c r="U59" s="1056"/>
      <c r="W59" s="375"/>
      <c r="X59" s="375"/>
      <c r="Y59" s="375"/>
    </row>
    <row r="60" spans="1:25" ht="14.1" customHeight="1">
      <c r="A60" s="1059">
        <v>21</v>
      </c>
      <c r="B60" s="980" t="s">
        <v>813</v>
      </c>
      <c r="C60" s="981"/>
      <c r="D60" s="981"/>
      <c r="E60" s="981"/>
      <c r="F60" s="981"/>
      <c r="G60" s="982">
        <f>'summary-2'!G72:I72</f>
        <v>1927634563.0590014</v>
      </c>
      <c r="H60" s="817"/>
      <c r="I60" s="818"/>
      <c r="J60" s="816">
        <f t="shared" si="0"/>
        <v>0</v>
      </c>
      <c r="K60" s="817"/>
      <c r="L60" s="818"/>
      <c r="M60" s="816">
        <f>'summary-2'!M72</f>
        <v>1927634563.0590014</v>
      </c>
      <c r="N60" s="817"/>
      <c r="O60" s="818"/>
      <c r="P60" s="820" t="s">
        <v>795</v>
      </c>
      <c r="Q60" s="820"/>
      <c r="R60" s="821"/>
      <c r="S60" s="1048" t="s">
        <v>837</v>
      </c>
      <c r="T60" s="1049"/>
      <c r="U60" s="1050"/>
      <c r="W60" s="375"/>
      <c r="X60" s="375"/>
      <c r="Y60" s="375"/>
    </row>
    <row r="61" spans="1:25" ht="14.1" customHeight="1">
      <c r="A61" s="1059">
        <v>20</v>
      </c>
      <c r="B61" s="980" t="s">
        <v>812</v>
      </c>
      <c r="C61" s="981"/>
      <c r="D61" s="981"/>
      <c r="E61" s="981"/>
      <c r="F61" s="981"/>
      <c r="G61" s="925">
        <f>'summary-2'!G73:I73</f>
        <v>5179064.730832871</v>
      </c>
      <c r="H61" s="926"/>
      <c r="I61" s="926"/>
      <c r="J61" s="927">
        <f t="shared" si="0"/>
        <v>0</v>
      </c>
      <c r="K61" s="778"/>
      <c r="L61" s="928"/>
      <c r="M61" s="927">
        <f>'summary-2'!M73</f>
        <v>0</v>
      </c>
      <c r="N61" s="778"/>
      <c r="O61" s="928"/>
      <c r="P61" s="929" t="s">
        <v>796</v>
      </c>
      <c r="Q61" s="929"/>
      <c r="R61" s="975"/>
      <c r="S61" s="1051"/>
      <c r="T61" s="1052"/>
      <c r="U61" s="1053"/>
      <c r="W61" s="375"/>
      <c r="X61" s="375"/>
      <c r="Y61" s="375"/>
    </row>
    <row r="62" spans="1:25" ht="14.1" customHeight="1">
      <c r="A62" s="1059">
        <v>20</v>
      </c>
      <c r="B62" s="980" t="s">
        <v>812</v>
      </c>
      <c r="C62" s="981"/>
      <c r="D62" s="981"/>
      <c r="E62" s="981"/>
      <c r="F62" s="981"/>
      <c r="G62" s="976"/>
      <c r="H62" s="934"/>
      <c r="I62" s="935"/>
      <c r="J62" s="933">
        <f t="shared" si="0"/>
        <v>0</v>
      </c>
      <c r="K62" s="934"/>
      <c r="L62" s="935"/>
      <c r="M62" s="933">
        <f>'summary-2'!M74</f>
        <v>0</v>
      </c>
      <c r="N62" s="934"/>
      <c r="O62" s="935"/>
      <c r="P62" s="943" t="s">
        <v>797</v>
      </c>
      <c r="Q62" s="943"/>
      <c r="R62" s="977"/>
      <c r="S62" s="1054"/>
      <c r="T62" s="1055"/>
      <c r="U62" s="1056"/>
      <c r="W62" s="375"/>
      <c r="X62" s="375"/>
      <c r="Y62" s="375"/>
    </row>
    <row r="63" spans="1:25" ht="14.1" customHeight="1">
      <c r="A63" s="1059">
        <v>22</v>
      </c>
      <c r="B63" s="980" t="s">
        <v>814</v>
      </c>
      <c r="C63" s="981"/>
      <c r="D63" s="981"/>
      <c r="E63" s="981"/>
      <c r="F63" s="981"/>
      <c r="G63" s="982">
        <f>'summary-2'!G75:I75</f>
        <v>188627057387.3501</v>
      </c>
      <c r="H63" s="817"/>
      <c r="I63" s="818"/>
      <c r="J63" s="816">
        <f t="shared" si="0"/>
        <v>-98389264855.69722</v>
      </c>
      <c r="K63" s="817"/>
      <c r="L63" s="818"/>
      <c r="M63" s="816">
        <f>'summary-2'!M75</f>
        <v>90237792531.652878</v>
      </c>
      <c r="N63" s="817"/>
      <c r="O63" s="818"/>
      <c r="P63" s="820" t="s">
        <v>795</v>
      </c>
      <c r="Q63" s="820"/>
      <c r="R63" s="821"/>
      <c r="S63" s="1048" t="s">
        <v>838</v>
      </c>
      <c r="T63" s="1049"/>
      <c r="U63" s="1050"/>
      <c r="W63" s="375"/>
      <c r="X63" s="375"/>
      <c r="Y63" s="375"/>
    </row>
    <row r="64" spans="1:25" ht="14.1" customHeight="1">
      <c r="A64" s="1059">
        <v>22</v>
      </c>
      <c r="B64" s="980" t="s">
        <v>814</v>
      </c>
      <c r="C64" s="981"/>
      <c r="D64" s="981"/>
      <c r="E64" s="981"/>
      <c r="F64" s="981"/>
      <c r="G64" s="925">
        <f>'summary-2'!G76:I76</f>
        <v>86170530929.930023</v>
      </c>
      <c r="H64" s="926"/>
      <c r="I64" s="926"/>
      <c r="J64" s="927">
        <f t="shared" si="0"/>
        <v>0</v>
      </c>
      <c r="K64" s="778"/>
      <c r="L64" s="928"/>
      <c r="M64" s="927">
        <f>'summary-2'!M76</f>
        <v>0</v>
      </c>
      <c r="N64" s="778"/>
      <c r="O64" s="928"/>
      <c r="P64" s="929" t="s">
        <v>796</v>
      </c>
      <c r="Q64" s="929"/>
      <c r="R64" s="975"/>
      <c r="S64" s="1051"/>
      <c r="T64" s="1052"/>
      <c r="U64" s="1053"/>
      <c r="W64" s="375"/>
      <c r="X64" s="375"/>
      <c r="Y64" s="375"/>
    </row>
    <row r="65" spans="1:29" ht="14.1" customHeight="1">
      <c r="A65" s="1059">
        <v>22</v>
      </c>
      <c r="B65" s="980" t="s">
        <v>814</v>
      </c>
      <c r="C65" s="981"/>
      <c r="D65" s="981"/>
      <c r="E65" s="981"/>
      <c r="F65" s="981"/>
      <c r="G65" s="976"/>
      <c r="H65" s="934"/>
      <c r="I65" s="935"/>
      <c r="J65" s="933">
        <f t="shared" si="0"/>
        <v>0</v>
      </c>
      <c r="K65" s="934"/>
      <c r="L65" s="935"/>
      <c r="M65" s="933">
        <f>'summary-2'!M77</f>
        <v>0</v>
      </c>
      <c r="N65" s="934"/>
      <c r="O65" s="935"/>
      <c r="P65" s="943" t="s">
        <v>797</v>
      </c>
      <c r="Q65" s="943"/>
      <c r="R65" s="977"/>
      <c r="S65" s="1054"/>
      <c r="T65" s="1055"/>
      <c r="U65" s="1056"/>
      <c r="W65" s="375"/>
      <c r="X65" s="375"/>
      <c r="Y65" s="375"/>
    </row>
    <row r="66" spans="1:29" ht="14.1" customHeight="1">
      <c r="A66" s="1058">
        <v>23</v>
      </c>
      <c r="B66" s="809" t="s">
        <v>815</v>
      </c>
      <c r="C66" s="810"/>
      <c r="D66" s="810"/>
      <c r="E66" s="810"/>
      <c r="F66" s="810"/>
      <c r="G66" s="982">
        <f>'summary-2'!G78:I78</f>
        <v>5654943147.5118647</v>
      </c>
      <c r="H66" s="817"/>
      <c r="I66" s="818"/>
      <c r="J66" s="816">
        <f t="shared" si="0"/>
        <v>3918703087.0874319</v>
      </c>
      <c r="K66" s="817"/>
      <c r="L66" s="818"/>
      <c r="M66" s="816">
        <f>'summary-2'!M78</f>
        <v>9573646234.5992966</v>
      </c>
      <c r="N66" s="817"/>
      <c r="O66" s="818"/>
      <c r="P66" s="820" t="s">
        <v>795</v>
      </c>
      <c r="Q66" s="820"/>
      <c r="R66" s="821"/>
      <c r="S66" s="1048" t="s">
        <v>839</v>
      </c>
      <c r="T66" s="1049"/>
      <c r="U66" s="1050"/>
      <c r="W66" s="375"/>
      <c r="X66" s="375"/>
      <c r="Y66" s="375"/>
    </row>
    <row r="67" spans="1:29" ht="14.1" customHeight="1">
      <c r="A67" s="807">
        <v>23</v>
      </c>
      <c r="B67" s="811" t="s">
        <v>815</v>
      </c>
      <c r="C67" s="742"/>
      <c r="D67" s="742"/>
      <c r="E67" s="742"/>
      <c r="F67" s="742"/>
      <c r="G67" s="925">
        <f>'summary-2'!G79:I79</f>
        <v>155371941.92498612</v>
      </c>
      <c r="H67" s="926"/>
      <c r="I67" s="926"/>
      <c r="J67" s="927">
        <f t="shared" si="0"/>
        <v>0</v>
      </c>
      <c r="K67" s="778"/>
      <c r="L67" s="928"/>
      <c r="M67" s="927">
        <f>'summary-2'!M79</f>
        <v>0</v>
      </c>
      <c r="N67" s="778"/>
      <c r="O67" s="928"/>
      <c r="P67" s="929" t="s">
        <v>796</v>
      </c>
      <c r="Q67" s="929"/>
      <c r="R67" s="975"/>
      <c r="S67" s="1051"/>
      <c r="T67" s="1052"/>
      <c r="U67" s="1053"/>
      <c r="W67" s="375"/>
      <c r="X67" s="375"/>
      <c r="Y67" s="375"/>
    </row>
    <row r="68" spans="1:29" ht="14.1" customHeight="1" thickBot="1">
      <c r="A68" s="1069">
        <v>23</v>
      </c>
      <c r="B68" s="1070" t="s">
        <v>815</v>
      </c>
      <c r="C68" s="872"/>
      <c r="D68" s="872"/>
      <c r="E68" s="872"/>
      <c r="F68" s="872"/>
      <c r="G68" s="1063"/>
      <c r="H68" s="1064"/>
      <c r="I68" s="1065"/>
      <c r="J68" s="1066">
        <f t="shared" si="0"/>
        <v>0</v>
      </c>
      <c r="K68" s="1064"/>
      <c r="L68" s="1065"/>
      <c r="M68" s="1066">
        <f>'summary-2'!M80</f>
        <v>0</v>
      </c>
      <c r="N68" s="1064"/>
      <c r="O68" s="1065"/>
      <c r="P68" s="1067" t="s">
        <v>797</v>
      </c>
      <c r="Q68" s="1067"/>
      <c r="R68" s="1068"/>
      <c r="S68" s="1060"/>
      <c r="T68" s="1061"/>
      <c r="U68" s="1062"/>
      <c r="W68" s="375"/>
      <c r="X68" s="375"/>
      <c r="Y68" s="375"/>
    </row>
    <row r="69" spans="1:29" ht="9.9499999999999993" customHeight="1" thickBot="1">
      <c r="A69" s="872"/>
      <c r="B69" s="872"/>
      <c r="C69" s="872"/>
      <c r="D69" s="872"/>
      <c r="E69" s="872"/>
      <c r="F69" s="872"/>
      <c r="G69" s="872"/>
      <c r="H69" s="872"/>
      <c r="I69" s="872"/>
      <c r="J69" s="872"/>
      <c r="K69" s="872"/>
      <c r="L69" s="872"/>
      <c r="M69" s="872"/>
      <c r="N69" s="872"/>
      <c r="O69" s="872"/>
      <c r="P69" s="872"/>
      <c r="Q69" s="872"/>
      <c r="R69" s="872"/>
      <c r="S69" s="872"/>
      <c r="T69" s="872"/>
      <c r="U69" s="872"/>
      <c r="W69" s="375"/>
      <c r="X69" s="375"/>
    </row>
    <row r="70" spans="1:29" s="359" customFormat="1" ht="20.100000000000001" customHeight="1">
      <c r="A70" s="873" t="s">
        <v>817</v>
      </c>
      <c r="B70" s="874"/>
      <c r="C70" s="874"/>
      <c r="D70" s="874"/>
      <c r="E70" s="874"/>
      <c r="F70" s="874"/>
      <c r="G70" s="874"/>
      <c r="H70" s="1001" t="s">
        <v>818</v>
      </c>
      <c r="I70" s="1001"/>
      <c r="J70" s="1001"/>
      <c r="K70" s="1001"/>
      <c r="L70" s="1001"/>
      <c r="M70" s="1001"/>
      <c r="N70" s="1001"/>
      <c r="O70" s="874" t="s">
        <v>819</v>
      </c>
      <c r="P70" s="874"/>
      <c r="Q70" s="874"/>
      <c r="R70" s="874"/>
      <c r="S70" s="874"/>
      <c r="T70" s="874"/>
      <c r="U70" s="1002"/>
      <c r="W70" s="375"/>
      <c r="X70" s="375"/>
      <c r="Y70" s="375"/>
      <c r="Z70" s="375"/>
      <c r="AA70" s="375"/>
      <c r="AB70" s="375"/>
      <c r="AC70" s="375"/>
    </row>
    <row r="71" spans="1:29" ht="42" customHeight="1" thickBot="1">
      <c r="A71" s="988"/>
      <c r="B71" s="989"/>
      <c r="C71" s="989"/>
      <c r="D71" s="989"/>
      <c r="E71" s="989"/>
      <c r="F71" s="989"/>
      <c r="G71" s="989"/>
      <c r="H71" s="989"/>
      <c r="I71" s="989"/>
      <c r="J71" s="989"/>
      <c r="K71" s="989"/>
      <c r="L71" s="989"/>
      <c r="M71" s="989"/>
      <c r="N71" s="989"/>
      <c r="O71" s="989"/>
      <c r="P71" s="989"/>
      <c r="Q71" s="989"/>
      <c r="R71" s="989"/>
      <c r="S71" s="989"/>
      <c r="T71" s="989"/>
      <c r="U71" s="990"/>
      <c r="X71" s="375"/>
    </row>
    <row r="72" spans="1:29" s="369" customFormat="1" ht="20.100000000000001" customHeight="1"/>
    <row r="73" spans="1:29" s="369" customFormat="1" ht="20.100000000000001" customHeight="1">
      <c r="G73" s="799"/>
      <c r="H73" s="799"/>
      <c r="I73" s="799"/>
      <c r="J73" s="799" t="s">
        <v>929</v>
      </c>
      <c r="K73" s="799"/>
      <c r="L73" s="799"/>
      <c r="M73" s="799">
        <f>'خلاصه مالي صورت وضعیت'!G14</f>
        <v>59095497428.504196</v>
      </c>
      <c r="N73" s="799"/>
      <c r="O73" s="799"/>
    </row>
    <row r="74" spans="1:29" s="369" customFormat="1" ht="20.100000000000001" customHeight="1">
      <c r="G74" s="799"/>
      <c r="H74" s="799"/>
      <c r="I74" s="799"/>
      <c r="J74" s="799" t="s">
        <v>928</v>
      </c>
      <c r="K74" s="799"/>
      <c r="L74" s="799"/>
      <c r="M74" s="799">
        <f>'خلاصه مالي صورت وضعیت'!G11+'خلاصه مالي صورت وضعیت'!G33</f>
        <v>11974771515.32</v>
      </c>
      <c r="N74" s="799"/>
      <c r="O74" s="799"/>
    </row>
    <row r="75" spans="1:29" s="369" customFormat="1" ht="20.100000000000001" customHeight="1">
      <c r="G75" s="799"/>
      <c r="H75" s="799"/>
      <c r="I75" s="799"/>
      <c r="J75" s="799" t="s">
        <v>930</v>
      </c>
      <c r="K75" s="799"/>
      <c r="L75" s="799"/>
      <c r="M75" s="799">
        <f>SUM(M15:O68)</f>
        <v>626876976826.70715</v>
      </c>
      <c r="N75" s="799"/>
      <c r="O75" s="799"/>
    </row>
    <row r="76" spans="1:29" s="369" customFormat="1" ht="20.100000000000001" customHeight="1">
      <c r="G76" s="799"/>
      <c r="H76" s="799"/>
      <c r="I76" s="799"/>
      <c r="J76" s="799" t="s">
        <v>931</v>
      </c>
      <c r="K76" s="799"/>
      <c r="L76" s="799"/>
      <c r="M76" s="799">
        <f>M75+M74+M73</f>
        <v>697947245770.53125</v>
      </c>
      <c r="N76" s="799"/>
      <c r="O76" s="799"/>
    </row>
    <row r="77" spans="1:29" s="369" customFormat="1" ht="20.100000000000001" customHeight="1">
      <c r="G77" s="799"/>
      <c r="H77" s="799"/>
      <c r="I77" s="799"/>
      <c r="J77" s="799"/>
      <c r="K77" s="799"/>
      <c r="L77" s="799"/>
      <c r="M77" s="799"/>
      <c r="N77" s="799"/>
      <c r="O77" s="799"/>
    </row>
    <row r="78" spans="1:29" s="369" customFormat="1" ht="20.100000000000001" customHeight="1">
      <c r="G78" s="799"/>
      <c r="H78" s="799"/>
      <c r="I78" s="799"/>
      <c r="J78" s="799"/>
      <c r="K78" s="799"/>
      <c r="L78" s="799"/>
      <c r="M78" s="799"/>
      <c r="N78" s="799"/>
      <c r="O78" s="799"/>
    </row>
    <row r="79" spans="1:29" s="369" customFormat="1" ht="20.100000000000001" customHeight="1">
      <c r="G79" s="799"/>
      <c r="H79" s="799"/>
      <c r="I79" s="799"/>
      <c r="J79" s="799"/>
      <c r="K79" s="799"/>
      <c r="L79" s="799"/>
      <c r="M79" s="799"/>
      <c r="N79" s="799"/>
      <c r="O79" s="799"/>
    </row>
    <row r="80" spans="1:29" s="369" customFormat="1" ht="20.100000000000001" customHeight="1">
      <c r="G80" s="799"/>
      <c r="H80" s="799"/>
      <c r="I80" s="799"/>
      <c r="J80" s="799"/>
      <c r="K80" s="799"/>
      <c r="L80" s="799"/>
      <c r="M80" s="799"/>
      <c r="N80" s="799"/>
      <c r="O80" s="799"/>
    </row>
    <row r="81" spans="7:15" s="369" customFormat="1" ht="20.100000000000001" customHeight="1">
      <c r="G81" s="799"/>
      <c r="H81" s="799"/>
      <c r="I81" s="799"/>
      <c r="J81" s="799"/>
      <c r="K81" s="799"/>
      <c r="L81" s="799"/>
      <c r="M81" s="799"/>
      <c r="N81" s="799"/>
      <c r="O81" s="799"/>
    </row>
    <row r="82" spans="7:15" s="369" customFormat="1" ht="20.100000000000001" customHeight="1">
      <c r="G82" s="799"/>
      <c r="H82" s="799"/>
      <c r="I82" s="799"/>
      <c r="J82" s="799"/>
      <c r="K82" s="799"/>
      <c r="L82" s="799"/>
      <c r="M82" s="799"/>
      <c r="N82" s="799"/>
      <c r="O82" s="799"/>
    </row>
    <row r="83" spans="7:15" s="369" customFormat="1" ht="20.100000000000001" customHeight="1">
      <c r="G83" s="799"/>
      <c r="H83" s="799"/>
      <c r="I83" s="799"/>
      <c r="J83" s="799"/>
      <c r="K83" s="799"/>
      <c r="L83" s="799"/>
      <c r="M83" s="799"/>
      <c r="N83" s="799"/>
      <c r="O83" s="799"/>
    </row>
    <row r="84" spans="7:15" s="369" customFormat="1" ht="20.100000000000001" customHeight="1">
      <c r="G84" s="799"/>
      <c r="H84" s="799"/>
      <c r="I84" s="799"/>
      <c r="J84" s="799"/>
      <c r="K84" s="799"/>
      <c r="L84" s="799"/>
      <c r="M84" s="799"/>
      <c r="N84" s="799"/>
      <c r="O84" s="799"/>
    </row>
    <row r="85" spans="7:15" s="369" customFormat="1" ht="20.100000000000001" customHeight="1">
      <c r="G85" s="799"/>
      <c r="H85" s="799"/>
      <c r="I85" s="799"/>
      <c r="J85" s="799"/>
      <c r="K85" s="799"/>
      <c r="L85" s="799"/>
      <c r="M85" s="799"/>
      <c r="N85" s="799"/>
      <c r="O85" s="799"/>
    </row>
    <row r="86" spans="7:15" s="369" customFormat="1" ht="20.100000000000001" customHeight="1">
      <c r="G86" s="799"/>
      <c r="H86" s="799"/>
      <c r="I86" s="799"/>
      <c r="J86" s="799"/>
      <c r="K86" s="799"/>
      <c r="L86" s="799"/>
      <c r="M86" s="799"/>
      <c r="N86" s="799"/>
      <c r="O86" s="799"/>
    </row>
    <row r="87" spans="7:15" s="369" customFormat="1" ht="20.100000000000001" customHeight="1">
      <c r="G87" s="799"/>
      <c r="H87" s="799"/>
      <c r="I87" s="799"/>
      <c r="J87" s="799"/>
      <c r="K87" s="799"/>
      <c r="L87" s="799"/>
      <c r="M87" s="799"/>
      <c r="N87" s="799"/>
      <c r="O87" s="799"/>
    </row>
    <row r="88" spans="7:15" s="369" customFormat="1" ht="20.100000000000001" customHeight="1">
      <c r="G88" s="799"/>
      <c r="H88" s="799"/>
      <c r="I88" s="799"/>
      <c r="J88" s="799"/>
      <c r="K88" s="799"/>
      <c r="L88" s="799"/>
      <c r="M88" s="799"/>
      <c r="N88" s="799"/>
      <c r="O88" s="799"/>
    </row>
    <row r="89" spans="7:15" s="369" customFormat="1" ht="20.100000000000001" customHeight="1"/>
    <row r="90" spans="7:15" s="369" customFormat="1" ht="20.100000000000001" customHeight="1"/>
    <row r="91" spans="7:15" s="369" customFormat="1" ht="20.100000000000001" customHeight="1"/>
    <row r="92" spans="7:15" s="369" customFormat="1" ht="20.100000000000001" customHeight="1"/>
    <row r="93" spans="7:15" s="369" customFormat="1" ht="20.100000000000001" customHeight="1"/>
    <row r="94" spans="7:15" s="369" customFormat="1" ht="20.100000000000001" customHeight="1"/>
    <row r="95" spans="7:15" s="369" customFormat="1" ht="20.100000000000001" customHeight="1"/>
    <row r="96" spans="7:15" s="369" customFormat="1" ht="20.100000000000001" customHeight="1"/>
  </sheetData>
  <mergeCells count="374">
    <mergeCell ref="G87:I87"/>
    <mergeCell ref="J87:L87"/>
    <mergeCell ref="M87:O87"/>
    <mergeCell ref="G88:I88"/>
    <mergeCell ref="J88:L88"/>
    <mergeCell ref="M88:O88"/>
    <mergeCell ref="G85:I85"/>
    <mergeCell ref="J85:L85"/>
    <mergeCell ref="M85:O85"/>
    <mergeCell ref="G86:I86"/>
    <mergeCell ref="J86:L86"/>
    <mergeCell ref="M86:O86"/>
    <mergeCell ref="G83:I83"/>
    <mergeCell ref="J83:L83"/>
    <mergeCell ref="M83:O83"/>
    <mergeCell ref="G84:I84"/>
    <mergeCell ref="J84:L84"/>
    <mergeCell ref="M84:O84"/>
    <mergeCell ref="G81:I81"/>
    <mergeCell ref="J81:L81"/>
    <mergeCell ref="M81:O81"/>
    <mergeCell ref="G82:I82"/>
    <mergeCell ref="J82:L82"/>
    <mergeCell ref="M82:O82"/>
    <mergeCell ref="G79:I79"/>
    <mergeCell ref="J79:L79"/>
    <mergeCell ref="M79:O79"/>
    <mergeCell ref="G80:I80"/>
    <mergeCell ref="J80:L80"/>
    <mergeCell ref="M80:O80"/>
    <mergeCell ref="G77:I77"/>
    <mergeCell ref="J77:L77"/>
    <mergeCell ref="M77:O77"/>
    <mergeCell ref="G78:I78"/>
    <mergeCell ref="J78:L78"/>
    <mergeCell ref="M78:O78"/>
    <mergeCell ref="G75:I75"/>
    <mergeCell ref="J75:L75"/>
    <mergeCell ref="M75:O75"/>
    <mergeCell ref="G76:I76"/>
    <mergeCell ref="J76:L76"/>
    <mergeCell ref="M76:O76"/>
    <mergeCell ref="G73:I73"/>
    <mergeCell ref="J73:L73"/>
    <mergeCell ref="M73:O73"/>
    <mergeCell ref="G74:I74"/>
    <mergeCell ref="J74:L74"/>
    <mergeCell ref="M74:O74"/>
    <mergeCell ref="A69:U69"/>
    <mergeCell ref="A70:G70"/>
    <mergeCell ref="H70:N70"/>
    <mergeCell ref="O70:U70"/>
    <mergeCell ref="A71:G71"/>
    <mergeCell ref="H71:N71"/>
    <mergeCell ref="O71:U71"/>
    <mergeCell ref="S66:U68"/>
    <mergeCell ref="G67:I67"/>
    <mergeCell ref="J67:L67"/>
    <mergeCell ref="M67:O67"/>
    <mergeCell ref="P67:R67"/>
    <mergeCell ref="G68:I68"/>
    <mergeCell ref="J68:L68"/>
    <mergeCell ref="M68:O68"/>
    <mergeCell ref="P68:R68"/>
    <mergeCell ref="A66:A68"/>
    <mergeCell ref="B66:F68"/>
    <mergeCell ref="G66:I66"/>
    <mergeCell ref="J66:L66"/>
    <mergeCell ref="M66:O66"/>
    <mergeCell ref="P66:R66"/>
    <mergeCell ref="S63:U65"/>
    <mergeCell ref="G64:I64"/>
    <mergeCell ref="J64:L64"/>
    <mergeCell ref="M64:O64"/>
    <mergeCell ref="P64:R64"/>
    <mergeCell ref="G65:I65"/>
    <mergeCell ref="J65:L65"/>
    <mergeCell ref="M65:O65"/>
    <mergeCell ref="P65:R65"/>
    <mergeCell ref="S60:U62"/>
    <mergeCell ref="G61:I61"/>
    <mergeCell ref="J61:L61"/>
    <mergeCell ref="M61:O61"/>
    <mergeCell ref="P61:R61"/>
    <mergeCell ref="G62:I62"/>
    <mergeCell ref="J62:L62"/>
    <mergeCell ref="M62:O62"/>
    <mergeCell ref="P62:R62"/>
    <mergeCell ref="G60:I60"/>
    <mergeCell ref="J60:L60"/>
    <mergeCell ref="M60:O60"/>
    <mergeCell ref="P60:R60"/>
    <mergeCell ref="A63:A65"/>
    <mergeCell ref="B63:F65"/>
    <mergeCell ref="G63:I63"/>
    <mergeCell ref="J63:L63"/>
    <mergeCell ref="M63:O63"/>
    <mergeCell ref="P63:R63"/>
    <mergeCell ref="A60:A62"/>
    <mergeCell ref="B60:F62"/>
    <mergeCell ref="A57:A59"/>
    <mergeCell ref="B57:F59"/>
    <mergeCell ref="G57:I57"/>
    <mergeCell ref="J57:L57"/>
    <mergeCell ref="M57:O57"/>
    <mergeCell ref="P57:R57"/>
    <mergeCell ref="A54:A56"/>
    <mergeCell ref="B54:F56"/>
    <mergeCell ref="G54:I54"/>
    <mergeCell ref="J54:L54"/>
    <mergeCell ref="M54:O54"/>
    <mergeCell ref="P54:R54"/>
    <mergeCell ref="S57:U59"/>
    <mergeCell ref="G58:I58"/>
    <mergeCell ref="J58:L58"/>
    <mergeCell ref="S54:U56"/>
    <mergeCell ref="G55:I55"/>
    <mergeCell ref="J55:L55"/>
    <mergeCell ref="M55:O55"/>
    <mergeCell ref="P55:R55"/>
    <mergeCell ref="G56:I56"/>
    <mergeCell ref="J56:L56"/>
    <mergeCell ref="M56:O56"/>
    <mergeCell ref="P56:R56"/>
    <mergeCell ref="M58:O58"/>
    <mergeCell ref="P58:R58"/>
    <mergeCell ref="G59:I59"/>
    <mergeCell ref="J59:L59"/>
    <mergeCell ref="M59:O59"/>
    <mergeCell ref="P59:R59"/>
    <mergeCell ref="S51:U53"/>
    <mergeCell ref="G52:I52"/>
    <mergeCell ref="J52:L52"/>
    <mergeCell ref="M52:O52"/>
    <mergeCell ref="P52:R52"/>
    <mergeCell ref="G53:I53"/>
    <mergeCell ref="J53:L53"/>
    <mergeCell ref="M53:O53"/>
    <mergeCell ref="P53:R53"/>
    <mergeCell ref="S48:U50"/>
    <mergeCell ref="G49:I49"/>
    <mergeCell ref="J49:L49"/>
    <mergeCell ref="M49:O49"/>
    <mergeCell ref="P49:R49"/>
    <mergeCell ref="G50:I50"/>
    <mergeCell ref="J50:L50"/>
    <mergeCell ref="M50:O50"/>
    <mergeCell ref="P50:R50"/>
    <mergeCell ref="G48:I48"/>
    <mergeCell ref="J48:L48"/>
    <mergeCell ref="M48:O48"/>
    <mergeCell ref="P48:R48"/>
    <mergeCell ref="A51:A53"/>
    <mergeCell ref="B51:F53"/>
    <mergeCell ref="G51:I51"/>
    <mergeCell ref="J51:L51"/>
    <mergeCell ref="M51:O51"/>
    <mergeCell ref="P51:R51"/>
    <mergeCell ref="A48:A50"/>
    <mergeCell ref="B48:F50"/>
    <mergeCell ref="A45:A47"/>
    <mergeCell ref="B45:F47"/>
    <mergeCell ref="G45:I45"/>
    <mergeCell ref="J45:L45"/>
    <mergeCell ref="M45:O45"/>
    <mergeCell ref="P45:R45"/>
    <mergeCell ref="A42:A44"/>
    <mergeCell ref="B42:F44"/>
    <mergeCell ref="G42:I42"/>
    <mergeCell ref="J42:L42"/>
    <mergeCell ref="M42:O42"/>
    <mergeCell ref="P42:R42"/>
    <mergeCell ref="S45:U47"/>
    <mergeCell ref="G46:I46"/>
    <mergeCell ref="J46:L46"/>
    <mergeCell ref="S42:U44"/>
    <mergeCell ref="G43:I43"/>
    <mergeCell ref="J43:L43"/>
    <mergeCell ref="M43:O43"/>
    <mergeCell ref="P43:R43"/>
    <mergeCell ref="G44:I44"/>
    <mergeCell ref="J44:L44"/>
    <mergeCell ref="M44:O44"/>
    <mergeCell ref="P44:R44"/>
    <mergeCell ref="M46:O46"/>
    <mergeCell ref="P46:R46"/>
    <mergeCell ref="G47:I47"/>
    <mergeCell ref="J47:L47"/>
    <mergeCell ref="M47:O47"/>
    <mergeCell ref="P47:R47"/>
    <mergeCell ref="S39:U41"/>
    <mergeCell ref="G40:I40"/>
    <mergeCell ref="J40:L40"/>
    <mergeCell ref="M40:O40"/>
    <mergeCell ref="P40:R40"/>
    <mergeCell ref="G41:I41"/>
    <mergeCell ref="J41:L41"/>
    <mergeCell ref="M41:O41"/>
    <mergeCell ref="P41:R41"/>
    <mergeCell ref="S36:U38"/>
    <mergeCell ref="G37:I37"/>
    <mergeCell ref="J37:L37"/>
    <mergeCell ref="M37:O37"/>
    <mergeCell ref="P37:R37"/>
    <mergeCell ref="G38:I38"/>
    <mergeCell ref="J38:L38"/>
    <mergeCell ref="M38:O38"/>
    <mergeCell ref="P38:R38"/>
    <mergeCell ref="G36:I36"/>
    <mergeCell ref="J36:L36"/>
    <mergeCell ref="M36:O36"/>
    <mergeCell ref="P36:R36"/>
    <mergeCell ref="A39:A41"/>
    <mergeCell ref="B39:F41"/>
    <mergeCell ref="G39:I39"/>
    <mergeCell ref="J39:L39"/>
    <mergeCell ref="M39:O39"/>
    <mergeCell ref="P39:R39"/>
    <mergeCell ref="A36:A38"/>
    <mergeCell ref="B36:F38"/>
    <mergeCell ref="A33:A35"/>
    <mergeCell ref="B33:F35"/>
    <mergeCell ref="G33:I33"/>
    <mergeCell ref="J33:L33"/>
    <mergeCell ref="M33:O33"/>
    <mergeCell ref="P33:R33"/>
    <mergeCell ref="A30:A32"/>
    <mergeCell ref="B30:F32"/>
    <mergeCell ref="G30:I30"/>
    <mergeCell ref="J30:L30"/>
    <mergeCell ref="M30:O30"/>
    <mergeCell ref="P30:R30"/>
    <mergeCell ref="S33:U35"/>
    <mergeCell ref="G34:I34"/>
    <mergeCell ref="J34:L34"/>
    <mergeCell ref="S30:U32"/>
    <mergeCell ref="G31:I31"/>
    <mergeCell ref="J31:L31"/>
    <mergeCell ref="M31:O31"/>
    <mergeCell ref="P31:R31"/>
    <mergeCell ref="G32:I32"/>
    <mergeCell ref="J32:L32"/>
    <mergeCell ref="M32:O32"/>
    <mergeCell ref="P32:R32"/>
    <mergeCell ref="M34:O34"/>
    <mergeCell ref="P34:R34"/>
    <mergeCell ref="G35:I35"/>
    <mergeCell ref="J35:L35"/>
    <mergeCell ref="M35:O35"/>
    <mergeCell ref="P35:R35"/>
    <mergeCell ref="S27:U29"/>
    <mergeCell ref="G28:I28"/>
    <mergeCell ref="J28:L28"/>
    <mergeCell ref="M28:O28"/>
    <mergeCell ref="P28:R28"/>
    <mergeCell ref="G29:I29"/>
    <mergeCell ref="J29:L29"/>
    <mergeCell ref="M29:O29"/>
    <mergeCell ref="P29:R29"/>
    <mergeCell ref="S24:U26"/>
    <mergeCell ref="G25:I25"/>
    <mergeCell ref="J25:L25"/>
    <mergeCell ref="M25:O25"/>
    <mergeCell ref="P25:R25"/>
    <mergeCell ref="G26:I26"/>
    <mergeCell ref="J26:L26"/>
    <mergeCell ref="M26:O26"/>
    <mergeCell ref="P26:R26"/>
    <mergeCell ref="G24:I24"/>
    <mergeCell ref="J24:L24"/>
    <mergeCell ref="M24:O24"/>
    <mergeCell ref="P24:R24"/>
    <mergeCell ref="A27:A29"/>
    <mergeCell ref="B27:F29"/>
    <mergeCell ref="G27:I27"/>
    <mergeCell ref="J27:L27"/>
    <mergeCell ref="M27:O27"/>
    <mergeCell ref="P27:R27"/>
    <mergeCell ref="A24:A26"/>
    <mergeCell ref="B24:F26"/>
    <mergeCell ref="A21:A23"/>
    <mergeCell ref="B21:F23"/>
    <mergeCell ref="G21:I21"/>
    <mergeCell ref="J21:L21"/>
    <mergeCell ref="M21:O21"/>
    <mergeCell ref="P21:R21"/>
    <mergeCell ref="A18:A20"/>
    <mergeCell ref="B18:F20"/>
    <mergeCell ref="G18:I18"/>
    <mergeCell ref="J18:L18"/>
    <mergeCell ref="M18:O18"/>
    <mergeCell ref="P18:R18"/>
    <mergeCell ref="S21:U23"/>
    <mergeCell ref="G22:I22"/>
    <mergeCell ref="J22:L22"/>
    <mergeCell ref="S18:U20"/>
    <mergeCell ref="G19:I19"/>
    <mergeCell ref="J19:L19"/>
    <mergeCell ref="M19:O19"/>
    <mergeCell ref="P19:R19"/>
    <mergeCell ref="G20:I20"/>
    <mergeCell ref="J20:L20"/>
    <mergeCell ref="M20:O20"/>
    <mergeCell ref="P20:R20"/>
    <mergeCell ref="M22:O22"/>
    <mergeCell ref="P22:R22"/>
    <mergeCell ref="G23:I23"/>
    <mergeCell ref="J23:L23"/>
    <mergeCell ref="M23:O23"/>
    <mergeCell ref="P23:R23"/>
    <mergeCell ref="A15:A17"/>
    <mergeCell ref="B15:F17"/>
    <mergeCell ref="G15:I15"/>
    <mergeCell ref="J15:L15"/>
    <mergeCell ref="M15:O15"/>
    <mergeCell ref="P15:R15"/>
    <mergeCell ref="A12:U12"/>
    <mergeCell ref="A13:A14"/>
    <mergeCell ref="B13:F14"/>
    <mergeCell ref="G13:O13"/>
    <mergeCell ref="P13:R14"/>
    <mergeCell ref="S13:U14"/>
    <mergeCell ref="G14:I14"/>
    <mergeCell ref="J14:L14"/>
    <mergeCell ref="M14:O14"/>
    <mergeCell ref="S15:U17"/>
    <mergeCell ref="G16:I16"/>
    <mergeCell ref="J16:L16"/>
    <mergeCell ref="M16:O16"/>
    <mergeCell ref="P16:R16"/>
    <mergeCell ref="G17:I17"/>
    <mergeCell ref="J17:L17"/>
    <mergeCell ref="M17:O17"/>
    <mergeCell ref="P17:R17"/>
    <mergeCell ref="A7:U7"/>
    <mergeCell ref="A8:U8"/>
    <mergeCell ref="A9:C9"/>
    <mergeCell ref="D9:G9"/>
    <mergeCell ref="H9:J9"/>
    <mergeCell ref="K9:N9"/>
    <mergeCell ref="O9:Q9"/>
    <mergeCell ref="R9:U9"/>
    <mergeCell ref="A11:C11"/>
    <mergeCell ref="D11:G11"/>
    <mergeCell ref="H11:J11"/>
    <mergeCell ref="K11:N11"/>
    <mergeCell ref="O11:Q11"/>
    <mergeCell ref="R11:U11"/>
    <mergeCell ref="A10:C10"/>
    <mergeCell ref="D10:G10"/>
    <mergeCell ref="H10:J10"/>
    <mergeCell ref="K10:N10"/>
    <mergeCell ref="O10:Q10"/>
    <mergeCell ref="R10:U10"/>
    <mergeCell ref="A5:C5"/>
    <mergeCell ref="D5:E5"/>
    <mergeCell ref="F5:H5"/>
    <mergeCell ref="I5:J5"/>
    <mergeCell ref="K5:L5"/>
    <mergeCell ref="M5:N5"/>
    <mergeCell ref="O5:P5"/>
    <mergeCell ref="Q5:U5"/>
    <mergeCell ref="A6:U6"/>
    <mergeCell ref="A1:E3"/>
    <mergeCell ref="F1:P3"/>
    <mergeCell ref="Q1:U3"/>
    <mergeCell ref="A4:C4"/>
    <mergeCell ref="D4:E4"/>
    <mergeCell ref="F4:H4"/>
    <mergeCell ref="I4:J4"/>
    <mergeCell ref="K4:L4"/>
    <mergeCell ref="M4:N4"/>
    <mergeCell ref="O4:P4"/>
    <mergeCell ref="Q4:U4"/>
  </mergeCells>
  <printOptions horizontalCentered="1"/>
  <pageMargins left="0" right="0" top="0.3" bottom="0.1" header="0" footer="0"/>
  <pageSetup paperSize="9" scale="7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M20"/>
  <sheetViews>
    <sheetView rightToLeft="1" view="pageBreakPreview" topLeftCell="A12" zoomScale="70" zoomScaleNormal="70" zoomScaleSheetLayoutView="70" workbookViewId="0">
      <selection activeCell="A16" sqref="A16:M18"/>
    </sheetView>
  </sheetViews>
  <sheetFormatPr defaultColWidth="9" defaultRowHeight="16.899999999999999"/>
  <cols>
    <col min="1" max="1" width="8.4375" style="1" customWidth="1"/>
    <col min="2" max="2" width="47.3125" style="1" customWidth="1"/>
    <col min="3" max="5" width="13.875" style="1" customWidth="1"/>
    <col min="6" max="6" width="11" style="61" customWidth="1"/>
    <col min="7" max="7" width="14.125" style="61" customWidth="1"/>
    <col min="8" max="8" width="11" style="61" customWidth="1"/>
    <col min="9" max="9" width="13.875" style="61" customWidth="1"/>
    <col min="10" max="10" width="11" style="61" customWidth="1"/>
    <col min="11" max="11" width="13.125" style="61" customWidth="1"/>
    <col min="12" max="12" width="16.3125" style="61" customWidth="1"/>
    <col min="13" max="13" width="41.5625" style="61" customWidth="1"/>
    <col min="14" max="16384" width="9" style="1"/>
  </cols>
  <sheetData>
    <row r="1" spans="1:13" ht="20.100000000000001" customHeight="1">
      <c r="A1" s="125"/>
      <c r="B1" s="125"/>
      <c r="C1" s="125"/>
      <c r="D1" s="134" t="s">
        <v>13</v>
      </c>
      <c r="E1" s="136" t="s">
        <v>435</v>
      </c>
      <c r="F1" s="458"/>
      <c r="G1" s="134"/>
      <c r="H1" s="134"/>
      <c r="I1" s="134"/>
      <c r="J1" s="134"/>
      <c r="K1" s="458" t="s">
        <v>8</v>
      </c>
      <c r="L1" s="1087" t="s">
        <v>439</v>
      </c>
      <c r="M1" s="1087"/>
    </row>
    <row r="2" spans="1:13" ht="20.100000000000001" customHeight="1">
      <c r="A2" s="125"/>
      <c r="B2" s="125"/>
      <c r="C2" s="125"/>
      <c r="D2" s="134" t="s">
        <v>14</v>
      </c>
      <c r="E2" s="136" t="s">
        <v>17</v>
      </c>
      <c r="F2" s="458"/>
      <c r="G2" s="134"/>
      <c r="H2" s="134"/>
      <c r="I2" s="134"/>
      <c r="J2" s="134"/>
      <c r="K2" s="134"/>
      <c r="L2" s="1087"/>
      <c r="M2" s="1087"/>
    </row>
    <row r="3" spans="1:13" ht="39.950000000000003" customHeight="1">
      <c r="A3" s="125"/>
      <c r="B3" s="125"/>
      <c r="C3" s="125"/>
      <c r="D3" s="134" t="s">
        <v>195</v>
      </c>
      <c r="E3" s="1077" t="s">
        <v>443</v>
      </c>
      <c r="F3" s="1077"/>
      <c r="G3" s="239"/>
      <c r="H3" s="239"/>
      <c r="I3" s="239"/>
      <c r="J3" s="239"/>
      <c r="K3" s="239" t="s">
        <v>441</v>
      </c>
      <c r="L3" s="1087" t="s">
        <v>442</v>
      </c>
      <c r="M3" s="1087"/>
    </row>
    <row r="4" spans="1:13" ht="24.95" customHeight="1">
      <c r="A4" s="125"/>
      <c r="B4" s="125"/>
      <c r="C4" s="125"/>
      <c r="D4" s="134" t="s">
        <v>437</v>
      </c>
      <c r="E4" s="137" t="s">
        <v>892</v>
      </c>
      <c r="F4" s="1088"/>
      <c r="G4" s="134"/>
      <c r="H4" s="134"/>
      <c r="I4" s="134"/>
      <c r="J4" s="1092" t="s">
        <v>440</v>
      </c>
      <c r="K4" s="1092"/>
      <c r="L4" s="1090">
        <v>1197477151532</v>
      </c>
      <c r="M4" s="1090"/>
    </row>
    <row r="5" spans="1:13" ht="19.899999999999999">
      <c r="A5" s="138"/>
      <c r="B5" s="138"/>
      <c r="C5" s="138"/>
      <c r="D5" s="140" t="s">
        <v>438</v>
      </c>
      <c r="E5" s="139" t="s">
        <v>891</v>
      </c>
      <c r="F5" s="1089"/>
      <c r="G5" s="140"/>
      <c r="H5" s="140"/>
      <c r="I5" s="140"/>
      <c r="J5" s="1093"/>
      <c r="K5" s="1093"/>
      <c r="L5" s="1091"/>
      <c r="M5" s="1091"/>
    </row>
    <row r="6" spans="1:13" ht="24" customHeight="1">
      <c r="A6" s="1071" t="s">
        <v>896</v>
      </c>
      <c r="B6" s="1072"/>
      <c r="C6" s="1072"/>
      <c r="D6" s="1072"/>
      <c r="E6" s="1072"/>
      <c r="F6" s="1072"/>
      <c r="G6" s="1072"/>
      <c r="H6" s="1072"/>
      <c r="I6" s="1072"/>
      <c r="J6" s="1072"/>
      <c r="K6" s="1072"/>
      <c r="L6" s="1072"/>
      <c r="M6" s="1073"/>
    </row>
    <row r="7" spans="1:13" ht="24" customHeight="1">
      <c r="A7" s="1074"/>
      <c r="B7" s="1075"/>
      <c r="C7" s="1075"/>
      <c r="D7" s="1075"/>
      <c r="E7" s="1075"/>
      <c r="F7" s="1075"/>
      <c r="G7" s="1075"/>
      <c r="H7" s="1075"/>
      <c r="I7" s="1075"/>
      <c r="J7" s="1075"/>
      <c r="K7" s="1075"/>
      <c r="L7" s="1075"/>
      <c r="M7" s="1076"/>
    </row>
    <row r="8" spans="1:13" s="316" customFormat="1" ht="67.5" customHeight="1">
      <c r="A8" s="549" t="s">
        <v>0</v>
      </c>
      <c r="B8" s="549" t="s">
        <v>897</v>
      </c>
      <c r="C8" s="550" t="s">
        <v>898</v>
      </c>
      <c r="D8" s="550" t="s">
        <v>899</v>
      </c>
      <c r="E8" s="550" t="s">
        <v>906</v>
      </c>
      <c r="F8" s="551" t="s">
        <v>901</v>
      </c>
      <c r="G8" s="552" t="s">
        <v>907</v>
      </c>
      <c r="H8" s="551" t="s">
        <v>900</v>
      </c>
      <c r="I8" s="551" t="s">
        <v>910</v>
      </c>
      <c r="J8" s="551" t="s">
        <v>903</v>
      </c>
      <c r="K8" s="551" t="s">
        <v>902</v>
      </c>
      <c r="L8" s="551" t="s">
        <v>904</v>
      </c>
      <c r="M8" s="551" t="s">
        <v>905</v>
      </c>
    </row>
    <row r="9" spans="1:13" s="121" customFormat="1" ht="27.95" customHeight="1">
      <c r="A9" s="553">
        <v>1</v>
      </c>
      <c r="B9" s="553" t="s">
        <v>913</v>
      </c>
      <c r="C9" s="554">
        <v>509330</v>
      </c>
      <c r="D9" s="554">
        <v>524412</v>
      </c>
      <c r="E9" s="554">
        <f>D9-C9</f>
        <v>15082</v>
      </c>
      <c r="F9" s="554">
        <f>ROUND(E9/0.6,0)</f>
        <v>25137</v>
      </c>
      <c r="G9" s="554">
        <f>E9-40-50-50-50-50-5635</f>
        <v>9207</v>
      </c>
      <c r="H9" s="554">
        <v>0</v>
      </c>
      <c r="I9" s="554"/>
      <c r="J9" s="555">
        <f>G9/E9*100</f>
        <v>61.04628033417319</v>
      </c>
      <c r="K9" s="554">
        <f>H9/F9*100</f>
        <v>0</v>
      </c>
      <c r="L9" s="554">
        <f>I9/E9*100</f>
        <v>0</v>
      </c>
      <c r="M9" s="556"/>
    </row>
    <row r="10" spans="1:13" s="155" customFormat="1" ht="27.95" customHeight="1">
      <c r="A10" s="553">
        <v>2</v>
      </c>
      <c r="B10" s="553" t="s">
        <v>908</v>
      </c>
      <c r="C10" s="554">
        <f>D9</f>
        <v>524412</v>
      </c>
      <c r="D10" s="554">
        <v>525828</v>
      </c>
      <c r="E10" s="554">
        <f t="shared" ref="E10:E11" si="0">D10-C10</f>
        <v>1416</v>
      </c>
      <c r="F10" s="554">
        <f t="shared" ref="F10:F15" si="1">ROUND(E10/0.6,0)</f>
        <v>2360</v>
      </c>
      <c r="G10" s="554">
        <f>E10-20</f>
        <v>1396</v>
      </c>
      <c r="H10" s="554">
        <v>0</v>
      </c>
      <c r="I10" s="554"/>
      <c r="J10" s="555">
        <f t="shared" ref="J10:J11" si="2">G10/E10*100</f>
        <v>98.587570621468927</v>
      </c>
      <c r="K10" s="554">
        <f t="shared" ref="K10:K11" si="3">H10/F10*100</f>
        <v>0</v>
      </c>
      <c r="L10" s="554">
        <f t="shared" ref="L10:L11" si="4">I10/E10*100</f>
        <v>0</v>
      </c>
      <c r="M10" s="557"/>
    </row>
    <row r="11" spans="1:13" s="155" customFormat="1" ht="27.95" customHeight="1">
      <c r="A11" s="553">
        <v>3</v>
      </c>
      <c r="B11" s="553" t="s">
        <v>912</v>
      </c>
      <c r="C11" s="554">
        <f>D10</f>
        <v>525828</v>
      </c>
      <c r="D11" s="554">
        <v>540260</v>
      </c>
      <c r="E11" s="554">
        <f t="shared" si="0"/>
        <v>14432</v>
      </c>
      <c r="F11" s="554">
        <f t="shared" si="1"/>
        <v>24053</v>
      </c>
      <c r="G11" s="554">
        <f>E11-15-140-30-45-25-20-70-20-25-30-20-25-30-50-20-30-20-15-25-15-20-20-20-10-10-5-10-10-12</f>
        <v>13645</v>
      </c>
      <c r="H11" s="554">
        <v>0</v>
      </c>
      <c r="I11" s="554"/>
      <c r="J11" s="555">
        <f t="shared" si="2"/>
        <v>94.546840354767184</v>
      </c>
      <c r="K11" s="554">
        <f t="shared" si="3"/>
        <v>0</v>
      </c>
      <c r="L11" s="554">
        <f t="shared" si="4"/>
        <v>0</v>
      </c>
      <c r="M11" s="557"/>
    </row>
    <row r="12" spans="1:13" s="155" customFormat="1" ht="54" customHeight="1">
      <c r="A12" s="553">
        <v>4</v>
      </c>
      <c r="B12" s="558" t="s">
        <v>452</v>
      </c>
      <c r="C12" s="554">
        <f t="shared" ref="C12:C13" si="5">D11</f>
        <v>540260</v>
      </c>
      <c r="D12" s="554">
        <v>541629</v>
      </c>
      <c r="E12" s="554">
        <f t="shared" ref="E12:E14" si="6">D12-C12</f>
        <v>1369</v>
      </c>
      <c r="F12" s="554">
        <f t="shared" si="1"/>
        <v>2282</v>
      </c>
      <c r="G12" s="554">
        <f t="shared" ref="G12:G14" si="7">E12</f>
        <v>1369</v>
      </c>
      <c r="H12" s="554">
        <v>0</v>
      </c>
      <c r="I12" s="554">
        <f>105*25</f>
        <v>2625</v>
      </c>
      <c r="J12" s="555">
        <f t="shared" ref="J12:J14" si="8">G12/E12*100</f>
        <v>100</v>
      </c>
      <c r="K12" s="554">
        <f t="shared" ref="K12:K14" si="9">H12/F12*100</f>
        <v>0</v>
      </c>
      <c r="L12" s="555">
        <f>I12/E12*100/2</f>
        <v>95.872899926953977</v>
      </c>
      <c r="M12" s="559" t="s">
        <v>914</v>
      </c>
    </row>
    <row r="13" spans="1:13" s="155" customFormat="1" ht="27.95" customHeight="1">
      <c r="A13" s="553">
        <v>5</v>
      </c>
      <c r="B13" s="558" t="s">
        <v>911</v>
      </c>
      <c r="C13" s="554">
        <f t="shared" si="5"/>
        <v>541629</v>
      </c>
      <c r="D13" s="554">
        <v>556118</v>
      </c>
      <c r="E13" s="554">
        <f t="shared" si="6"/>
        <v>14489</v>
      </c>
      <c r="F13" s="554">
        <f t="shared" si="1"/>
        <v>24148</v>
      </c>
      <c r="G13" s="554">
        <f>E13-20</f>
        <v>14469</v>
      </c>
      <c r="H13" s="554">
        <v>10982</v>
      </c>
      <c r="I13" s="554">
        <f>6575*2</f>
        <v>13150</v>
      </c>
      <c r="J13" s="555">
        <f t="shared" si="8"/>
        <v>99.861964248740421</v>
      </c>
      <c r="K13" s="555">
        <f t="shared" si="9"/>
        <v>45.477886367401027</v>
      </c>
      <c r="L13" s="555">
        <f>I13/E13/2*100</f>
        <v>45.379253226585689</v>
      </c>
      <c r="M13" s="557" t="s">
        <v>909</v>
      </c>
    </row>
    <row r="14" spans="1:13" s="121" customFormat="1" ht="27.95" customHeight="1">
      <c r="A14" s="553">
        <v>6</v>
      </c>
      <c r="B14" s="553" t="s">
        <v>451</v>
      </c>
      <c r="C14" s="554">
        <f>D13</f>
        <v>556118</v>
      </c>
      <c r="D14" s="554">
        <v>557478</v>
      </c>
      <c r="E14" s="554">
        <f t="shared" si="6"/>
        <v>1360</v>
      </c>
      <c r="F14" s="554">
        <f t="shared" si="1"/>
        <v>2267</v>
      </c>
      <c r="G14" s="554">
        <f t="shared" si="7"/>
        <v>1360</v>
      </c>
      <c r="H14" s="554">
        <v>0</v>
      </c>
      <c r="I14" s="554"/>
      <c r="J14" s="555">
        <f t="shared" si="8"/>
        <v>100</v>
      </c>
      <c r="K14" s="554">
        <f t="shared" si="9"/>
        <v>0</v>
      </c>
      <c r="L14" s="554">
        <f t="shared" ref="L14" si="10">I14/E14*100</f>
        <v>0</v>
      </c>
      <c r="M14" s="556"/>
    </row>
    <row r="15" spans="1:13" s="121" customFormat="1" ht="27.95" customHeight="1">
      <c r="A15" s="553"/>
      <c r="B15" s="549" t="s">
        <v>915</v>
      </c>
      <c r="C15" s="560">
        <f>C9</f>
        <v>509330</v>
      </c>
      <c r="D15" s="560">
        <v>557478</v>
      </c>
      <c r="E15" s="560">
        <f>SUM(E9:E14)</f>
        <v>48148</v>
      </c>
      <c r="F15" s="560">
        <f t="shared" si="1"/>
        <v>80247</v>
      </c>
      <c r="G15" s="560">
        <f>SUM(G9:G14)</f>
        <v>41446</v>
      </c>
      <c r="H15" s="560">
        <f>SUM(H9:H14)</f>
        <v>10982</v>
      </c>
      <c r="I15" s="560">
        <f>SUM(I9:I14)</f>
        <v>15775</v>
      </c>
      <c r="J15" s="561">
        <f t="shared" ref="J15" si="11">G15/E15*100</f>
        <v>86.080418708980645</v>
      </c>
      <c r="K15" s="561">
        <f t="shared" ref="K15" si="12">H15/F15*100</f>
        <v>13.685246800503444</v>
      </c>
      <c r="L15" s="561">
        <f>I15/E15/2*100</f>
        <v>16.381781174711307</v>
      </c>
      <c r="M15" s="562"/>
    </row>
    <row r="16" spans="1:13" s="155" customFormat="1" ht="24.75" customHeight="1">
      <c r="A16" s="1078" t="s">
        <v>944</v>
      </c>
      <c r="B16" s="1079"/>
      <c r="C16" s="1079"/>
      <c r="D16" s="1079"/>
      <c r="E16" s="1079"/>
      <c r="F16" s="1079"/>
      <c r="G16" s="1079"/>
      <c r="H16" s="1079"/>
      <c r="I16" s="1079"/>
      <c r="J16" s="1079"/>
      <c r="K16" s="1079"/>
      <c r="L16" s="1079"/>
      <c r="M16" s="1080"/>
    </row>
    <row r="17" spans="1:13" s="155" customFormat="1" ht="46.5" customHeight="1">
      <c r="A17" s="1081"/>
      <c r="B17" s="1082"/>
      <c r="C17" s="1082"/>
      <c r="D17" s="1082"/>
      <c r="E17" s="1082"/>
      <c r="F17" s="1082"/>
      <c r="G17" s="1082"/>
      <c r="H17" s="1082"/>
      <c r="I17" s="1082"/>
      <c r="J17" s="1082"/>
      <c r="K17" s="1082"/>
      <c r="L17" s="1082"/>
      <c r="M17" s="1083"/>
    </row>
    <row r="18" spans="1:13" s="121" customFormat="1" ht="81" customHeight="1">
      <c r="A18" s="1084"/>
      <c r="B18" s="1085"/>
      <c r="C18" s="1085"/>
      <c r="D18" s="1085"/>
      <c r="E18" s="1085"/>
      <c r="F18" s="1085"/>
      <c r="G18" s="1085"/>
      <c r="H18" s="1085"/>
      <c r="I18" s="1085"/>
      <c r="J18" s="1085"/>
      <c r="K18" s="1085"/>
      <c r="L18" s="1085"/>
      <c r="M18" s="1086"/>
    </row>
    <row r="19" spans="1:13" s="155" customFormat="1" ht="42.75" customHeight="1" thickBot="1">
      <c r="A19" s="461"/>
      <c r="B19" s="462"/>
      <c r="C19" s="462"/>
      <c r="D19" s="462"/>
      <c r="E19" s="462"/>
      <c r="F19" s="462"/>
      <c r="G19" s="462"/>
      <c r="H19" s="462"/>
      <c r="I19" s="462"/>
      <c r="J19" s="462"/>
      <c r="K19" s="462"/>
      <c r="L19" s="462"/>
      <c r="M19" s="463"/>
    </row>
    <row r="20" spans="1:13">
      <c r="A20" s="73"/>
      <c r="B20" s="73"/>
      <c r="C20" s="73"/>
      <c r="D20" s="84"/>
      <c r="E20" s="84"/>
      <c r="F20" s="91"/>
      <c r="G20" s="91"/>
      <c r="H20" s="91"/>
      <c r="I20" s="91"/>
      <c r="J20" s="91"/>
      <c r="K20" s="91"/>
      <c r="L20" s="91"/>
      <c r="M20" s="92"/>
    </row>
  </sheetData>
  <mergeCells count="8">
    <mergeCell ref="A6:M7"/>
    <mergeCell ref="E3:F3"/>
    <mergeCell ref="A16:M18"/>
    <mergeCell ref="L1:M2"/>
    <mergeCell ref="L3:M3"/>
    <mergeCell ref="F4:F5"/>
    <mergeCell ref="L4:M5"/>
    <mergeCell ref="J4:K5"/>
  </mergeCells>
  <printOptions horizontalCentered="1"/>
  <pageMargins left="0" right="0" top="0.59055118110236204" bottom="0.98425196850393704" header="0" footer="0.39370078740157499"/>
  <pageSetup scale="56" fitToHeight="0"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I39"/>
  <sheetViews>
    <sheetView rightToLeft="1" view="pageBreakPreview" topLeftCell="A25" zoomScale="70" zoomScaleNormal="70" zoomScaleSheetLayoutView="70" workbookViewId="0">
      <selection activeCell="I6" sqref="H1:I1048576"/>
    </sheetView>
  </sheetViews>
  <sheetFormatPr defaultColWidth="9" defaultRowHeight="16.899999999999999"/>
  <cols>
    <col min="1" max="1" width="4.125" style="1" customWidth="1"/>
    <col min="2" max="2" width="8.125" style="1" customWidth="1"/>
    <col min="3" max="3" width="21.5625" style="1" customWidth="1"/>
    <col min="4" max="4" width="17.4375" style="1" customWidth="1"/>
    <col min="5" max="5" width="40.3125" style="1" customWidth="1"/>
    <col min="6" max="6" width="31" style="61" customWidth="1"/>
    <col min="7" max="7" width="29.5625" style="61" customWidth="1"/>
    <col min="8" max="9" width="18.125" style="61" customWidth="1"/>
    <col min="10" max="16384" width="9" style="1"/>
  </cols>
  <sheetData>
    <row r="1" spans="1:9" ht="20.100000000000001" customHeight="1">
      <c r="A1" s="125"/>
      <c r="B1" s="125"/>
      <c r="C1" s="125"/>
      <c r="D1" s="134" t="s">
        <v>13</v>
      </c>
      <c r="E1" s="136" t="s">
        <v>435</v>
      </c>
      <c r="F1" s="1088"/>
      <c r="G1" s="1088" t="s">
        <v>8</v>
      </c>
      <c r="H1" s="1087" t="s">
        <v>439</v>
      </c>
      <c r="I1" s="1087"/>
    </row>
    <row r="2" spans="1:9" ht="20.100000000000001" customHeight="1">
      <c r="A2" s="125"/>
      <c r="B2" s="125"/>
      <c r="C2" s="125"/>
      <c r="D2" s="134" t="s">
        <v>14</v>
      </c>
      <c r="E2" s="136" t="s">
        <v>17</v>
      </c>
      <c r="F2" s="1088"/>
      <c r="G2" s="1088"/>
      <c r="H2" s="1087"/>
      <c r="I2" s="1087"/>
    </row>
    <row r="3" spans="1:9" ht="39.950000000000003" customHeight="1">
      <c r="A3" s="125"/>
      <c r="B3" s="125"/>
      <c r="C3" s="125"/>
      <c r="D3" s="134" t="s">
        <v>195</v>
      </c>
      <c r="E3" s="238" t="s">
        <v>443</v>
      </c>
      <c r="F3" s="239"/>
      <c r="G3" s="239" t="s">
        <v>441</v>
      </c>
      <c r="H3" s="1087" t="s">
        <v>442</v>
      </c>
      <c r="I3" s="1087"/>
    </row>
    <row r="4" spans="1:9" ht="24.95" customHeight="1">
      <c r="A4" s="125"/>
      <c r="B4" s="125"/>
      <c r="C4" s="125"/>
      <c r="D4" s="134" t="s">
        <v>437</v>
      </c>
      <c r="E4" s="137" t="s">
        <v>892</v>
      </c>
      <c r="F4" s="1088"/>
      <c r="G4" s="1088" t="s">
        <v>440</v>
      </c>
      <c r="H4" s="1090">
        <v>1197477151532</v>
      </c>
      <c r="I4" s="1090"/>
    </row>
    <row r="5" spans="1:9" ht="19.899999999999999">
      <c r="A5" s="138"/>
      <c r="B5" s="138"/>
      <c r="C5" s="138"/>
      <c r="D5" s="140" t="s">
        <v>438</v>
      </c>
      <c r="E5" s="139" t="s">
        <v>891</v>
      </c>
      <c r="F5" s="1089"/>
      <c r="G5" s="1089"/>
      <c r="H5" s="1091"/>
      <c r="I5" s="1091"/>
    </row>
    <row r="6" spans="1:9" ht="24" customHeight="1">
      <c r="A6" s="1105" t="s">
        <v>0</v>
      </c>
      <c r="B6" s="1107" t="s">
        <v>1</v>
      </c>
      <c r="C6" s="1101" t="s">
        <v>18</v>
      </c>
      <c r="D6" s="1101"/>
      <c r="E6" s="1101"/>
      <c r="F6" s="1094" t="s">
        <v>925</v>
      </c>
      <c r="G6" s="1098" t="s">
        <v>919</v>
      </c>
      <c r="H6" s="1096" t="s">
        <v>920</v>
      </c>
      <c r="I6" s="1097" t="s">
        <v>905</v>
      </c>
    </row>
    <row r="7" spans="1:9" ht="24" customHeight="1">
      <c r="A7" s="1106"/>
      <c r="B7" s="1108"/>
      <c r="C7" s="1102"/>
      <c r="D7" s="1102"/>
      <c r="E7" s="1102"/>
      <c r="F7" s="1095"/>
      <c r="G7" s="1098"/>
      <c r="H7" s="1096"/>
      <c r="I7" s="1097"/>
    </row>
    <row r="8" spans="1:9" s="316" customFormat="1" ht="27.95" customHeight="1">
      <c r="A8" s="147">
        <v>1</v>
      </c>
      <c r="B8" s="315">
        <v>1</v>
      </c>
      <c r="C8" s="1103" t="s">
        <v>436</v>
      </c>
      <c r="D8" s="1103"/>
      <c r="E8" s="1103"/>
      <c r="F8" s="537">
        <f>SUM(F9,F14,F17,F22,F30)</f>
        <v>570762914802.68091</v>
      </c>
      <c r="G8" s="317">
        <f>SUM(G9,G14,G17,G22,G30)</f>
        <v>697947245770.53125</v>
      </c>
      <c r="H8" s="318">
        <f>SUM(H9,H14,H17,H22,H30)</f>
        <v>0</v>
      </c>
      <c r="I8" s="319"/>
    </row>
    <row r="9" spans="1:9" s="121" customFormat="1" ht="27.95" customHeight="1">
      <c r="A9" s="147">
        <v>2</v>
      </c>
      <c r="B9" s="127">
        <v>1.3</v>
      </c>
      <c r="C9" s="1100" t="s">
        <v>455</v>
      </c>
      <c r="D9" s="1100"/>
      <c r="E9" s="1100"/>
      <c r="F9" s="538">
        <f>SUM(F10:F13)</f>
        <v>45633459291.096115</v>
      </c>
      <c r="G9" s="320">
        <f>SUM(G10:G13)</f>
        <v>61071334728.191994</v>
      </c>
      <c r="H9" s="321">
        <f>SUM(H10:H13)</f>
        <v>0</v>
      </c>
      <c r="I9" s="322"/>
    </row>
    <row r="10" spans="1:9" s="155" customFormat="1" ht="27.95" customHeight="1">
      <c r="A10" s="147">
        <v>3</v>
      </c>
      <c r="B10" s="126" t="s">
        <v>21</v>
      </c>
      <c r="C10" s="1104" t="s">
        <v>733</v>
      </c>
      <c r="D10" s="1104"/>
      <c r="E10" s="1104"/>
      <c r="F10" s="539">
        <f>'سازمان دهی و برنامه ریزی پروژه'!I8</f>
        <v>5879612814.3621197</v>
      </c>
      <c r="G10" s="323">
        <f>'سازمان دهی و برنامه ریزی پروژه'!L8</f>
        <v>5987385758</v>
      </c>
      <c r="H10" s="324">
        <f>'سازمان دهی و برنامه ریزی پروژه'!Q8</f>
        <v>0</v>
      </c>
      <c r="I10" s="325"/>
    </row>
    <row r="11" spans="1:9" s="155" customFormat="1" ht="27.95" customHeight="1">
      <c r="A11" s="147">
        <v>4</v>
      </c>
      <c r="B11" s="126" t="s">
        <v>38</v>
      </c>
      <c r="C11" s="1099" t="s">
        <v>37</v>
      </c>
      <c r="D11" s="1099"/>
      <c r="E11" s="1099"/>
      <c r="F11" s="539">
        <f>'بیمه نامه ها'!I8</f>
        <v>5295842703</v>
      </c>
      <c r="G11" s="323">
        <f>'بیمه نامه ها'!L8</f>
        <v>7184862909.1920004</v>
      </c>
      <c r="H11" s="324">
        <f>'بیمه نامه ها'!Q8</f>
        <v>0</v>
      </c>
      <c r="I11" s="325"/>
    </row>
    <row r="12" spans="1:9" s="155" customFormat="1" ht="27.95" customHeight="1">
      <c r="A12" s="147">
        <v>5</v>
      </c>
      <c r="B12" s="126" t="s">
        <v>44</v>
      </c>
      <c r="C12" s="1099" t="s">
        <v>57</v>
      </c>
      <c r="D12" s="1099"/>
      <c r="E12" s="1099"/>
      <c r="F12" s="539">
        <f>'تجهیز کارگاه اولیه'!I8</f>
        <v>18759078317.284</v>
      </c>
      <c r="G12" s="323">
        <f>'تجهیز کارگاه اولیه'!L8</f>
        <v>20357111576</v>
      </c>
      <c r="H12" s="324">
        <f>'تجهیز کارگاه اولیه'!Q8</f>
        <v>0</v>
      </c>
      <c r="I12" s="325"/>
    </row>
    <row r="13" spans="1:9" s="155" customFormat="1" ht="27.95" customHeight="1">
      <c r="A13" s="147">
        <v>6</v>
      </c>
      <c r="B13" s="126" t="s">
        <v>75</v>
      </c>
      <c r="C13" s="1099" t="s">
        <v>444</v>
      </c>
      <c r="D13" s="1099"/>
      <c r="E13" s="1099"/>
      <c r="F13" s="539">
        <f>'تجهیز کارگاه مستمر'!I8</f>
        <v>15698925456.450001</v>
      </c>
      <c r="G13" s="323">
        <f>'تجهیز کارگاه مستمر'!L8</f>
        <v>27541974484.999992</v>
      </c>
      <c r="H13" s="324">
        <f>'تجهیز کارگاه مستمر'!Q8</f>
        <v>0</v>
      </c>
      <c r="I13" s="325"/>
    </row>
    <row r="14" spans="1:9" s="121" customFormat="1" ht="27.95" customHeight="1">
      <c r="A14" s="147">
        <v>7</v>
      </c>
      <c r="B14" s="127">
        <v>1.4</v>
      </c>
      <c r="C14" s="1100" t="s">
        <v>445</v>
      </c>
      <c r="D14" s="1100"/>
      <c r="E14" s="1100"/>
      <c r="F14" s="538">
        <f>SUM(F15:F16)</f>
        <v>38974588220.493797</v>
      </c>
      <c r="G14" s="320">
        <f>SUM(G15:G16)</f>
        <v>59095497428.504196</v>
      </c>
      <c r="H14" s="321">
        <f>SUM(H15:H16)</f>
        <v>0</v>
      </c>
      <c r="I14" s="322"/>
    </row>
    <row r="15" spans="1:9" s="155" customFormat="1" ht="27.95" customHeight="1">
      <c r="A15" s="147">
        <v>8</v>
      </c>
      <c r="B15" s="126" t="s">
        <v>87</v>
      </c>
      <c r="C15" s="1099" t="s">
        <v>86</v>
      </c>
      <c r="D15" s="1099"/>
      <c r="E15" s="1099"/>
      <c r="F15" s="539">
        <f>'خدمات طراحي  مهندسي پیش از اجرا'!I8</f>
        <v>19214419004.368805</v>
      </c>
      <c r="G15" s="323">
        <f>'خدمات طراحي  مهندسي پیش از اجرا'!L8</f>
        <v>20955850152.000004</v>
      </c>
      <c r="H15" s="324">
        <f>'خدمات طراحي  مهندسي پیش از اجرا'!Q8</f>
        <v>0</v>
      </c>
      <c r="I15" s="325"/>
    </row>
    <row r="16" spans="1:9" s="155" customFormat="1" ht="27.95" customHeight="1">
      <c r="A16" s="147">
        <v>9</v>
      </c>
      <c r="B16" s="126" t="s">
        <v>174</v>
      </c>
      <c r="C16" s="1099" t="s">
        <v>158</v>
      </c>
      <c r="D16" s="1099"/>
      <c r="E16" s="1099"/>
      <c r="F16" s="539">
        <f>'خدمات طراحي و مهندسي حین اجرا'!I8</f>
        <v>19760169216.124992</v>
      </c>
      <c r="G16" s="323">
        <f>'خدمات طراحي و مهندسي حین اجرا'!L8</f>
        <v>38139647276.504196</v>
      </c>
      <c r="H16" s="324">
        <f>'خدمات طراحي و مهندسي حین اجرا'!Q8</f>
        <v>0</v>
      </c>
      <c r="I16" s="325"/>
    </row>
    <row r="17" spans="1:9" s="121" customFormat="1" ht="27.95" customHeight="1">
      <c r="A17" s="147">
        <v>10</v>
      </c>
      <c r="B17" s="127">
        <v>1.5</v>
      </c>
      <c r="C17" s="1100" t="s">
        <v>162</v>
      </c>
      <c r="D17" s="1100"/>
      <c r="E17" s="1100"/>
      <c r="F17" s="538">
        <f>F18+F19+F20+F21</f>
        <v>127833979316.84712</v>
      </c>
      <c r="G17" s="320">
        <f>G18+G19+G20+G21</f>
        <v>125541982550.79594</v>
      </c>
      <c r="H17" s="321">
        <f>H18+H19+H20+H21</f>
        <v>0</v>
      </c>
      <c r="I17" s="322"/>
    </row>
    <row r="18" spans="1:9" s="155" customFormat="1" ht="27.95" customHeight="1">
      <c r="A18" s="147">
        <v>11</v>
      </c>
      <c r="B18" s="126" t="s">
        <v>210</v>
      </c>
      <c r="C18" s="1099" t="s">
        <v>446</v>
      </c>
      <c r="D18" s="1099"/>
      <c r="E18" s="1099"/>
      <c r="F18" s="539">
        <f>'خدمات تامین'!I9</f>
        <v>58196709301.680008</v>
      </c>
      <c r="G18" s="323">
        <f>'خدمات تامین'!L9</f>
        <v>64663010335.200012</v>
      </c>
      <c r="H18" s="324">
        <f>'خدمات تامین'!Q9</f>
        <v>0</v>
      </c>
      <c r="I18" s="325"/>
    </row>
    <row r="19" spans="1:9" s="155" customFormat="1" ht="27.95" customHeight="1">
      <c r="A19" s="147">
        <v>12</v>
      </c>
      <c r="B19" s="126" t="s">
        <v>211</v>
      </c>
      <c r="C19" s="1099" t="s">
        <v>105</v>
      </c>
      <c r="D19" s="1099"/>
      <c r="E19" s="1099"/>
      <c r="F19" s="539">
        <f>'خدمات تامین'!I16</f>
        <v>25147801416.150002</v>
      </c>
      <c r="G19" s="323">
        <f>'خدمات تامین'!L16</f>
        <v>25147801416.150002</v>
      </c>
      <c r="H19" s="324">
        <f>'خدمات تامین'!Q16</f>
        <v>0</v>
      </c>
      <c r="I19" s="325"/>
    </row>
    <row r="20" spans="1:9" s="155" customFormat="1" ht="27.95" customHeight="1">
      <c r="A20" s="147">
        <v>13</v>
      </c>
      <c r="B20" s="126" t="s">
        <v>212</v>
      </c>
      <c r="C20" s="1099" t="s">
        <v>447</v>
      </c>
      <c r="D20" s="1099"/>
      <c r="E20" s="1099"/>
      <c r="F20" s="539">
        <f>'خدمات تامین'!I21</f>
        <v>41663448386.917099</v>
      </c>
      <c r="G20" s="323">
        <f>'خدمات تامین'!L21</f>
        <v>35731170799.445938</v>
      </c>
      <c r="H20" s="324">
        <f>'خدمات تامین'!Q21</f>
        <v>0</v>
      </c>
      <c r="I20" s="325"/>
    </row>
    <row r="21" spans="1:9" s="155" customFormat="1" ht="27.95" customHeight="1">
      <c r="A21" s="147">
        <v>14</v>
      </c>
      <c r="B21" s="126" t="s">
        <v>213</v>
      </c>
      <c r="C21" s="1099" t="s">
        <v>448</v>
      </c>
      <c r="D21" s="1099"/>
      <c r="E21" s="1099"/>
      <c r="F21" s="539">
        <f>'خدمات تامین'!I27</f>
        <v>2826020212.1000004</v>
      </c>
      <c r="G21" s="323">
        <f>'خدمات تامین'!L27</f>
        <v>0</v>
      </c>
      <c r="H21" s="324">
        <f>'خدمات تامین'!Q27</f>
        <v>0</v>
      </c>
      <c r="I21" s="325"/>
    </row>
    <row r="22" spans="1:9" s="121" customFormat="1" ht="27.95" customHeight="1">
      <c r="A22" s="147">
        <v>15</v>
      </c>
      <c r="B22" s="127">
        <v>1.6</v>
      </c>
      <c r="C22" s="1100" t="s">
        <v>449</v>
      </c>
      <c r="D22" s="1100"/>
      <c r="E22" s="1100"/>
      <c r="F22" s="540">
        <f>F23+F24+F25+F26+F27+F28+F29</f>
        <v>358320887974.2439</v>
      </c>
      <c r="G22" s="393">
        <f>G23+G24+G25+G26+G27+G28+G29</f>
        <v>437868705244.65509</v>
      </c>
      <c r="H22" s="321">
        <f>H23+H24+H25+H26+H27+H28+H29</f>
        <v>0</v>
      </c>
      <c r="I22" s="322"/>
    </row>
    <row r="23" spans="1:9" s="155" customFormat="1" ht="27.95" customHeight="1">
      <c r="A23" s="147">
        <v>16</v>
      </c>
      <c r="B23" s="126" t="s">
        <v>206</v>
      </c>
      <c r="C23" s="1099" t="s">
        <v>450</v>
      </c>
      <c r="D23" s="1099"/>
      <c r="E23" s="1099"/>
      <c r="F23" s="539">
        <f>'خدمات اجرایی '!I9</f>
        <v>102655340619.42497</v>
      </c>
      <c r="G23" s="323">
        <f>'خدمات اجرایی '!L9</f>
        <v>115799144927.60791</v>
      </c>
      <c r="H23" s="324">
        <f>'خدمات اجرایی '!Q9</f>
        <v>0</v>
      </c>
      <c r="I23" s="325"/>
    </row>
    <row r="24" spans="1:9" s="155" customFormat="1" ht="27.95" customHeight="1">
      <c r="A24" s="147">
        <v>17</v>
      </c>
      <c r="B24" s="126" t="s">
        <v>207</v>
      </c>
      <c r="C24" s="1099" t="s">
        <v>451</v>
      </c>
      <c r="D24" s="1099"/>
      <c r="E24" s="1099"/>
      <c r="F24" s="539">
        <f>'خدمات اجرایی '!I51</f>
        <v>15819676742.720289</v>
      </c>
      <c r="G24" s="323">
        <f>'خدمات اجرایی '!L51</f>
        <v>17191313046.876385</v>
      </c>
      <c r="H24" s="324">
        <f>'خدمات اجرایی '!Q51</f>
        <v>0</v>
      </c>
      <c r="I24" s="325"/>
    </row>
    <row r="25" spans="1:9" s="155" customFormat="1" ht="27.95" customHeight="1">
      <c r="A25" s="147">
        <v>18</v>
      </c>
      <c r="B25" s="126" t="s">
        <v>208</v>
      </c>
      <c r="C25" s="1099" t="s">
        <v>457</v>
      </c>
      <c r="D25" s="1099"/>
      <c r="E25" s="1099"/>
      <c r="F25" s="539">
        <f>'خدمات اجرایی '!I78</f>
        <v>104331317354.30943</v>
      </c>
      <c r="G25" s="323">
        <f>'خدمات اجرایی '!L78</f>
        <v>112475174571.47679</v>
      </c>
      <c r="H25" s="324">
        <f>'خدمات اجرایی '!Q78</f>
        <v>0</v>
      </c>
      <c r="I25" s="325"/>
    </row>
    <row r="26" spans="1:9" s="155" customFormat="1" ht="27.95" customHeight="1">
      <c r="A26" s="147">
        <v>19</v>
      </c>
      <c r="B26" s="126" t="s">
        <v>209</v>
      </c>
      <c r="C26" s="1099" t="s">
        <v>452</v>
      </c>
      <c r="D26" s="1099"/>
      <c r="E26" s="1099"/>
      <c r="F26" s="539">
        <f>'خدمات اجرایی '!I120</f>
        <v>15847241622.130798</v>
      </c>
      <c r="G26" s="323">
        <f>'خدمات اجرایی '!L120</f>
        <v>17649112991.291138</v>
      </c>
      <c r="H26" s="324">
        <f>'خدمات اجرایی '!Q120</f>
        <v>0</v>
      </c>
      <c r="I26" s="325"/>
    </row>
    <row r="27" spans="1:9" s="155" customFormat="1" ht="27.95" customHeight="1">
      <c r="A27" s="147">
        <v>20</v>
      </c>
      <c r="B27" s="126" t="s">
        <v>214</v>
      </c>
      <c r="C27" s="1099" t="s">
        <v>458</v>
      </c>
      <c r="D27" s="1099"/>
      <c r="E27" s="1099"/>
      <c r="F27" s="539">
        <f>'خدمات اجرایی '!I147</f>
        <v>103803209693.47098</v>
      </c>
      <c r="G27" s="323">
        <f>'خدمات اجرایی '!L147</f>
        <v>110063543079.96446</v>
      </c>
      <c r="H27" s="324">
        <f>'خدمات اجرایی '!Q147</f>
        <v>0</v>
      </c>
      <c r="I27" s="325"/>
    </row>
    <row r="28" spans="1:9" s="155" customFormat="1" ht="27.95" customHeight="1">
      <c r="A28" s="147">
        <v>21</v>
      </c>
      <c r="B28" s="126" t="s">
        <v>397</v>
      </c>
      <c r="C28" s="1099" t="s">
        <v>453</v>
      </c>
      <c r="D28" s="1099"/>
      <c r="E28" s="1099"/>
      <c r="F28" s="539">
        <f>'خدمات اجرایی '!I189</f>
        <v>15864101942.187368</v>
      </c>
      <c r="G28" s="323">
        <f>'خدمات اجرایی '!L189</f>
        <v>17213265095.438442</v>
      </c>
      <c r="H28" s="324">
        <f>'خدمات اجرایی '!Q189</f>
        <v>0</v>
      </c>
      <c r="I28" s="325"/>
    </row>
    <row r="29" spans="1:9" s="155" customFormat="1" ht="27.95" customHeight="1">
      <c r="A29" s="147">
        <v>22</v>
      </c>
      <c r="B29" s="126" t="s">
        <v>695</v>
      </c>
      <c r="C29" s="1099" t="s">
        <v>565</v>
      </c>
      <c r="D29" s="1099"/>
      <c r="E29" s="1099"/>
      <c r="F29" s="539">
        <f>'خدمات اجرایی '!I216</f>
        <v>0</v>
      </c>
      <c r="G29" s="323">
        <f>'خدمات اجرایی '!L216</f>
        <v>47477151532</v>
      </c>
      <c r="H29" s="324">
        <f>'خدمات اجرایی '!Q216</f>
        <v>0</v>
      </c>
      <c r="I29" s="325"/>
    </row>
    <row r="30" spans="1:9" s="121" customFormat="1" ht="27.95" customHeight="1">
      <c r="A30" s="147">
        <v>23</v>
      </c>
      <c r="B30" s="127">
        <v>1.7</v>
      </c>
      <c r="C30" s="1100" t="s">
        <v>454</v>
      </c>
      <c r="D30" s="1100"/>
      <c r="E30" s="1100"/>
      <c r="F30" s="541">
        <f>SUM(F31:F33)</f>
        <v>0</v>
      </c>
      <c r="G30" s="342">
        <f>SUM(G31:G33)</f>
        <v>14369725818.384001</v>
      </c>
      <c r="H30" s="321">
        <f>SUM(H31:H33)</f>
        <v>0</v>
      </c>
      <c r="I30" s="322"/>
    </row>
    <row r="31" spans="1:9" s="155" customFormat="1" ht="27.95" customHeight="1">
      <c r="A31" s="147">
        <v>24</v>
      </c>
      <c r="B31" s="126" t="s">
        <v>165</v>
      </c>
      <c r="C31" s="1099" t="s">
        <v>166</v>
      </c>
      <c r="D31" s="1099"/>
      <c r="E31" s="1099"/>
      <c r="F31" s="539">
        <f>اختتامیه!I9</f>
        <v>0</v>
      </c>
      <c r="G31" s="323">
        <f>اختتامیه!L9</f>
        <v>5987385757.6599998</v>
      </c>
      <c r="H31" s="324">
        <f>اختتامیه!Q9</f>
        <v>0</v>
      </c>
      <c r="I31" s="325"/>
    </row>
    <row r="32" spans="1:9" s="155" customFormat="1" ht="27.95" customHeight="1">
      <c r="A32" s="147">
        <v>25</v>
      </c>
      <c r="B32" s="126" t="s">
        <v>167</v>
      </c>
      <c r="C32" s="1099" t="s">
        <v>168</v>
      </c>
      <c r="D32" s="1099"/>
      <c r="E32" s="1099"/>
      <c r="F32" s="539">
        <f>اختتامیه!I10</f>
        <v>0</v>
      </c>
      <c r="G32" s="323">
        <f>اختتامیه!L10</f>
        <v>3592431454.5960002</v>
      </c>
      <c r="H32" s="324">
        <f>اختتامیه!Q10</f>
        <v>0</v>
      </c>
      <c r="I32" s="325"/>
    </row>
    <row r="33" spans="1:9" s="155" customFormat="1" ht="27.95" customHeight="1">
      <c r="A33" s="147">
        <v>26</v>
      </c>
      <c r="B33" s="126" t="s">
        <v>169</v>
      </c>
      <c r="C33" s="1099" t="s">
        <v>170</v>
      </c>
      <c r="D33" s="1099"/>
      <c r="E33" s="1099"/>
      <c r="F33" s="539">
        <f>اختتامیه!I11</f>
        <v>0</v>
      </c>
      <c r="G33" s="323">
        <f>اختتامیه!L11</f>
        <v>4789908606.1280003</v>
      </c>
      <c r="H33" s="324">
        <f>اختتامیه!Q11</f>
        <v>0</v>
      </c>
      <c r="I33" s="325"/>
    </row>
    <row r="34" spans="1:9">
      <c r="A34" s="73"/>
      <c r="B34" s="73"/>
      <c r="C34" s="73"/>
      <c r="D34" s="84"/>
      <c r="E34" s="84"/>
      <c r="F34" s="91"/>
      <c r="G34" s="91"/>
      <c r="H34" s="91"/>
      <c r="I34" s="92"/>
    </row>
    <row r="36" spans="1:9" ht="27.4">
      <c r="F36" s="456">
        <v>1197477151532</v>
      </c>
      <c r="G36" s="456">
        <v>1197477151532</v>
      </c>
      <c r="H36" s="61" t="s">
        <v>888</v>
      </c>
    </row>
    <row r="37" spans="1:9" ht="27.4">
      <c r="F37" s="456">
        <v>47477151532</v>
      </c>
      <c r="G37" s="456">
        <v>47477151532</v>
      </c>
      <c r="H37" s="61" t="s">
        <v>889</v>
      </c>
    </row>
    <row r="38" spans="1:9" ht="27.4">
      <c r="F38" s="456">
        <f>F36-F37</f>
        <v>1150000000000</v>
      </c>
      <c r="G38" s="456">
        <f>G36-G37</f>
        <v>1150000000000</v>
      </c>
    </row>
    <row r="39" spans="1:9" ht="24.75" hidden="1">
      <c r="F39" s="457">
        <f>F8/F38*F37</f>
        <v>23563649908.637291</v>
      </c>
      <c r="G39" s="457">
        <f>G8/G38*G37</f>
        <v>28814388825.034397</v>
      </c>
      <c r="H39" s="61" t="s">
        <v>890</v>
      </c>
    </row>
  </sheetData>
  <mergeCells count="40">
    <mergeCell ref="C6:E7"/>
    <mergeCell ref="C8:E8"/>
    <mergeCell ref="C10:E10"/>
    <mergeCell ref="A6:A7"/>
    <mergeCell ref="B6:B7"/>
    <mergeCell ref="C9:E9"/>
    <mergeCell ref="C11:E11"/>
    <mergeCell ref="C12:E12"/>
    <mergeCell ref="C13:E13"/>
    <mergeCell ref="C15:E15"/>
    <mergeCell ref="C16:E16"/>
    <mergeCell ref="C14:E14"/>
    <mergeCell ref="C17:E17"/>
    <mergeCell ref="C19:E19"/>
    <mergeCell ref="C18:E18"/>
    <mergeCell ref="C20:E20"/>
    <mergeCell ref="C21:E21"/>
    <mergeCell ref="C33:E33"/>
    <mergeCell ref="C22:E22"/>
    <mergeCell ref="C23:E23"/>
    <mergeCell ref="C24:E24"/>
    <mergeCell ref="C25:E25"/>
    <mergeCell ref="C26:E26"/>
    <mergeCell ref="C27:E27"/>
    <mergeCell ref="C28:E28"/>
    <mergeCell ref="C30:E30"/>
    <mergeCell ref="C31:E31"/>
    <mergeCell ref="C32:E32"/>
    <mergeCell ref="C29:E29"/>
    <mergeCell ref="F1:F2"/>
    <mergeCell ref="F4:F5"/>
    <mergeCell ref="F6:F7"/>
    <mergeCell ref="H6:H7"/>
    <mergeCell ref="I6:I7"/>
    <mergeCell ref="G6:G7"/>
    <mergeCell ref="H1:I2"/>
    <mergeCell ref="H3:I3"/>
    <mergeCell ref="G4:G5"/>
    <mergeCell ref="G1:G2"/>
    <mergeCell ref="H4:I5"/>
  </mergeCells>
  <printOptions horizontalCentered="1"/>
  <pageMargins left="0.2" right="0.5" top="0.59055118110236204" bottom="0.98425196850393704" header="0" footer="0.39370078740157499"/>
  <pageSetup paperSize="9" scale="47" orientation="portrait"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rowBreaks count="1" manualBreakCount="1">
    <brk id="21" max="7"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0"/>
  <sheetViews>
    <sheetView rightToLeft="1" view="pageBreakPreview" zoomScale="90" zoomScaleNormal="100" zoomScaleSheetLayoutView="90" workbookViewId="0">
      <selection activeCell="B19" sqref="B19"/>
    </sheetView>
  </sheetViews>
  <sheetFormatPr defaultColWidth="9" defaultRowHeight="16.899999999999999"/>
  <cols>
    <col min="1" max="1" width="4" style="1" bestFit="1" customWidth="1"/>
    <col min="2" max="2" width="9" style="1"/>
    <col min="3" max="3" width="35.6875" style="1" customWidth="1"/>
    <col min="4" max="4" width="24.125" style="1" bestFit="1" customWidth="1"/>
    <col min="5" max="6" width="6.4375" style="1" customWidth="1"/>
    <col min="7" max="7" width="9.3125" style="1" bestFit="1" customWidth="1"/>
    <col min="8" max="8" width="9" style="1"/>
    <col min="9" max="9" width="24.4375" style="1" bestFit="1" customWidth="1"/>
    <col min="10" max="11" width="9" style="1"/>
    <col min="12" max="12" width="24.3125" style="1" bestFit="1" customWidth="1"/>
    <col min="13" max="14" width="9" style="1"/>
    <col min="15" max="15" width="22.3125" style="1" bestFit="1" customWidth="1"/>
    <col min="16" max="16384" width="9" style="1"/>
  </cols>
  <sheetData>
    <row r="1" spans="1:15" ht="18.75" thickTop="1">
      <c r="A1" s="1121"/>
      <c r="B1" s="1111"/>
      <c r="C1" s="1122"/>
      <c r="D1" s="58"/>
      <c r="E1" s="1111"/>
      <c r="F1" s="1111"/>
      <c r="G1" s="1111"/>
      <c r="H1" s="95" t="s">
        <v>13</v>
      </c>
      <c r="I1" s="85" t="s">
        <v>16</v>
      </c>
      <c r="J1" s="58"/>
      <c r="K1" s="31"/>
      <c r="L1" s="1146" t="s">
        <v>8</v>
      </c>
      <c r="M1" s="1149" t="s">
        <v>199</v>
      </c>
      <c r="N1" s="1150"/>
      <c r="O1" s="1151"/>
    </row>
    <row r="2" spans="1:15" ht="18.399999999999999">
      <c r="A2" s="1123"/>
      <c r="B2" s="1112"/>
      <c r="C2" s="1124"/>
      <c r="E2" s="1112"/>
      <c r="F2" s="1112"/>
      <c r="G2" s="1112"/>
      <c r="H2" s="93" t="s">
        <v>14</v>
      </c>
      <c r="I2" s="86" t="s">
        <v>17</v>
      </c>
      <c r="L2" s="1147"/>
      <c r="M2" s="1152"/>
      <c r="N2" s="1153"/>
      <c r="O2" s="1154"/>
    </row>
    <row r="3" spans="1:15" ht="39" customHeight="1">
      <c r="A3" s="1123"/>
      <c r="B3" s="1112"/>
      <c r="C3" s="1124"/>
      <c r="E3" s="1112"/>
      <c r="F3" s="1112"/>
      <c r="G3" s="1112"/>
      <c r="H3" s="93" t="s">
        <v>195</v>
      </c>
      <c r="I3" s="87" t="s">
        <v>197</v>
      </c>
      <c r="L3" s="88" t="s">
        <v>200</v>
      </c>
      <c r="M3" s="1155" t="s">
        <v>196</v>
      </c>
      <c r="N3" s="1156"/>
      <c r="O3" s="1157"/>
    </row>
    <row r="4" spans="1:15" ht="18" customHeight="1">
      <c r="A4" s="1123"/>
      <c r="B4" s="1112"/>
      <c r="C4" s="1124"/>
      <c r="H4" s="93" t="s">
        <v>11</v>
      </c>
      <c r="I4" s="89">
        <v>2</v>
      </c>
      <c r="L4" s="1147" t="s">
        <v>36</v>
      </c>
      <c r="M4" s="1158">
        <v>768000000000</v>
      </c>
      <c r="N4" s="1159"/>
      <c r="O4" s="1160"/>
    </row>
    <row r="5" spans="1:15" ht="18" customHeight="1" thickBot="1">
      <c r="A5" s="1125"/>
      <c r="B5" s="1126"/>
      <c r="C5" s="1127"/>
      <c r="D5" s="35"/>
      <c r="E5" s="35"/>
      <c r="F5" s="35"/>
      <c r="G5" s="35"/>
      <c r="H5" s="94" t="s">
        <v>12</v>
      </c>
      <c r="I5" s="90" t="s">
        <v>198</v>
      </c>
      <c r="J5" s="35"/>
      <c r="K5" s="35"/>
      <c r="L5" s="1148"/>
      <c r="M5" s="1161"/>
      <c r="N5" s="1162"/>
      <c r="O5" s="1163"/>
    </row>
    <row r="6" spans="1:15" ht="17.649999999999999" thickTop="1" thickBot="1">
      <c r="A6" s="1113" t="s">
        <v>0</v>
      </c>
      <c r="B6" s="1115" t="s">
        <v>1</v>
      </c>
      <c r="C6" s="1115" t="s">
        <v>18</v>
      </c>
      <c r="D6" s="1117" t="s">
        <v>2</v>
      </c>
      <c r="E6" s="1117" t="s">
        <v>19</v>
      </c>
      <c r="F6" s="1109" t="s">
        <v>20</v>
      </c>
      <c r="G6" s="1118" t="s">
        <v>3</v>
      </c>
      <c r="H6" s="1119"/>
      <c r="I6" s="1120"/>
      <c r="J6" s="1128" t="s">
        <v>4</v>
      </c>
      <c r="K6" s="1129"/>
      <c r="L6" s="1130"/>
      <c r="M6" s="1131" t="s">
        <v>5</v>
      </c>
      <c r="N6" s="1132"/>
      <c r="O6" s="1133"/>
    </row>
    <row r="7" spans="1:15" ht="51.4" thickTop="1" thickBot="1">
      <c r="A7" s="1114"/>
      <c r="B7" s="1116"/>
      <c r="C7" s="1116"/>
      <c r="D7" s="1116"/>
      <c r="E7" s="1116"/>
      <c r="F7" s="1110"/>
      <c r="G7" s="102" t="s">
        <v>189</v>
      </c>
      <c r="H7" s="103" t="s">
        <v>33</v>
      </c>
      <c r="I7" s="109" t="s">
        <v>187</v>
      </c>
      <c r="J7" s="110" t="s">
        <v>188</v>
      </c>
      <c r="K7" s="104" t="s">
        <v>33</v>
      </c>
      <c r="L7" s="107" t="s">
        <v>187</v>
      </c>
      <c r="M7" s="108" t="s">
        <v>188</v>
      </c>
      <c r="N7" s="105" t="s">
        <v>33</v>
      </c>
      <c r="O7" s="106" t="s">
        <v>187</v>
      </c>
    </row>
    <row r="8" spans="1:15" ht="39.75">
      <c r="A8" s="21">
        <v>1</v>
      </c>
      <c r="B8" s="46">
        <v>1</v>
      </c>
      <c r="C8" s="47" t="s">
        <v>171</v>
      </c>
      <c r="D8" s="111">
        <f>D11+D16+D19+D20+D21</f>
        <v>768000000000</v>
      </c>
      <c r="E8" s="114">
        <f>E11+E16+E19+E20+E21</f>
        <v>100</v>
      </c>
      <c r="F8" s="17"/>
      <c r="G8" s="50"/>
      <c r="H8" s="50"/>
      <c r="I8" s="67" t="e">
        <f>SUM(I11,I16,I19,I20,I21)</f>
        <v>#REF!</v>
      </c>
      <c r="J8" s="6"/>
      <c r="K8" s="6"/>
      <c r="L8" s="83" t="e">
        <f>SUM(L11,L16,L19,L20,L21)</f>
        <v>#REF!</v>
      </c>
      <c r="M8" s="10"/>
      <c r="N8" s="10"/>
      <c r="O8" s="71" t="e">
        <f>SUM(O11,O16,O19,O20,O21)</f>
        <v>#REF!</v>
      </c>
    </row>
    <row r="9" spans="1:15" ht="19.899999999999999">
      <c r="A9" s="116">
        <v>2</v>
      </c>
      <c r="B9" s="48">
        <v>1.1000000000000001</v>
      </c>
      <c r="C9" s="45" t="s">
        <v>172</v>
      </c>
      <c r="D9" s="112">
        <v>0</v>
      </c>
      <c r="E9" s="115">
        <v>0</v>
      </c>
      <c r="F9" s="18"/>
      <c r="G9" s="49"/>
      <c r="H9" s="50"/>
      <c r="I9" s="67"/>
      <c r="J9" s="5"/>
      <c r="K9" s="6"/>
      <c r="L9" s="68"/>
      <c r="M9" s="9"/>
      <c r="N9" s="10"/>
      <c r="O9" s="70"/>
    </row>
    <row r="10" spans="1:15" ht="19.899999999999999">
      <c r="A10" s="117">
        <v>3</v>
      </c>
      <c r="B10" s="48">
        <v>1.2</v>
      </c>
      <c r="C10" s="45" t="s">
        <v>173</v>
      </c>
      <c r="D10" s="80">
        <v>0</v>
      </c>
      <c r="E10" s="113">
        <v>0</v>
      </c>
      <c r="F10" s="18"/>
      <c r="G10" s="49"/>
      <c r="H10" s="50"/>
      <c r="I10" s="67"/>
      <c r="J10" s="5"/>
      <c r="K10" s="6"/>
      <c r="L10" s="68"/>
      <c r="M10" s="9"/>
      <c r="N10" s="10"/>
      <c r="O10" s="70"/>
    </row>
    <row r="11" spans="1:15" ht="18">
      <c r="A11" s="118">
        <v>4</v>
      </c>
      <c r="B11" s="48">
        <v>1.3</v>
      </c>
      <c r="C11" s="48" t="s">
        <v>175</v>
      </c>
      <c r="D11" s="81">
        <f>E11*$M$4/100</f>
        <v>36095999999.999992</v>
      </c>
      <c r="E11" s="57">
        <f>SUM(E12:E15)</f>
        <v>4.6999999999999993</v>
      </c>
      <c r="F11" s="18"/>
      <c r="G11" s="96">
        <f>(G12*$E$12+G13*$E$13+G14*$E$14+G15*$E$15)/$E$11</f>
        <v>1</v>
      </c>
      <c r="H11" s="14">
        <f>G11*E11</f>
        <v>4.6999999999999993</v>
      </c>
      <c r="I11" s="67">
        <f>G11*D11</f>
        <v>36095999999.999992</v>
      </c>
      <c r="J11" s="97">
        <f>(J12*$E$12+J13*$E$13+J14*$E$14+J15*$E$15)/$E$11</f>
        <v>0</v>
      </c>
      <c r="K11" s="6">
        <f>J11*E11</f>
        <v>0</v>
      </c>
      <c r="L11" s="65">
        <f>J11*D11</f>
        <v>0</v>
      </c>
      <c r="M11" s="52" t="e">
        <f>(M12*$E$12+M13*$E$13+M14*$E$14+M15*$E$15)/$E$11</f>
        <v>#REF!</v>
      </c>
      <c r="N11" s="10" t="e">
        <f>M11*E11</f>
        <v>#REF!</v>
      </c>
      <c r="O11" s="71" t="e">
        <f>M11*D11</f>
        <v>#REF!</v>
      </c>
    </row>
    <row r="12" spans="1:15" ht="18">
      <c r="A12" s="117">
        <v>5</v>
      </c>
      <c r="B12" s="18" t="s">
        <v>21</v>
      </c>
      <c r="C12" s="29" t="s">
        <v>186</v>
      </c>
      <c r="D12" s="81">
        <f t="shared" ref="D12:D25" si="0">E12*$M$4/100</f>
        <v>3840000000</v>
      </c>
      <c r="E12" s="56">
        <v>0.5</v>
      </c>
      <c r="F12" s="18"/>
      <c r="G12" s="96">
        <f>'سازمان دهی و برنامه ریزی پروژه'!J8</f>
        <v>1</v>
      </c>
      <c r="H12" s="13">
        <f>'سازمان دهی و برنامه ریزی پروژه'!K8</f>
        <v>5.0000000002839301E-3</v>
      </c>
      <c r="I12" s="82">
        <f>'سازمان دهی و برنامه ریزی پروژه'!L8</f>
        <v>5987385758</v>
      </c>
      <c r="J12" s="98">
        <f>'سازمان دهی و برنامه ریزی پروژه'!O8</f>
        <v>0</v>
      </c>
      <c r="K12" s="6">
        <f>'سازمان دهی و برنامه ریزی پروژه'!P8</f>
        <v>0</v>
      </c>
      <c r="L12" s="68">
        <f>'سازمان دهی و برنامه ریزی پروژه'!Q8</f>
        <v>0</v>
      </c>
      <c r="M12" s="52" t="e">
        <f>'سازمان دهی و برنامه ریزی پروژه'!#REF!</f>
        <v>#REF!</v>
      </c>
      <c r="N12" s="9" t="e">
        <f>'سازمان دهی و برنامه ریزی پروژه'!#REF!</f>
        <v>#REF!</v>
      </c>
      <c r="O12" s="100">
        <f>'سازمان دهی و برنامه ریزی پروژه'!S8</f>
        <v>0</v>
      </c>
    </row>
    <row r="13" spans="1:15" ht="18">
      <c r="A13" s="99">
        <v>6</v>
      </c>
      <c r="B13" s="18" t="s">
        <v>38</v>
      </c>
      <c r="C13" s="29" t="s">
        <v>176</v>
      </c>
      <c r="D13" s="81">
        <f t="shared" si="0"/>
        <v>4608000000</v>
      </c>
      <c r="E13" s="56">
        <v>0.6</v>
      </c>
      <c r="F13" s="18"/>
      <c r="G13" s="96">
        <f>'بیمه نامه ها'!J$8</f>
        <v>1</v>
      </c>
      <c r="H13" s="13">
        <f>'بیمه نامه ها'!K8</f>
        <v>6.0000000000000001E-3</v>
      </c>
      <c r="I13" s="64">
        <f>'بیمه نامه ها'!L8</f>
        <v>7184862909.1920004</v>
      </c>
      <c r="J13" s="98">
        <f>'بیمه نامه ها'!O$8</f>
        <v>0</v>
      </c>
      <c r="K13" s="6">
        <f>'بیمه نامه ها'!P$8</f>
        <v>0</v>
      </c>
      <c r="L13" s="65">
        <f>'بیمه نامه ها'!Q$8</f>
        <v>0</v>
      </c>
      <c r="M13" s="52" t="e">
        <f>'بیمه نامه ها'!#REF!</f>
        <v>#REF!</v>
      </c>
      <c r="N13" s="9" t="e">
        <f>'بیمه نامه ها'!#REF!</f>
        <v>#REF!</v>
      </c>
      <c r="O13" s="66">
        <f>'بیمه نامه ها'!S$8</f>
        <v>0</v>
      </c>
    </row>
    <row r="14" spans="1:15" ht="18">
      <c r="A14" s="99">
        <v>7</v>
      </c>
      <c r="B14" s="18" t="s">
        <v>44</v>
      </c>
      <c r="C14" s="29" t="s">
        <v>177</v>
      </c>
      <c r="D14" s="81">
        <f t="shared" si="0"/>
        <v>9216000000</v>
      </c>
      <c r="E14" s="56">
        <v>1.2</v>
      </c>
      <c r="F14" s="18"/>
      <c r="G14" s="96">
        <f>'تجهیز کارگاه اولیه'!J8</f>
        <v>1</v>
      </c>
      <c r="H14" s="13">
        <f>'تجهیز کارگاه اولیه'!K8</f>
        <v>1.6999999999963256E-2</v>
      </c>
      <c r="I14" s="82">
        <f>'تجهیز کارگاه اولیه'!L8</f>
        <v>20357111576</v>
      </c>
      <c r="J14" s="98">
        <f>'تجهیز کارگاه اولیه'!O8</f>
        <v>0</v>
      </c>
      <c r="K14" s="6">
        <f>'تجهیز کارگاه اولیه'!P8</f>
        <v>0</v>
      </c>
      <c r="L14" s="79">
        <f>'تجهیز کارگاه اولیه'!Q8</f>
        <v>0</v>
      </c>
      <c r="M14" s="52" t="e">
        <f>'تجهیز کارگاه اولیه'!#REF!</f>
        <v>#REF!</v>
      </c>
      <c r="N14" s="9" t="e">
        <f>'تجهیز کارگاه اولیه'!#REF!</f>
        <v>#REF!</v>
      </c>
      <c r="O14" s="100">
        <f>'تجهیز کارگاه اولیه'!S8</f>
        <v>0</v>
      </c>
    </row>
    <row r="15" spans="1:15" ht="18">
      <c r="A15" s="116">
        <v>8</v>
      </c>
      <c r="B15" s="18" t="s">
        <v>75</v>
      </c>
      <c r="C15" s="29" t="s">
        <v>178</v>
      </c>
      <c r="D15" s="81">
        <f t="shared" si="0"/>
        <v>18432000000</v>
      </c>
      <c r="E15" s="56">
        <v>2.4</v>
      </c>
      <c r="F15" s="18"/>
      <c r="G15" s="96">
        <f>'تجهیز کارگاه مستمر'!J8</f>
        <v>0.99999999999999978</v>
      </c>
      <c r="H15" s="13">
        <f>'تجهیز کارگاه مستمر'!K8</f>
        <v>2.2999999999802918E-2</v>
      </c>
      <c r="I15" s="64">
        <f>'تجهیز کارگاه مستمر'!L8</f>
        <v>27541974484.999992</v>
      </c>
      <c r="J15" s="98">
        <f>'تجهیز کارگاه مستمر'!O$8</f>
        <v>0</v>
      </c>
      <c r="K15" s="6">
        <f>'تجهیز کارگاه مستمر'!P$8</f>
        <v>0</v>
      </c>
      <c r="L15" s="65">
        <f>'تجهیز کارگاه مستمر'!Q$8</f>
        <v>0</v>
      </c>
      <c r="M15" s="52" t="e">
        <f>'تجهیز کارگاه مستمر'!#REF!</f>
        <v>#REF!</v>
      </c>
      <c r="N15" s="9" t="e">
        <f>'تجهیز کارگاه مستمر'!#REF!</f>
        <v>#REF!</v>
      </c>
      <c r="O15" s="66">
        <f>'تجهیز کارگاه مستمر'!S$8</f>
        <v>0</v>
      </c>
    </row>
    <row r="16" spans="1:15" ht="18">
      <c r="A16" s="99">
        <v>9</v>
      </c>
      <c r="B16" s="48">
        <v>1.4</v>
      </c>
      <c r="C16" s="48" t="s">
        <v>179</v>
      </c>
      <c r="D16" s="81">
        <f t="shared" si="0"/>
        <v>81403491022.000015</v>
      </c>
      <c r="E16" s="57">
        <f>E17+E18</f>
        <v>10.599412893489585</v>
      </c>
      <c r="F16" s="18"/>
      <c r="G16" s="96">
        <f>(G17*$E$17+G18*$E$18)/$E$16</f>
        <v>0.98700000000007015</v>
      </c>
      <c r="H16" s="76">
        <f>G16*E16</f>
        <v>10.461620525874965</v>
      </c>
      <c r="I16" s="67">
        <f>G16*D16</f>
        <v>80345245638.719727</v>
      </c>
      <c r="J16" s="97">
        <f>(J17*$E$17+J18*$E$18)/$E$16</f>
        <v>0</v>
      </c>
      <c r="K16" s="77">
        <f>J16*E16</f>
        <v>0</v>
      </c>
      <c r="L16" s="69">
        <f>J16*D16</f>
        <v>0</v>
      </c>
      <c r="M16" s="52" t="e">
        <f>(M17*$E$17+M18*$E$18)/$E$16</f>
        <v>#REF!</v>
      </c>
      <c r="N16" s="78" t="e">
        <f>M16*E16</f>
        <v>#REF!</v>
      </c>
      <c r="O16" s="66" t="e">
        <f>M16*D16</f>
        <v>#REF!</v>
      </c>
    </row>
    <row r="17" spans="1:15" ht="18">
      <c r="A17" s="116">
        <v>10</v>
      </c>
      <c r="B17" s="18" t="s">
        <v>87</v>
      </c>
      <c r="C17" s="29" t="s">
        <v>180</v>
      </c>
      <c r="D17" s="81">
        <f t="shared" si="0"/>
        <v>28491221857.700001</v>
      </c>
      <c r="E17" s="56">
        <v>3.7097945127213539</v>
      </c>
      <c r="F17" s="18"/>
      <c r="G17" s="96">
        <f>'خدمات طراحي  مهندسي پیش از اجرا'!J8</f>
        <v>1</v>
      </c>
      <c r="H17" s="13">
        <f>'خدمات طراحي  مهندسي پیش از اجرا'!K8</f>
        <v>1.750000000015867E-2</v>
      </c>
      <c r="I17" s="82">
        <f>'خدمات طراحي  مهندسي پیش از اجرا'!L8</f>
        <v>20955850152.000004</v>
      </c>
      <c r="J17" s="98">
        <f>'خدمات طراحي  مهندسي پیش از اجرا'!O8</f>
        <v>0</v>
      </c>
      <c r="K17" s="6">
        <f>'خدمات طراحي  مهندسي پیش از اجرا'!P8</f>
        <v>0</v>
      </c>
      <c r="L17" s="79">
        <f>'خدمات طراحي  مهندسي پیش از اجرا'!Q8</f>
        <v>0</v>
      </c>
      <c r="M17" s="52" t="e">
        <f>'خدمات طراحي  مهندسي پیش از اجرا'!#REF!</f>
        <v>#REF!</v>
      </c>
      <c r="N17" s="9" t="e">
        <f>'خدمات طراحي  مهندسي پیش از اجرا'!#REF!</f>
        <v>#REF!</v>
      </c>
      <c r="O17" s="101">
        <f>'خدمات طراحي  مهندسي پیش از اجرا'!S8</f>
        <v>0</v>
      </c>
    </row>
    <row r="18" spans="1:15" ht="18">
      <c r="A18" s="99">
        <v>11</v>
      </c>
      <c r="B18" s="18" t="s">
        <v>174</v>
      </c>
      <c r="C18" s="29" t="s">
        <v>181</v>
      </c>
      <c r="D18" s="81">
        <f t="shared" si="0"/>
        <v>52912269164.300018</v>
      </c>
      <c r="E18" s="56">
        <v>6.8896183807682316</v>
      </c>
      <c r="F18" s="18"/>
      <c r="G18" s="96">
        <f>'خدمات طراحي و مهندسي حین اجرا'!J$8</f>
        <v>0.98000000000010801</v>
      </c>
      <c r="H18" s="13">
        <f>'خدمات طراحي و مهندسي حین اجرا'!K8</f>
        <v>3.1850000000175363E-2</v>
      </c>
      <c r="I18" s="64">
        <f>'خدمات طراحي و مهندسي حین اجرا'!L8</f>
        <v>38139647276.504196</v>
      </c>
      <c r="J18" s="98">
        <f>'خدمات طراحي و مهندسي حین اجرا'!O$8</f>
        <v>0</v>
      </c>
      <c r="K18" s="6">
        <f>'خدمات طراحي و مهندسي حین اجرا'!P$8</f>
        <v>0</v>
      </c>
      <c r="L18" s="65">
        <f>'خدمات طراحي و مهندسي حین اجرا'!Q$8</f>
        <v>0</v>
      </c>
      <c r="M18" s="52" t="e">
        <f>'خدمات طراحي و مهندسي حین اجرا'!#REF!</f>
        <v>#REF!</v>
      </c>
      <c r="N18" s="9" t="e">
        <f>'خدمات طراحي و مهندسي حین اجرا'!#REF!</f>
        <v>#REF!</v>
      </c>
      <c r="O18" s="66">
        <f>'خدمات طراحي و مهندسي حین اجرا'!S$8</f>
        <v>0</v>
      </c>
    </row>
    <row r="19" spans="1:15" ht="18">
      <c r="A19" s="116">
        <v>12</v>
      </c>
      <c r="B19" s="48">
        <v>1.5</v>
      </c>
      <c r="C19" s="48" t="s">
        <v>182</v>
      </c>
      <c r="D19" s="81">
        <f t="shared" si="0"/>
        <v>268804508978</v>
      </c>
      <c r="E19" s="57">
        <v>35.000587106510416</v>
      </c>
      <c r="F19" s="18"/>
      <c r="G19" s="96">
        <f>'خدمات تامین'!J$8</f>
        <v>0.2724499193904491</v>
      </c>
      <c r="H19" s="13">
        <f>'خدمات تامین'!K8</f>
        <v>0.10483872898132798</v>
      </c>
      <c r="I19" s="64">
        <f>'خدمات تامین'!L8</f>
        <v>125541982550.79594</v>
      </c>
      <c r="J19" s="98">
        <f>'خدمات تامین'!O$8</f>
        <v>0</v>
      </c>
      <c r="K19" s="6">
        <f>'خدمات تامین'!P$8</f>
        <v>0</v>
      </c>
      <c r="L19" s="65">
        <f>'خدمات تامین'!Q$8</f>
        <v>0</v>
      </c>
      <c r="M19" s="52" t="e">
        <f>'خدمات تامین'!#REF!</f>
        <v>#REF!</v>
      </c>
      <c r="N19" s="9" t="e">
        <f>'خدمات تامین'!#REF!</f>
        <v>#REF!</v>
      </c>
      <c r="O19" s="66">
        <f>'خدمات تامین'!S$8</f>
        <v>0</v>
      </c>
    </row>
    <row r="20" spans="1:15" ht="18">
      <c r="A20" s="118">
        <v>13</v>
      </c>
      <c r="B20" s="48">
        <v>1.6</v>
      </c>
      <c r="C20" s="48" t="s">
        <v>183</v>
      </c>
      <c r="D20" s="81">
        <f t="shared" si="0"/>
        <v>369408000000</v>
      </c>
      <c r="E20" s="57">
        <v>48.1</v>
      </c>
      <c r="F20" s="18"/>
      <c r="G20" s="96" t="e">
        <f>#REF!</f>
        <v>#REF!</v>
      </c>
      <c r="H20" s="13" t="e">
        <f>#REF!</f>
        <v>#REF!</v>
      </c>
      <c r="I20" s="64" t="e">
        <f>#REF!</f>
        <v>#REF!</v>
      </c>
      <c r="J20" s="98" t="e">
        <f>#REF!</f>
        <v>#REF!</v>
      </c>
      <c r="K20" s="6" t="e">
        <f>#REF!</f>
        <v>#REF!</v>
      </c>
      <c r="L20" s="65" t="e">
        <f>#REF!</f>
        <v>#REF!</v>
      </c>
      <c r="M20" s="52" t="e">
        <f>#REF!</f>
        <v>#REF!</v>
      </c>
      <c r="N20" s="9" t="e">
        <f>#REF!</f>
        <v>#REF!</v>
      </c>
      <c r="O20" s="66" t="e">
        <f>#REF!</f>
        <v>#REF!</v>
      </c>
    </row>
    <row r="21" spans="1:15" ht="18">
      <c r="A21" s="118">
        <v>14</v>
      </c>
      <c r="B21" s="48">
        <v>1.7</v>
      </c>
      <c r="C21" s="48" t="s">
        <v>184</v>
      </c>
      <c r="D21" s="81">
        <f t="shared" si="0"/>
        <v>12288000000</v>
      </c>
      <c r="E21" s="57">
        <f>SUM(E22:E24)</f>
        <v>1.6</v>
      </c>
      <c r="F21" s="18"/>
      <c r="G21" s="96">
        <f>اختتامیه!J8</f>
        <v>1</v>
      </c>
      <c r="H21" s="13">
        <f>اختتامیه!K8</f>
        <v>1.2E-2</v>
      </c>
      <c r="I21" s="64">
        <f>اختتامیه!L8</f>
        <v>14369725818.384001</v>
      </c>
      <c r="J21" s="98">
        <f>اختتامیه!O8</f>
        <v>0</v>
      </c>
      <c r="K21" s="6">
        <f>اختتامیه!P8</f>
        <v>0</v>
      </c>
      <c r="L21" s="65">
        <f>اختتامیه!Q8</f>
        <v>0</v>
      </c>
      <c r="M21" s="52" t="e">
        <f>اختتامیه!#REF!</f>
        <v>#REF!</v>
      </c>
      <c r="N21" s="9" t="e">
        <f>اختتامیه!#REF!</f>
        <v>#REF!</v>
      </c>
      <c r="O21" s="66">
        <f>اختتامیه!S8</f>
        <v>0</v>
      </c>
    </row>
    <row r="22" spans="1:15" ht="18">
      <c r="A22" s="118">
        <v>15</v>
      </c>
      <c r="B22" s="18" t="s">
        <v>165</v>
      </c>
      <c r="C22" s="29" t="s">
        <v>190</v>
      </c>
      <c r="D22" s="81">
        <f t="shared" si="0"/>
        <v>6144000000</v>
      </c>
      <c r="E22" s="56">
        <v>0.8</v>
      </c>
      <c r="F22" s="18"/>
      <c r="G22" s="96">
        <f>اختتامیه!J9</f>
        <v>1</v>
      </c>
      <c r="H22" s="13">
        <f>اختتامیه!K9</f>
        <v>5.0000000000000001E-3</v>
      </c>
      <c r="I22" s="64">
        <f>اختتامیه!L9</f>
        <v>5987385757.6599998</v>
      </c>
      <c r="J22" s="98">
        <f>اختتامیه!O9</f>
        <v>0</v>
      </c>
      <c r="K22" s="6">
        <f>اختتامیه!P9</f>
        <v>0</v>
      </c>
      <c r="L22" s="65">
        <f>اختتامیه!Q9</f>
        <v>0</v>
      </c>
      <c r="M22" s="52" t="e">
        <f>اختتامیه!#REF!</f>
        <v>#REF!</v>
      </c>
      <c r="N22" s="9" t="e">
        <f>اختتامیه!#REF!</f>
        <v>#REF!</v>
      </c>
      <c r="O22" s="66">
        <f>اختتامیه!S9</f>
        <v>0</v>
      </c>
    </row>
    <row r="23" spans="1:15" ht="18">
      <c r="A23" s="118">
        <v>16</v>
      </c>
      <c r="B23" s="18" t="s">
        <v>167</v>
      </c>
      <c r="C23" s="29" t="s">
        <v>192</v>
      </c>
      <c r="D23" s="81">
        <f t="shared" si="0"/>
        <v>3072000000</v>
      </c>
      <c r="E23" s="56">
        <v>0.4</v>
      </c>
      <c r="F23" s="18"/>
      <c r="G23" s="49">
        <f>اختتامیه!J10</f>
        <v>1</v>
      </c>
      <c r="H23" s="13">
        <f>اختتامیه!K10</f>
        <v>3.0000000000000001E-3</v>
      </c>
      <c r="I23" s="64">
        <f>اختتامیه!L10</f>
        <v>3592431454.5960002</v>
      </c>
      <c r="J23" s="98">
        <f>اختتامیه!O10</f>
        <v>0</v>
      </c>
      <c r="K23" s="6">
        <f>اختتامیه!P10</f>
        <v>0</v>
      </c>
      <c r="L23" s="65">
        <f>اختتامیه!Q10</f>
        <v>0</v>
      </c>
      <c r="M23" s="52" t="e">
        <f>اختتامیه!#REF!</f>
        <v>#REF!</v>
      </c>
      <c r="N23" s="9" t="e">
        <f>اختتامیه!#REF!</f>
        <v>#REF!</v>
      </c>
      <c r="O23" s="66">
        <f>اختتامیه!S10</f>
        <v>0</v>
      </c>
    </row>
    <row r="24" spans="1:15" ht="18.399999999999999" thickBot="1">
      <c r="A24" s="118">
        <v>17</v>
      </c>
      <c r="B24" s="18" t="s">
        <v>169</v>
      </c>
      <c r="C24" s="29" t="s">
        <v>191</v>
      </c>
      <c r="D24" s="81">
        <f t="shared" si="0"/>
        <v>3072000000</v>
      </c>
      <c r="E24" s="56">
        <v>0.4</v>
      </c>
      <c r="F24" s="18"/>
      <c r="G24" s="49">
        <f>اختتامیه!J11</f>
        <v>1</v>
      </c>
      <c r="H24" s="13">
        <f>اختتامیه!K11</f>
        <v>4.0000000000000001E-3</v>
      </c>
      <c r="I24" s="64">
        <f>اختتامیه!L11</f>
        <v>4789908606.1280003</v>
      </c>
      <c r="J24" s="98">
        <f>اختتامیه!O11</f>
        <v>0</v>
      </c>
      <c r="K24" s="6">
        <f>اختتامیه!P11</f>
        <v>0</v>
      </c>
      <c r="L24" s="65">
        <f>اختتامیه!Q11</f>
        <v>0</v>
      </c>
      <c r="M24" s="52" t="e">
        <f>اختتامیه!#REF!</f>
        <v>#REF!</v>
      </c>
      <c r="N24" s="9" t="e">
        <f>اختتامیه!#REF!</f>
        <v>#REF!</v>
      </c>
      <c r="O24" s="66">
        <f>اختتامیه!S11</f>
        <v>0</v>
      </c>
    </row>
    <row r="25" spans="1:15" ht="18.75" thickBot="1">
      <c r="A25" s="99">
        <v>18</v>
      </c>
      <c r="B25" s="48">
        <v>1.8</v>
      </c>
      <c r="C25" s="48" t="s">
        <v>185</v>
      </c>
      <c r="D25" s="81">
        <f t="shared" si="0"/>
        <v>0</v>
      </c>
      <c r="E25" s="55">
        <v>0</v>
      </c>
      <c r="F25" s="18"/>
      <c r="G25" s="49"/>
      <c r="H25" s="14"/>
      <c r="I25" s="67"/>
      <c r="J25" s="98"/>
      <c r="K25" s="6"/>
      <c r="L25" s="65"/>
      <c r="M25" s="52"/>
      <c r="N25" s="9"/>
      <c r="O25" s="66"/>
    </row>
    <row r="26" spans="1:15" ht="18" customHeight="1">
      <c r="A26" s="33"/>
      <c r="G26" s="1134" t="s">
        <v>202</v>
      </c>
      <c r="H26" s="1135" t="s">
        <v>202</v>
      </c>
      <c r="I26" s="1136" t="s">
        <v>202</v>
      </c>
      <c r="J26" s="1134" t="s">
        <v>6</v>
      </c>
      <c r="K26" s="1135" t="s">
        <v>6</v>
      </c>
      <c r="L26" s="1136" t="s">
        <v>6</v>
      </c>
      <c r="M26" s="1134" t="s">
        <v>201</v>
      </c>
      <c r="N26" s="1135" t="s">
        <v>201</v>
      </c>
      <c r="O26" s="1143" t="s">
        <v>201</v>
      </c>
    </row>
    <row r="27" spans="1:15">
      <c r="A27" s="33"/>
      <c r="G27" s="1137"/>
      <c r="H27" s="1138"/>
      <c r="I27" s="1139"/>
      <c r="J27" s="1137"/>
      <c r="K27" s="1138"/>
      <c r="L27" s="1139"/>
      <c r="M27" s="1137"/>
      <c r="N27" s="1138"/>
      <c r="O27" s="1144"/>
    </row>
    <row r="28" spans="1:15">
      <c r="A28" s="33"/>
      <c r="G28" s="1137"/>
      <c r="H28" s="1138"/>
      <c r="I28" s="1139"/>
      <c r="J28" s="1137"/>
      <c r="K28" s="1138"/>
      <c r="L28" s="1139"/>
      <c r="M28" s="1137"/>
      <c r="N28" s="1138"/>
      <c r="O28" s="1144"/>
    </row>
    <row r="29" spans="1:15" ht="17.25" thickBot="1">
      <c r="A29" s="34"/>
      <c r="B29" s="35"/>
      <c r="C29" s="35"/>
      <c r="D29" s="35"/>
      <c r="E29" s="35"/>
      <c r="F29" s="35"/>
      <c r="G29" s="1140"/>
      <c r="H29" s="1141"/>
      <c r="I29" s="1142"/>
      <c r="J29" s="1140"/>
      <c r="K29" s="1141"/>
      <c r="L29" s="1142"/>
      <c r="M29" s="1140"/>
      <c r="N29" s="1141"/>
      <c r="O29" s="1145"/>
    </row>
    <row r="30" spans="1:15" ht="17.25" thickTop="1">
      <c r="G30" s="74"/>
      <c r="H30" s="74"/>
      <c r="I30" s="74"/>
      <c r="J30" s="74"/>
      <c r="K30" s="74"/>
      <c r="L30" s="75"/>
      <c r="M30" s="75"/>
      <c r="N30" s="75"/>
      <c r="O30" s="75"/>
    </row>
  </sheetData>
  <mergeCells count="21">
    <mergeCell ref="L1:L2"/>
    <mergeCell ref="L4:L5"/>
    <mergeCell ref="M1:O2"/>
    <mergeCell ref="M3:O3"/>
    <mergeCell ref="M4:O5"/>
    <mergeCell ref="J6:L6"/>
    <mergeCell ref="M6:O6"/>
    <mergeCell ref="G26:I29"/>
    <mergeCell ref="J26:L29"/>
    <mergeCell ref="M26:O29"/>
    <mergeCell ref="F6:F7"/>
    <mergeCell ref="E1:G1"/>
    <mergeCell ref="E2:G2"/>
    <mergeCell ref="E3:G3"/>
    <mergeCell ref="A6:A7"/>
    <mergeCell ref="B6:B7"/>
    <mergeCell ref="C6:C7"/>
    <mergeCell ref="D6:D7"/>
    <mergeCell ref="E6:E7"/>
    <mergeCell ref="G6:I6"/>
    <mergeCell ref="A1:C5"/>
  </mergeCells>
  <conditionalFormatting sqref="D8">
    <cfRule type="expression" dxfId="0" priority="1">
      <formula>$L$5</formula>
    </cfRule>
  </conditionalFormatting>
  <printOptions horizontalCentered="1"/>
  <pageMargins left="0" right="0" top="0" bottom="0" header="0" footer="0"/>
  <pageSetup paperSize="9" scale="68" orientation="landscape" r:id="rId1"/>
  <drawing r:id="rId2"/>
  <legacyDrawing r:id="rId3"/>
  <oleObjects>
    <mc:AlternateContent xmlns:mc="http://schemas.openxmlformats.org/markup-compatibility/2006">
      <mc:Choice Requires="x14">
        <oleObject progId="PBrush" shapeId="8193" r:id="rId4">
          <objectPr defaultSize="0" autoPict="0" r:id="rId5">
            <anchor moveWithCells="1" sizeWithCells="1">
              <from>
                <xdr:col>2</xdr:col>
                <xdr:colOff>1419225</xdr:colOff>
                <xdr:row>1</xdr:row>
                <xdr:rowOff>0</xdr:rowOff>
              </from>
              <to>
                <xdr:col>2</xdr:col>
                <xdr:colOff>1943100</xdr:colOff>
                <xdr:row>2</xdr:row>
                <xdr:rowOff>266700</xdr:rowOff>
              </to>
            </anchor>
          </objectPr>
        </oleObject>
      </mc:Choice>
      <mc:Fallback>
        <oleObject progId="PBrush" shapeId="8193" r:id="rId4"/>
      </mc:Fallback>
    </mc:AlternateContent>
    <mc:AlternateContent xmlns:mc="http://schemas.openxmlformats.org/markup-compatibility/2006">
      <mc:Choice Requires="x14">
        <oleObject progId="PBrush" shapeId="8194" r:id="rId6">
          <objectPr defaultSize="0" autoPict="0" r:id="rId7">
            <anchor moveWithCells="1" sizeWithCells="1">
              <from>
                <xdr:col>2</xdr:col>
                <xdr:colOff>2076450</xdr:colOff>
                <xdr:row>1</xdr:row>
                <xdr:rowOff>0</xdr:rowOff>
              </from>
              <to>
                <xdr:col>2</xdr:col>
                <xdr:colOff>2628900</xdr:colOff>
                <xdr:row>2</xdr:row>
                <xdr:rowOff>266700</xdr:rowOff>
              </to>
            </anchor>
          </objectPr>
        </oleObject>
      </mc:Choice>
      <mc:Fallback>
        <oleObject progId="PBrush" shapeId="8194" r:id="rId6"/>
      </mc:Fallback>
    </mc:AlternateContent>
    <mc:AlternateContent xmlns:mc="http://schemas.openxmlformats.org/markup-compatibility/2006">
      <mc:Choice Requires="x14">
        <oleObject progId="PBrush" shapeId="8195" r:id="rId8">
          <objectPr defaultSize="0" autoPict="0" r:id="rId9">
            <anchor moveWithCells="1" sizeWithCells="1">
              <from>
                <xdr:col>2</xdr:col>
                <xdr:colOff>1514475</xdr:colOff>
                <xdr:row>2</xdr:row>
                <xdr:rowOff>342900</xdr:rowOff>
              </from>
              <to>
                <xdr:col>2</xdr:col>
                <xdr:colOff>1914525</xdr:colOff>
                <xdr:row>3</xdr:row>
                <xdr:rowOff>180975</xdr:rowOff>
              </to>
            </anchor>
          </objectPr>
        </oleObject>
      </mc:Choice>
      <mc:Fallback>
        <oleObject progId="PBrush" shapeId="8195" r:id="rId8"/>
      </mc:Fallback>
    </mc:AlternateContent>
    <mc:AlternateContent xmlns:mc="http://schemas.openxmlformats.org/markup-compatibility/2006">
      <mc:Choice Requires="x14">
        <oleObject progId="PBrush" shapeId="8196" r:id="rId10">
          <objectPr defaultSize="0" autoPict="0" r:id="rId11">
            <anchor moveWithCells="1" sizeWithCells="1">
              <from>
                <xdr:col>2</xdr:col>
                <xdr:colOff>2095500</xdr:colOff>
                <xdr:row>2</xdr:row>
                <xdr:rowOff>342900</xdr:rowOff>
              </from>
              <to>
                <xdr:col>2</xdr:col>
                <xdr:colOff>2571750</xdr:colOff>
                <xdr:row>3</xdr:row>
                <xdr:rowOff>180975</xdr:rowOff>
              </to>
            </anchor>
          </objectPr>
        </oleObject>
      </mc:Choice>
      <mc:Fallback>
        <oleObject progId="PBrush" shapeId="8196" r:id="rId10"/>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T17"/>
  <sheetViews>
    <sheetView rightToLeft="1" view="pageBreakPreview" topLeftCell="A13" zoomScale="55" zoomScaleNormal="100" zoomScaleSheetLayoutView="55" workbookViewId="0">
      <selection activeCell="Q4" sqref="Q4:S5"/>
    </sheetView>
  </sheetViews>
  <sheetFormatPr defaultColWidth="9" defaultRowHeight="16.899999999999999"/>
  <cols>
    <col min="1" max="1" width="4.125" style="1" customWidth="1"/>
    <col min="2" max="2" width="6.875" style="1" customWidth="1"/>
    <col min="3" max="3" width="44" style="1" customWidth="1"/>
    <col min="4" max="4" width="18.6875" style="1" customWidth="1"/>
    <col min="5" max="5" width="9" style="1" customWidth="1"/>
    <col min="6" max="6" width="10.125" style="1" customWidth="1"/>
    <col min="7" max="7" width="12" style="1" customWidth="1"/>
    <col min="8" max="8" width="9.875" style="1" customWidth="1"/>
    <col min="9" max="9" width="18" style="1" customWidth="1"/>
    <col min="10" max="10" width="14.4375" style="1" customWidth="1"/>
    <col min="11" max="11" width="9.875" style="1" customWidth="1"/>
    <col min="12" max="12" width="18" style="1" customWidth="1"/>
    <col min="13" max="13" width="10" style="1" customWidth="1"/>
    <col min="14" max="17" width="10.6875" style="1" customWidth="1"/>
    <col min="18" max="19" width="8.4375" style="1" customWidth="1"/>
    <col min="20" max="20" width="13.6875" style="1" customWidth="1"/>
    <col min="21" max="16384" width="9" style="1"/>
  </cols>
  <sheetData>
    <row r="1" spans="1:20" ht="20.100000000000001" customHeight="1">
      <c r="A1" s="135"/>
      <c r="B1" s="135"/>
      <c r="C1" s="135"/>
      <c r="D1" s="134" t="s">
        <v>13</v>
      </c>
      <c r="E1" s="160" t="s">
        <v>435</v>
      </c>
      <c r="F1" s="136"/>
      <c r="G1" s="136"/>
      <c r="H1" s="136"/>
      <c r="I1" s="132"/>
      <c r="J1" s="136"/>
      <c r="K1" s="136"/>
      <c r="L1" s="132"/>
      <c r="M1" s="132"/>
      <c r="N1" s="132"/>
      <c r="O1" s="1187" t="s">
        <v>8</v>
      </c>
      <c r="P1" s="1187"/>
      <c r="Q1" s="1087" t="s">
        <v>439</v>
      </c>
      <c r="R1" s="1087"/>
      <c r="S1" s="1087"/>
      <c r="T1" s="1087"/>
    </row>
    <row r="2" spans="1:20" ht="20.100000000000001" customHeight="1">
      <c r="A2" s="135"/>
      <c r="B2" s="135"/>
      <c r="C2" s="135"/>
      <c r="D2" s="134" t="s">
        <v>14</v>
      </c>
      <c r="E2" s="160" t="s">
        <v>17</v>
      </c>
      <c r="F2" s="136"/>
      <c r="G2" s="136"/>
      <c r="H2" s="136"/>
      <c r="I2" s="132"/>
      <c r="J2" s="136"/>
      <c r="K2" s="136"/>
      <c r="L2" s="132"/>
      <c r="M2" s="132"/>
      <c r="N2" s="132"/>
      <c r="O2" s="1187"/>
      <c r="P2" s="1187"/>
      <c r="Q2" s="1087"/>
      <c r="R2" s="1087"/>
      <c r="S2" s="1087"/>
      <c r="T2" s="1087"/>
    </row>
    <row r="3" spans="1:20" ht="39.950000000000003" customHeight="1">
      <c r="A3" s="135"/>
      <c r="B3" s="135"/>
      <c r="C3" s="135"/>
      <c r="D3" s="134" t="s">
        <v>195</v>
      </c>
      <c r="E3" s="160" t="s">
        <v>443</v>
      </c>
      <c r="F3" s="136"/>
      <c r="G3" s="136"/>
      <c r="H3" s="136"/>
      <c r="I3" s="132"/>
      <c r="J3" s="136"/>
      <c r="K3" s="136"/>
      <c r="L3" s="132"/>
      <c r="M3" s="132"/>
      <c r="N3" s="132"/>
      <c r="O3" s="1187" t="s">
        <v>441</v>
      </c>
      <c r="P3" s="1187"/>
      <c r="Q3" s="1087" t="s">
        <v>442</v>
      </c>
      <c r="R3" s="1087"/>
      <c r="S3" s="1087"/>
      <c r="T3" s="1087"/>
    </row>
    <row r="4" spans="1:20" ht="24.95" customHeight="1">
      <c r="A4" s="135"/>
      <c r="B4" s="135"/>
      <c r="C4" s="135"/>
      <c r="D4" s="134" t="s">
        <v>437</v>
      </c>
      <c r="E4" s="1170" t="str">
        <f>'خلاصه مالي صورت وضعیت'!E4</f>
        <v>قطعی</v>
      </c>
      <c r="F4" s="1170"/>
      <c r="G4" s="1170"/>
      <c r="H4" s="1170"/>
      <c r="I4" s="1170"/>
      <c r="J4" s="1170"/>
      <c r="K4" s="136"/>
      <c r="L4" s="132"/>
      <c r="M4" s="132"/>
      <c r="N4" s="161"/>
      <c r="O4" s="1187" t="s">
        <v>440</v>
      </c>
      <c r="P4" s="1187"/>
      <c r="Q4" s="1177">
        <f>'خلاصه مالي صورت وضعیت'!H4:H5</f>
        <v>1197477151532</v>
      </c>
      <c r="R4" s="1177"/>
      <c r="S4" s="1177"/>
      <c r="T4" s="161"/>
    </row>
    <row r="5" spans="1:20" ht="24.95" customHeight="1">
      <c r="A5" s="142"/>
      <c r="B5" s="142"/>
      <c r="C5" s="142"/>
      <c r="D5" s="140" t="s">
        <v>438</v>
      </c>
      <c r="E5" s="1171" t="str">
        <f>'خلاصه مالي صورت وضعیت'!E5</f>
        <v>1399/06/02</v>
      </c>
      <c r="F5" s="1171"/>
      <c r="G5" s="1171"/>
      <c r="H5" s="1171"/>
      <c r="I5" s="1171"/>
      <c r="J5" s="1171"/>
      <c r="K5" s="143"/>
      <c r="L5" s="144"/>
      <c r="M5" s="144"/>
      <c r="N5" s="162"/>
      <c r="O5" s="1188"/>
      <c r="P5" s="1188"/>
      <c r="Q5" s="1178"/>
      <c r="R5" s="1178"/>
      <c r="S5" s="1178"/>
      <c r="T5" s="162"/>
    </row>
    <row r="6" spans="1:20"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0"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0" s="141" customFormat="1" ht="30" customHeight="1">
      <c r="A8" s="18">
        <v>1</v>
      </c>
      <c r="B8" s="145" t="s">
        <v>21</v>
      </c>
      <c r="C8" s="347" t="s">
        <v>733</v>
      </c>
      <c r="D8" s="261">
        <f>SUM(D9:D17)</f>
        <v>5987385758</v>
      </c>
      <c r="E8" s="237">
        <f>SUM(E9:E17)</f>
        <v>5.0000000002839301E-3</v>
      </c>
      <c r="F8" s="233"/>
      <c r="G8" s="542">
        <f>-I8/D8</f>
        <v>-0.98200000000102206</v>
      </c>
      <c r="H8" s="468">
        <v>4.9100000002839303E-3</v>
      </c>
      <c r="I8" s="469">
        <v>5879612814.3621197</v>
      </c>
      <c r="J8" s="311">
        <f>L8/D8</f>
        <v>1</v>
      </c>
      <c r="K8" s="257">
        <f>SUM(K9:K17)</f>
        <v>5.0000000002839301E-3</v>
      </c>
      <c r="L8" s="313">
        <f>SUM(L9:L17)</f>
        <v>5987385758</v>
      </c>
      <c r="M8" s="1164"/>
      <c r="N8" s="1165"/>
      <c r="O8" s="258">
        <f>Q8/D8</f>
        <v>0</v>
      </c>
      <c r="P8" s="331">
        <f>Q8/Q4</f>
        <v>0</v>
      </c>
      <c r="Q8" s="259">
        <f>SUM(Q9:Q17)</f>
        <v>0</v>
      </c>
      <c r="R8" s="1168"/>
      <c r="S8" s="1169"/>
      <c r="T8" s="260"/>
    </row>
    <row r="9" spans="1:20" s="155" customFormat="1" ht="51.75" customHeight="1">
      <c r="A9" s="18">
        <v>2</v>
      </c>
      <c r="B9" s="122" t="s">
        <v>22</v>
      </c>
      <c r="C9" s="290" t="s">
        <v>459</v>
      </c>
      <c r="D9" s="262">
        <f t="shared" ref="D9:D17" si="0">E9*$Q$4</f>
        <v>0</v>
      </c>
      <c r="E9" s="236">
        <f>CBS!D11</f>
        <v>0</v>
      </c>
      <c r="F9" s="234"/>
      <c r="G9" s="470">
        <v>1</v>
      </c>
      <c r="H9" s="471">
        <v>0</v>
      </c>
      <c r="I9" s="472">
        <v>0</v>
      </c>
      <c r="J9" s="424">
        <v>1</v>
      </c>
      <c r="K9" s="209">
        <f t="shared" ref="K9:K17" si="1">J9*E9</f>
        <v>0</v>
      </c>
      <c r="L9" s="314">
        <f>K9*$Q$4</f>
        <v>0</v>
      </c>
      <c r="M9" s="1164"/>
      <c r="N9" s="1165"/>
      <c r="O9" s="423"/>
      <c r="P9" s="332">
        <f t="shared" ref="P9:P17" si="2">O9*E9</f>
        <v>0</v>
      </c>
      <c r="Q9" s="333">
        <f>P9*$Q$4</f>
        <v>0</v>
      </c>
      <c r="R9" s="1168"/>
      <c r="S9" s="1169"/>
      <c r="T9" s="265"/>
    </row>
    <row r="10" spans="1:20" s="155" customFormat="1" ht="30" customHeight="1">
      <c r="A10" s="18">
        <v>3</v>
      </c>
      <c r="B10" s="122" t="s">
        <v>23</v>
      </c>
      <c r="C10" s="290" t="s">
        <v>31</v>
      </c>
      <c r="D10" s="262">
        <f t="shared" si="0"/>
        <v>419117003.37619966</v>
      </c>
      <c r="E10" s="236">
        <f>CBS!D12</f>
        <v>3.5000000028392999E-4</v>
      </c>
      <c r="F10" s="234"/>
      <c r="G10" s="470">
        <v>1</v>
      </c>
      <c r="H10" s="471">
        <v>3.5000000028392999E-4</v>
      </c>
      <c r="I10" s="472">
        <v>419117003.37619966</v>
      </c>
      <c r="J10" s="424">
        <v>1</v>
      </c>
      <c r="K10" s="209">
        <f t="shared" si="1"/>
        <v>3.5000000028392999E-4</v>
      </c>
      <c r="L10" s="314">
        <f t="shared" ref="L10:L17" si="3">K10*$Q$4</f>
        <v>419117003.37619966</v>
      </c>
      <c r="M10" s="1164"/>
      <c r="N10" s="1165"/>
      <c r="O10" s="423"/>
      <c r="P10" s="332">
        <f t="shared" si="2"/>
        <v>0</v>
      </c>
      <c r="Q10" s="333">
        <f t="shared" ref="Q10:Q17" si="4">P10*$Q$4</f>
        <v>0</v>
      </c>
      <c r="R10" s="1168"/>
      <c r="S10" s="1169"/>
      <c r="T10" s="265"/>
    </row>
    <row r="11" spans="1:20" s="155" customFormat="1" ht="42.75">
      <c r="A11" s="18">
        <v>4</v>
      </c>
      <c r="B11" s="122" t="s">
        <v>24</v>
      </c>
      <c r="C11" s="290" t="s">
        <v>460</v>
      </c>
      <c r="D11" s="262">
        <f t="shared" si="0"/>
        <v>898107863.64900005</v>
      </c>
      <c r="E11" s="236">
        <f>CBS!D13</f>
        <v>7.5000000000000002E-4</v>
      </c>
      <c r="F11" s="234"/>
      <c r="G11" s="470">
        <v>1</v>
      </c>
      <c r="H11" s="471">
        <v>7.5000000000000002E-4</v>
      </c>
      <c r="I11" s="472">
        <v>898107863.64900005</v>
      </c>
      <c r="J11" s="424">
        <v>1</v>
      </c>
      <c r="K11" s="209">
        <f t="shared" si="1"/>
        <v>7.5000000000000002E-4</v>
      </c>
      <c r="L11" s="314">
        <f t="shared" si="3"/>
        <v>898107863.64900005</v>
      </c>
      <c r="M11" s="1164"/>
      <c r="N11" s="1165"/>
      <c r="O11" s="423"/>
      <c r="P11" s="332">
        <f t="shared" si="2"/>
        <v>0</v>
      </c>
      <c r="Q11" s="333">
        <f t="shared" si="4"/>
        <v>0</v>
      </c>
      <c r="R11" s="1168"/>
      <c r="S11" s="1169"/>
      <c r="T11" s="265"/>
    </row>
    <row r="12" spans="1:20" s="155" customFormat="1" ht="93" customHeight="1">
      <c r="A12" s="18">
        <v>5</v>
      </c>
      <c r="B12" s="122" t="s">
        <v>25</v>
      </c>
      <c r="C12" s="290" t="s">
        <v>461</v>
      </c>
      <c r="D12" s="262">
        <f t="shared" si="0"/>
        <v>1556720296.9916</v>
      </c>
      <c r="E12" s="236">
        <f>CBS!D14</f>
        <v>1.2999999999999999E-3</v>
      </c>
      <c r="F12" s="234"/>
      <c r="G12" s="470">
        <v>1</v>
      </c>
      <c r="H12" s="471">
        <v>1.2999999999999999E-3</v>
      </c>
      <c r="I12" s="472">
        <v>1556720296.9916</v>
      </c>
      <c r="J12" s="424">
        <v>1</v>
      </c>
      <c r="K12" s="209">
        <f t="shared" si="1"/>
        <v>1.2999999999999999E-3</v>
      </c>
      <c r="L12" s="314">
        <f t="shared" si="3"/>
        <v>1556720296.9916</v>
      </c>
      <c r="M12" s="1164"/>
      <c r="N12" s="1165"/>
      <c r="O12" s="423"/>
      <c r="P12" s="332">
        <f t="shared" si="2"/>
        <v>0</v>
      </c>
      <c r="Q12" s="333">
        <f t="shared" si="4"/>
        <v>0</v>
      </c>
      <c r="R12" s="1168"/>
      <c r="S12" s="1169"/>
      <c r="T12" s="265"/>
    </row>
    <row r="13" spans="1:20" s="155" customFormat="1" ht="42.75">
      <c r="A13" s="18">
        <v>6</v>
      </c>
      <c r="B13" s="122" t="s">
        <v>26</v>
      </c>
      <c r="C13" s="290" t="s">
        <v>463</v>
      </c>
      <c r="D13" s="262">
        <f t="shared" si="0"/>
        <v>598738575.76600003</v>
      </c>
      <c r="E13" s="236">
        <f>CBS!D15</f>
        <v>5.0000000000000001E-4</v>
      </c>
      <c r="F13" s="234"/>
      <c r="G13" s="470">
        <v>1</v>
      </c>
      <c r="H13" s="471">
        <v>5.0000000000000001E-4</v>
      </c>
      <c r="I13" s="472">
        <v>598738575.76600003</v>
      </c>
      <c r="J13" s="424">
        <v>1</v>
      </c>
      <c r="K13" s="209">
        <f t="shared" si="1"/>
        <v>5.0000000000000001E-4</v>
      </c>
      <c r="L13" s="314">
        <f t="shared" si="3"/>
        <v>598738575.76600003</v>
      </c>
      <c r="M13" s="1164"/>
      <c r="N13" s="1165"/>
      <c r="O13" s="423"/>
      <c r="P13" s="332">
        <f t="shared" si="2"/>
        <v>0</v>
      </c>
      <c r="Q13" s="333">
        <f t="shared" si="4"/>
        <v>0</v>
      </c>
      <c r="R13" s="1168"/>
      <c r="S13" s="1169"/>
      <c r="T13" s="265"/>
    </row>
    <row r="14" spans="1:20" s="155" customFormat="1" ht="59.65">
      <c r="A14" s="18">
        <v>7</v>
      </c>
      <c r="B14" s="122" t="s">
        <v>27</v>
      </c>
      <c r="C14" s="290" t="s">
        <v>729</v>
      </c>
      <c r="D14" s="262">
        <f t="shared" si="0"/>
        <v>359243145.45959997</v>
      </c>
      <c r="E14" s="236">
        <f>CBS!D16</f>
        <v>2.9999999999999997E-4</v>
      </c>
      <c r="F14" s="234"/>
      <c r="G14" s="470">
        <v>1</v>
      </c>
      <c r="H14" s="471">
        <v>2.9999999999999997E-4</v>
      </c>
      <c r="I14" s="472">
        <v>359243145.45959997</v>
      </c>
      <c r="J14" s="424">
        <v>1</v>
      </c>
      <c r="K14" s="209">
        <f t="shared" si="1"/>
        <v>2.9999999999999997E-4</v>
      </c>
      <c r="L14" s="314">
        <f t="shared" si="3"/>
        <v>359243145.45959997</v>
      </c>
      <c r="M14" s="1164"/>
      <c r="N14" s="1165"/>
      <c r="O14" s="423"/>
      <c r="P14" s="332">
        <f t="shared" si="2"/>
        <v>0</v>
      </c>
      <c r="Q14" s="333">
        <f t="shared" si="4"/>
        <v>0</v>
      </c>
      <c r="R14" s="1168"/>
      <c r="S14" s="1169"/>
      <c r="T14" s="265"/>
    </row>
    <row r="15" spans="1:20" s="155" customFormat="1" ht="69.75" customHeight="1">
      <c r="A15" s="18">
        <v>8</v>
      </c>
      <c r="B15" s="122" t="s">
        <v>28</v>
      </c>
      <c r="C15" s="290" t="s">
        <v>732</v>
      </c>
      <c r="D15" s="262">
        <f t="shared" si="0"/>
        <v>1796215727.2980001</v>
      </c>
      <c r="E15" s="236">
        <f>CBS!D17</f>
        <v>1.5E-3</v>
      </c>
      <c r="F15" s="234"/>
      <c r="G15" s="470">
        <v>1</v>
      </c>
      <c r="H15" s="471">
        <v>1.5E-3</v>
      </c>
      <c r="I15" s="472">
        <v>1796215727.2980001</v>
      </c>
      <c r="J15" s="424">
        <v>1</v>
      </c>
      <c r="K15" s="209">
        <f t="shared" si="1"/>
        <v>1.5E-3</v>
      </c>
      <c r="L15" s="314">
        <f t="shared" si="3"/>
        <v>1796215727.2980001</v>
      </c>
      <c r="M15" s="1164"/>
      <c r="N15" s="1165"/>
      <c r="O15" s="423"/>
      <c r="P15" s="332">
        <f t="shared" si="2"/>
        <v>0</v>
      </c>
      <c r="Q15" s="333">
        <f t="shared" si="4"/>
        <v>0</v>
      </c>
      <c r="R15" s="1168"/>
      <c r="S15" s="1169"/>
      <c r="T15" s="265"/>
    </row>
    <row r="16" spans="1:20" s="155" customFormat="1" ht="58.5" customHeight="1">
      <c r="A16" s="18">
        <v>9</v>
      </c>
      <c r="B16" s="122" t="s">
        <v>29</v>
      </c>
      <c r="C16" s="290" t="s">
        <v>35</v>
      </c>
      <c r="D16" s="262">
        <f t="shared" si="0"/>
        <v>359243145.45959997</v>
      </c>
      <c r="E16" s="236">
        <f>CBS!D18</f>
        <v>2.9999999999999997E-4</v>
      </c>
      <c r="F16" s="234"/>
      <c r="G16" s="470">
        <v>0.7</v>
      </c>
      <c r="H16" s="471">
        <v>2.0999999999999998E-4</v>
      </c>
      <c r="I16" s="472">
        <v>251470201.82171997</v>
      </c>
      <c r="J16" s="424">
        <v>1</v>
      </c>
      <c r="K16" s="209">
        <f t="shared" si="1"/>
        <v>2.9999999999999997E-4</v>
      </c>
      <c r="L16" s="314">
        <f t="shared" si="3"/>
        <v>359243145.45959997</v>
      </c>
      <c r="M16" s="1166" t="s">
        <v>933</v>
      </c>
      <c r="N16" s="1167"/>
      <c r="O16" s="423"/>
      <c r="P16" s="332">
        <f t="shared" si="2"/>
        <v>0</v>
      </c>
      <c r="Q16" s="333">
        <f t="shared" si="4"/>
        <v>0</v>
      </c>
      <c r="R16" s="1168"/>
      <c r="S16" s="1169"/>
      <c r="T16" s="265"/>
    </row>
    <row r="17" spans="1:20" s="155" customFormat="1" ht="57" customHeight="1">
      <c r="A17" s="18">
        <v>10</v>
      </c>
      <c r="B17" s="122" t="s">
        <v>30</v>
      </c>
      <c r="C17" s="290" t="s">
        <v>462</v>
      </c>
      <c r="D17" s="262">
        <f t="shared" si="0"/>
        <v>0</v>
      </c>
      <c r="E17" s="236">
        <f>CBS!D19</f>
        <v>0</v>
      </c>
      <c r="F17" s="234"/>
      <c r="G17" s="470">
        <v>0</v>
      </c>
      <c r="H17" s="471">
        <v>0</v>
      </c>
      <c r="I17" s="472">
        <v>0</v>
      </c>
      <c r="J17" s="424"/>
      <c r="K17" s="209">
        <f t="shared" si="1"/>
        <v>0</v>
      </c>
      <c r="L17" s="314">
        <f t="shared" si="3"/>
        <v>0</v>
      </c>
      <c r="M17" s="1164"/>
      <c r="N17" s="1165"/>
      <c r="O17" s="423"/>
      <c r="P17" s="332">
        <f t="shared" si="2"/>
        <v>0</v>
      </c>
      <c r="Q17" s="333">
        <f t="shared" si="4"/>
        <v>0</v>
      </c>
      <c r="R17" s="1168"/>
      <c r="S17" s="1169"/>
      <c r="T17" s="265"/>
    </row>
  </sheetData>
  <mergeCells count="39">
    <mergeCell ref="A6:A7"/>
    <mergeCell ref="B6:B7"/>
    <mergeCell ref="C6:C7"/>
    <mergeCell ref="F6:F7"/>
    <mergeCell ref="J6:L6"/>
    <mergeCell ref="D7:E7"/>
    <mergeCell ref="G6:I6"/>
    <mergeCell ref="O1:P2"/>
    <mergeCell ref="O3:P3"/>
    <mergeCell ref="O4:P5"/>
    <mergeCell ref="Q3:T3"/>
    <mergeCell ref="Q1:T2"/>
    <mergeCell ref="T6:T7"/>
    <mergeCell ref="M9:N9"/>
    <mergeCell ref="M8:N8"/>
    <mergeCell ref="Q4:S5"/>
    <mergeCell ref="R6:S7"/>
    <mergeCell ref="M6:N7"/>
    <mergeCell ref="M13:N13"/>
    <mergeCell ref="M14:N14"/>
    <mergeCell ref="E4:J4"/>
    <mergeCell ref="E5:J5"/>
    <mergeCell ref="O6:Q6"/>
    <mergeCell ref="M15:N15"/>
    <mergeCell ref="M16:N16"/>
    <mergeCell ref="M17:N17"/>
    <mergeCell ref="R8:S8"/>
    <mergeCell ref="R9:S9"/>
    <mergeCell ref="R10:S10"/>
    <mergeCell ref="R11:S11"/>
    <mergeCell ref="R12:S12"/>
    <mergeCell ref="R13:S13"/>
    <mergeCell ref="R14:S14"/>
    <mergeCell ref="R15:S15"/>
    <mergeCell ref="R16:S16"/>
    <mergeCell ref="R17:S17"/>
    <mergeCell ref="M10:N10"/>
    <mergeCell ref="M11:N11"/>
    <mergeCell ref="M12:N12"/>
  </mergeCells>
  <printOptions horizontalCentered="1"/>
  <pageMargins left="0.2" right="0.2" top="0.59055118110236204" bottom="0.98425196850393704" header="0" footer="0.39370078740157499"/>
  <pageSetup paperSize="9" scale="55"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T12"/>
  <sheetViews>
    <sheetView rightToLeft="1" view="pageBreakPreview" zoomScale="55" zoomScaleNormal="100" zoomScaleSheetLayoutView="55" workbookViewId="0">
      <selection activeCell="K15" sqref="K15"/>
    </sheetView>
  </sheetViews>
  <sheetFormatPr defaultColWidth="9" defaultRowHeight="16.899999999999999"/>
  <cols>
    <col min="1" max="1" width="4.125" style="1" bestFit="1" customWidth="1"/>
    <col min="2" max="2" width="7.3125" style="1" customWidth="1"/>
    <col min="3" max="3" width="38.875" style="1" customWidth="1"/>
    <col min="4" max="4" width="19.4375" style="1" customWidth="1"/>
    <col min="5" max="5" width="8.875" style="1" customWidth="1"/>
    <col min="6" max="6" width="10.125" style="1" customWidth="1"/>
    <col min="7" max="7" width="12" style="1" customWidth="1"/>
    <col min="8" max="8" width="10.125" style="1" customWidth="1"/>
    <col min="9" max="9" width="20.3125" style="1" customWidth="1"/>
    <col min="10" max="10" width="14.4375" style="1" customWidth="1"/>
    <col min="11" max="11" width="10.125" style="1" customWidth="1"/>
    <col min="12" max="12" width="20.3125" style="1" customWidth="1"/>
    <col min="13" max="14" width="12.6875" style="1" customWidth="1"/>
    <col min="15" max="17" width="10.6875" style="1" customWidth="1"/>
    <col min="18" max="19" width="15.4375" style="1" customWidth="1"/>
    <col min="20" max="20" width="14.125" style="1" customWidth="1"/>
    <col min="21" max="16384" width="9" style="1"/>
  </cols>
  <sheetData>
    <row r="1" spans="1:20" ht="20.100000000000001" customHeight="1">
      <c r="A1" s="27"/>
      <c r="B1" s="27"/>
      <c r="C1" s="27"/>
      <c r="D1" s="134" t="s">
        <v>13</v>
      </c>
      <c r="E1" s="136" t="s">
        <v>435</v>
      </c>
      <c r="F1" s="136"/>
      <c r="G1" s="136"/>
      <c r="H1" s="129"/>
      <c r="I1" s="130"/>
      <c r="J1" s="136"/>
      <c r="K1" s="129"/>
      <c r="L1" s="130"/>
      <c r="M1" s="130"/>
      <c r="N1" s="130"/>
      <c r="O1" s="1187" t="s">
        <v>8</v>
      </c>
      <c r="P1" s="1187"/>
      <c r="Q1" s="1087" t="s">
        <v>439</v>
      </c>
      <c r="R1" s="1087"/>
      <c r="S1" s="1087"/>
      <c r="T1" s="1087"/>
    </row>
    <row r="2" spans="1:20" ht="20.100000000000001" customHeight="1">
      <c r="A2" s="27"/>
      <c r="B2" s="27"/>
      <c r="C2" s="27"/>
      <c r="D2" s="134" t="s">
        <v>14</v>
      </c>
      <c r="E2" s="136" t="s">
        <v>17</v>
      </c>
      <c r="F2" s="136"/>
      <c r="G2" s="136"/>
      <c r="H2" s="129"/>
      <c r="I2" s="130"/>
      <c r="J2" s="136"/>
      <c r="K2" s="129"/>
      <c r="L2" s="130"/>
      <c r="M2" s="130"/>
      <c r="N2" s="130"/>
      <c r="O2" s="1187"/>
      <c r="P2" s="1187"/>
      <c r="Q2" s="1087"/>
      <c r="R2" s="1087"/>
      <c r="S2" s="1087"/>
      <c r="T2" s="1087"/>
    </row>
    <row r="3" spans="1:20" ht="39.950000000000003" customHeight="1">
      <c r="A3" s="27"/>
      <c r="B3" s="27"/>
      <c r="C3" s="27"/>
      <c r="D3" s="134" t="s">
        <v>195</v>
      </c>
      <c r="E3" s="136" t="s">
        <v>443</v>
      </c>
      <c r="F3" s="136"/>
      <c r="G3" s="136"/>
      <c r="H3" s="129"/>
      <c r="I3" s="131"/>
      <c r="J3" s="136"/>
      <c r="K3" s="129"/>
      <c r="L3" s="131"/>
      <c r="M3" s="131"/>
      <c r="N3" s="131"/>
      <c r="O3" s="1187" t="s">
        <v>441</v>
      </c>
      <c r="P3" s="1187"/>
      <c r="Q3" s="1087" t="s">
        <v>442</v>
      </c>
      <c r="R3" s="1087"/>
      <c r="S3" s="1087"/>
      <c r="T3" s="1087"/>
    </row>
    <row r="4" spans="1:20" ht="24.95" customHeight="1">
      <c r="A4" s="27"/>
      <c r="B4" s="27"/>
      <c r="C4" s="27"/>
      <c r="D4" s="134" t="s">
        <v>437</v>
      </c>
      <c r="E4" s="1208" t="str">
        <f>'خلاصه مالي صورت وضعیت'!E4</f>
        <v>قطعی</v>
      </c>
      <c r="F4" s="1208"/>
      <c r="G4" s="1208"/>
      <c r="H4" s="1208"/>
      <c r="I4" s="1208"/>
      <c r="J4" s="1208"/>
      <c r="K4" s="128"/>
      <c r="L4" s="149"/>
      <c r="M4" s="149"/>
      <c r="N4" s="163"/>
      <c r="O4" s="1187" t="s">
        <v>440</v>
      </c>
      <c r="P4" s="1187"/>
      <c r="Q4" s="1177">
        <f>'خلاصه مالي صورت وضعیت'!H4:H5</f>
        <v>1197477151532</v>
      </c>
      <c r="R4" s="1177"/>
      <c r="S4" s="163"/>
      <c r="T4" s="163"/>
    </row>
    <row r="5" spans="1:20" ht="24.95" customHeight="1">
      <c r="A5" s="150"/>
      <c r="B5" s="150"/>
      <c r="C5" s="150"/>
      <c r="D5" s="140" t="s">
        <v>438</v>
      </c>
      <c r="E5" s="1209" t="str">
        <f>'خلاصه مالي صورت وضعیت'!E5</f>
        <v>1399/06/02</v>
      </c>
      <c r="F5" s="1209"/>
      <c r="G5" s="1209"/>
      <c r="H5" s="1209"/>
      <c r="I5" s="1209"/>
      <c r="J5" s="1209"/>
      <c r="K5" s="151"/>
      <c r="L5" s="152"/>
      <c r="M5" s="152"/>
      <c r="N5" s="164"/>
      <c r="O5" s="1188"/>
      <c r="P5" s="1188"/>
      <c r="Q5" s="1178"/>
      <c r="R5" s="1178"/>
      <c r="S5" s="164"/>
      <c r="T5" s="164"/>
    </row>
    <row r="6" spans="1:20"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0"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0" s="141" customFormat="1" ht="27.95" customHeight="1">
      <c r="A8" s="18">
        <v>1</v>
      </c>
      <c r="B8" s="145" t="s">
        <v>38</v>
      </c>
      <c r="C8" s="289" t="s">
        <v>37</v>
      </c>
      <c r="D8" s="269">
        <f t="shared" ref="D8:D12" si="0">E8*$Q$4</f>
        <v>7184862909.1920004</v>
      </c>
      <c r="E8" s="544">
        <f>SUM(E9:E12)</f>
        <v>6.0000000000000001E-3</v>
      </c>
      <c r="F8" s="271"/>
      <c r="G8" s="543">
        <f>'[2]بیمه نامه ها'!J8</f>
        <v>0.73708333338200926</v>
      </c>
      <c r="H8" s="505">
        <f>'[2]بیمه نامه ها'!K8</f>
        <v>4.4225000002920557E-3</v>
      </c>
      <c r="I8" s="518">
        <f>'[2]بیمه نامه ها'!L8</f>
        <v>5295842703</v>
      </c>
      <c r="J8" s="311">
        <f>L8/D8</f>
        <v>1</v>
      </c>
      <c r="K8" s="267">
        <f>SUM(K9:K12)</f>
        <v>6.0000000000000001E-3</v>
      </c>
      <c r="L8" s="312">
        <f>SUM(L9:L12)</f>
        <v>7184862909.1920004</v>
      </c>
      <c r="M8" s="1202" t="s">
        <v>934</v>
      </c>
      <c r="N8" s="1203"/>
      <c r="O8" s="258">
        <f>(O9*$E$9+O10*$E$10+O11*$E$11+O12*$E$12)/E8</f>
        <v>0</v>
      </c>
      <c r="P8" s="331">
        <f>SUM(P9:P12)</f>
        <v>0</v>
      </c>
      <c r="Q8" s="259">
        <f>SUM(Q9:Q12)</f>
        <v>0</v>
      </c>
      <c r="R8" s="1168"/>
      <c r="S8" s="1169"/>
      <c r="T8" s="260"/>
    </row>
    <row r="9" spans="1:20" s="155" customFormat="1" ht="50.1" customHeight="1">
      <c r="A9" s="18">
        <v>2</v>
      </c>
      <c r="B9" s="122" t="s">
        <v>39</v>
      </c>
      <c r="C9" s="290" t="s">
        <v>464</v>
      </c>
      <c r="D9" s="272">
        <f t="shared" si="0"/>
        <v>1197477151.5320001</v>
      </c>
      <c r="E9" s="545">
        <f>CBS!F21</f>
        <v>1E-3</v>
      </c>
      <c r="F9" s="274"/>
      <c r="G9" s="519">
        <f>'[2]بیمه نامه ها'!J9</f>
        <v>0.56000000000000005</v>
      </c>
      <c r="H9" s="507">
        <f>'[2]بیمه نامه ها'!K9</f>
        <v>5.6000000000000006E-4</v>
      </c>
      <c r="I9" s="520">
        <f>'[2]بیمه نامه ها'!L9</f>
        <v>670587204.85792005</v>
      </c>
      <c r="J9" s="425">
        <v>1</v>
      </c>
      <c r="K9" s="275">
        <f t="shared" ref="K9:K12" si="1">J9*E9</f>
        <v>1E-3</v>
      </c>
      <c r="L9" s="301">
        <f>K9*$Q$4</f>
        <v>1197477151.5320001</v>
      </c>
      <c r="M9" s="1204"/>
      <c r="N9" s="1205"/>
      <c r="O9" s="334"/>
      <c r="P9" s="332">
        <f>O9*E9</f>
        <v>0</v>
      </c>
      <c r="Q9" s="264">
        <f t="shared" ref="Q9:Q12" si="2">O9*D9</f>
        <v>0</v>
      </c>
      <c r="R9" s="1168"/>
      <c r="S9" s="1169"/>
      <c r="T9" s="265"/>
    </row>
    <row r="10" spans="1:20" s="155" customFormat="1" ht="50.1" customHeight="1">
      <c r="A10" s="18">
        <v>3</v>
      </c>
      <c r="B10" s="122" t="s">
        <v>40</v>
      </c>
      <c r="C10" s="290" t="s">
        <v>465</v>
      </c>
      <c r="D10" s="272">
        <f t="shared" si="0"/>
        <v>1197477151.5320001</v>
      </c>
      <c r="E10" s="545">
        <f>CBS!F22</f>
        <v>1E-3</v>
      </c>
      <c r="F10" s="274"/>
      <c r="G10" s="519">
        <f>'[2]بیمه نامه ها'!J10</f>
        <v>0.7</v>
      </c>
      <c r="H10" s="507">
        <f>'[2]بیمه نامه ها'!K10</f>
        <v>6.9999999999999999E-4</v>
      </c>
      <c r="I10" s="520">
        <f>'[2]بیمه نامه ها'!L10</f>
        <v>838234006.07239997</v>
      </c>
      <c r="J10" s="425">
        <v>1</v>
      </c>
      <c r="K10" s="275">
        <f t="shared" si="1"/>
        <v>1E-3</v>
      </c>
      <c r="L10" s="301">
        <f>K10*$Q$4</f>
        <v>1197477151.5320001</v>
      </c>
      <c r="M10" s="1204"/>
      <c r="N10" s="1205"/>
      <c r="O10" s="334"/>
      <c r="P10" s="332">
        <f t="shared" ref="P10:P12" si="3">O10*E10</f>
        <v>0</v>
      </c>
      <c r="Q10" s="264">
        <f t="shared" si="2"/>
        <v>0</v>
      </c>
      <c r="R10" s="1168"/>
      <c r="S10" s="1169"/>
      <c r="T10" s="265"/>
    </row>
    <row r="11" spans="1:20" s="155" customFormat="1" ht="50.1" customHeight="1">
      <c r="A11" s="18">
        <v>4</v>
      </c>
      <c r="B11" s="122" t="s">
        <v>41</v>
      </c>
      <c r="C11" s="290" t="s">
        <v>466</v>
      </c>
      <c r="D11" s="272">
        <f t="shared" si="0"/>
        <v>1197477151.5320001</v>
      </c>
      <c r="E11" s="545">
        <f>CBS!F23</f>
        <v>1E-3</v>
      </c>
      <c r="F11" s="274"/>
      <c r="G11" s="519">
        <f>'[2]بیمه نامه ها'!J11</f>
        <v>0.6125000002920552</v>
      </c>
      <c r="H11" s="507">
        <f>'[2]بیمه نامه ها'!K11</f>
        <v>6.1250000029205521E-4</v>
      </c>
      <c r="I11" s="520">
        <f>'[2]بیمه نامه ها'!L11</f>
        <v>733454755.6630795</v>
      </c>
      <c r="J11" s="425">
        <v>1</v>
      </c>
      <c r="K11" s="275">
        <f t="shared" si="1"/>
        <v>1E-3</v>
      </c>
      <c r="L11" s="301">
        <f>K11*$Q$4</f>
        <v>1197477151.5320001</v>
      </c>
      <c r="M11" s="1204"/>
      <c r="N11" s="1205"/>
      <c r="O11" s="334"/>
      <c r="P11" s="332">
        <f t="shared" si="3"/>
        <v>0</v>
      </c>
      <c r="Q11" s="264">
        <f t="shared" si="2"/>
        <v>0</v>
      </c>
      <c r="R11" s="1168"/>
      <c r="S11" s="1169"/>
      <c r="T11" s="265"/>
    </row>
    <row r="12" spans="1:20" s="155" customFormat="1" ht="50.1" customHeight="1">
      <c r="A12" s="18">
        <v>5</v>
      </c>
      <c r="B12" s="122" t="s">
        <v>42</v>
      </c>
      <c r="C12" s="290" t="s">
        <v>43</v>
      </c>
      <c r="D12" s="272">
        <f t="shared" si="0"/>
        <v>3592431454.5960002</v>
      </c>
      <c r="E12" s="545">
        <f>CBS!F24</f>
        <v>3.0000000000000001E-3</v>
      </c>
      <c r="F12" s="274"/>
      <c r="G12" s="519">
        <f>'[2]بیمه نامه ها'!J12</f>
        <v>0.85</v>
      </c>
      <c r="H12" s="507">
        <f>'[2]بیمه نامه ها'!K12</f>
        <v>2.5500000000000002E-3</v>
      </c>
      <c r="I12" s="520">
        <f>'[2]بیمه نامه ها'!L12</f>
        <v>3053566736.4066</v>
      </c>
      <c r="J12" s="425">
        <v>1</v>
      </c>
      <c r="K12" s="275">
        <f t="shared" si="1"/>
        <v>3.0000000000000001E-3</v>
      </c>
      <c r="L12" s="301">
        <f>K12*$Q$4</f>
        <v>3592431454.5960002</v>
      </c>
      <c r="M12" s="1206"/>
      <c r="N12" s="1207"/>
      <c r="O12" s="334"/>
      <c r="P12" s="332">
        <f t="shared" si="3"/>
        <v>0</v>
      </c>
      <c r="Q12" s="264">
        <f t="shared" si="2"/>
        <v>0</v>
      </c>
      <c r="R12" s="1168"/>
      <c r="S12" s="1169"/>
      <c r="T12" s="265"/>
    </row>
  </sheetData>
  <mergeCells count="25">
    <mergeCell ref="T6:T7"/>
    <mergeCell ref="A6:A7"/>
    <mergeCell ref="B6:B7"/>
    <mergeCell ref="C6:C7"/>
    <mergeCell ref="F6:F7"/>
    <mergeCell ref="G6:I6"/>
    <mergeCell ref="Q1:T2"/>
    <mergeCell ref="Q3:T3"/>
    <mergeCell ref="E4:J4"/>
    <mergeCell ref="E5:J5"/>
    <mergeCell ref="O1:P2"/>
    <mergeCell ref="O3:P3"/>
    <mergeCell ref="O4:P5"/>
    <mergeCell ref="Q4:R5"/>
    <mergeCell ref="M8:N12"/>
    <mergeCell ref="J6:L6"/>
    <mergeCell ref="O6:Q6"/>
    <mergeCell ref="R6:S7"/>
    <mergeCell ref="D7:E7"/>
    <mergeCell ref="M6:N7"/>
    <mergeCell ref="R8:S8"/>
    <mergeCell ref="R9:S9"/>
    <mergeCell ref="R10:S10"/>
    <mergeCell ref="R11:S11"/>
    <mergeCell ref="R12:S12"/>
  </mergeCells>
  <printOptions horizontalCentered="1"/>
  <pageMargins left="0.39370078740157483" right="0.39370078740157483" top="0.59055118110236227" bottom="0.98425196850393704" header="0" footer="0.39370078740157483"/>
  <pageSetup paperSize="9" scale="46"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T20"/>
  <sheetViews>
    <sheetView rightToLeft="1" view="pageBreakPreview" zoomScale="55" zoomScaleNormal="100" zoomScaleSheetLayoutView="55" workbookViewId="0">
      <selection activeCell="Q4" sqref="Q4:R5"/>
    </sheetView>
  </sheetViews>
  <sheetFormatPr defaultColWidth="9" defaultRowHeight="16.899999999999999"/>
  <cols>
    <col min="1" max="1" width="4" style="1" bestFit="1" customWidth="1"/>
    <col min="2" max="2" width="9" style="1"/>
    <col min="3" max="3" width="42" style="1" customWidth="1"/>
    <col min="4" max="4" width="18" style="1" customWidth="1"/>
    <col min="5" max="5" width="14.125" style="1" customWidth="1"/>
    <col min="6" max="6" width="10.125" style="1" customWidth="1"/>
    <col min="7" max="7" width="12" style="1" customWidth="1"/>
    <col min="8" max="8" width="9.4375" style="1" bestFit="1" customWidth="1"/>
    <col min="9" max="9" width="17.6875" style="1" customWidth="1"/>
    <col min="10" max="10" width="14.4375" style="1" customWidth="1"/>
    <col min="11" max="11" width="9.4375" style="1" bestFit="1" customWidth="1"/>
    <col min="12" max="12" width="17.6875" style="1" customWidth="1"/>
    <col min="13" max="14" width="10.875" style="1" customWidth="1"/>
    <col min="15" max="17" width="10.6875" style="1" customWidth="1"/>
    <col min="18" max="19" width="12.6875" style="1" customWidth="1"/>
    <col min="20" max="20" width="8.125" style="1" customWidth="1"/>
    <col min="21" max="16384" width="9" style="1"/>
  </cols>
  <sheetData>
    <row r="1" spans="1:20" ht="20.100000000000001" customHeight="1">
      <c r="A1" s="27"/>
      <c r="B1" s="27"/>
      <c r="C1" s="27"/>
      <c r="D1" s="134" t="s">
        <v>13</v>
      </c>
      <c r="E1" s="136" t="s">
        <v>435</v>
      </c>
      <c r="F1" s="136"/>
      <c r="G1" s="136"/>
      <c r="H1" s="129"/>
      <c r="I1" s="130"/>
      <c r="J1" s="136"/>
      <c r="K1" s="129"/>
      <c r="L1" s="130"/>
      <c r="M1" s="130"/>
      <c r="N1" s="130"/>
      <c r="O1" s="1187" t="s">
        <v>8</v>
      </c>
      <c r="P1" s="1187"/>
      <c r="Q1" s="1087" t="s">
        <v>439</v>
      </c>
      <c r="R1" s="1087"/>
      <c r="S1" s="1087"/>
      <c r="T1" s="1087"/>
    </row>
    <row r="2" spans="1:20" ht="20.100000000000001" customHeight="1">
      <c r="A2" s="27"/>
      <c r="B2" s="27"/>
      <c r="C2" s="27"/>
      <c r="D2" s="134" t="s">
        <v>14</v>
      </c>
      <c r="E2" s="136" t="s">
        <v>17</v>
      </c>
      <c r="F2" s="136"/>
      <c r="G2" s="136"/>
      <c r="H2" s="129"/>
      <c r="I2" s="130"/>
      <c r="J2" s="136"/>
      <c r="K2" s="129"/>
      <c r="L2" s="130"/>
      <c r="M2" s="130"/>
      <c r="N2" s="130"/>
      <c r="O2" s="1187"/>
      <c r="P2" s="1187"/>
      <c r="Q2" s="1087"/>
      <c r="R2" s="1087"/>
      <c r="S2" s="1087"/>
      <c r="T2" s="1087"/>
    </row>
    <row r="3" spans="1:20" ht="39.950000000000003" customHeight="1">
      <c r="A3" s="27"/>
      <c r="B3" s="27"/>
      <c r="C3" s="27"/>
      <c r="D3" s="134" t="s">
        <v>195</v>
      </c>
      <c r="E3" s="136" t="s">
        <v>443</v>
      </c>
      <c r="F3" s="136"/>
      <c r="G3" s="136"/>
      <c r="H3" s="129"/>
      <c r="I3" s="131"/>
      <c r="J3" s="136"/>
      <c r="K3" s="129"/>
      <c r="L3" s="131"/>
      <c r="M3" s="131"/>
      <c r="N3" s="131"/>
      <c r="O3" s="1187" t="s">
        <v>495</v>
      </c>
      <c r="P3" s="1187"/>
      <c r="Q3" s="1087" t="s">
        <v>442</v>
      </c>
      <c r="R3" s="1087"/>
      <c r="S3" s="1087"/>
      <c r="T3" s="1087"/>
    </row>
    <row r="4" spans="1:20" ht="24.95" customHeight="1">
      <c r="A4" s="27"/>
      <c r="B4" s="27"/>
      <c r="C4" s="27"/>
      <c r="D4" s="134" t="s">
        <v>437</v>
      </c>
      <c r="E4" s="1208" t="str">
        <f>'خلاصه مالي صورت وضعیت'!E4</f>
        <v>قطعی</v>
      </c>
      <c r="F4" s="1208"/>
      <c r="G4" s="1208"/>
      <c r="H4" s="1208"/>
      <c r="I4" s="1208"/>
      <c r="J4" s="1208"/>
      <c r="K4" s="128"/>
      <c r="L4" s="149"/>
      <c r="M4" s="149"/>
      <c r="N4" s="163"/>
      <c r="O4" s="1187" t="s">
        <v>440</v>
      </c>
      <c r="P4" s="1187"/>
      <c r="Q4" s="1212">
        <f>'خلاصه مالي صورت وضعیت'!H4:H5</f>
        <v>1197477151532</v>
      </c>
      <c r="R4" s="1212"/>
      <c r="S4" s="163"/>
      <c r="T4" s="163"/>
    </row>
    <row r="5" spans="1:20" ht="24.95" customHeight="1">
      <c r="A5" s="150"/>
      <c r="B5" s="150"/>
      <c r="C5" s="150"/>
      <c r="D5" s="140" t="s">
        <v>438</v>
      </c>
      <c r="E5" s="1209" t="str">
        <f>'خلاصه مالي صورت وضعیت'!E5</f>
        <v>1399/06/02</v>
      </c>
      <c r="F5" s="1209"/>
      <c r="G5" s="1209"/>
      <c r="H5" s="1209"/>
      <c r="I5" s="1209"/>
      <c r="J5" s="1209"/>
      <c r="K5" s="151"/>
      <c r="L5" s="152"/>
      <c r="M5" s="152"/>
      <c r="N5" s="164"/>
      <c r="O5" s="1188"/>
      <c r="P5" s="1188"/>
      <c r="Q5" s="1213"/>
      <c r="R5" s="1213"/>
      <c r="S5" s="164"/>
      <c r="T5" s="164"/>
    </row>
    <row r="6" spans="1:20"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0"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0" s="141" customFormat="1" ht="22.5">
      <c r="A8" s="18">
        <v>1</v>
      </c>
      <c r="B8" s="145" t="s">
        <v>44</v>
      </c>
      <c r="C8" s="289" t="s">
        <v>57</v>
      </c>
      <c r="D8" s="269">
        <f t="shared" ref="D8:D20" si="0">E8*$Q$4</f>
        <v>20357111576</v>
      </c>
      <c r="E8" s="270">
        <f>SUM(E9:E20)</f>
        <v>1.6999999999963256E-2</v>
      </c>
      <c r="F8" s="271"/>
      <c r="G8" s="543">
        <v>0.92149999999999999</v>
      </c>
      <c r="H8" s="505">
        <v>1.5665499999966141E-2</v>
      </c>
      <c r="I8" s="518">
        <v>18759078317.284</v>
      </c>
      <c r="J8" s="311">
        <f>L8/D8</f>
        <v>1</v>
      </c>
      <c r="K8" s="267">
        <f>SUM(K9:K20)</f>
        <v>1.6999999999963256E-2</v>
      </c>
      <c r="L8" s="312">
        <f>SUM(L9:L20)</f>
        <v>20357111576</v>
      </c>
      <c r="M8" s="1202" t="s">
        <v>935</v>
      </c>
      <c r="N8" s="1203"/>
      <c r="O8" s="258">
        <f>Q8/D8</f>
        <v>0</v>
      </c>
      <c r="P8" s="331">
        <f>Q8/Q4</f>
        <v>0</v>
      </c>
      <c r="Q8" s="259">
        <f>SUM(Q9:Q20)</f>
        <v>0</v>
      </c>
      <c r="R8" s="1210"/>
      <c r="S8" s="1211"/>
      <c r="T8" s="260"/>
    </row>
    <row r="9" spans="1:20" s="155" customFormat="1" ht="22.5">
      <c r="A9" s="18">
        <v>2</v>
      </c>
      <c r="B9" s="122" t="s">
        <v>45</v>
      </c>
      <c r="C9" s="290" t="s">
        <v>585</v>
      </c>
      <c r="D9" s="272">
        <f t="shared" si="0"/>
        <v>0</v>
      </c>
      <c r="E9" s="273">
        <f>CBS!F27</f>
        <v>0</v>
      </c>
      <c r="F9" s="274"/>
      <c r="G9" s="519">
        <v>0</v>
      </c>
      <c r="H9" s="507">
        <v>0</v>
      </c>
      <c r="I9" s="520">
        <v>0</v>
      </c>
      <c r="J9" s="425">
        <v>1</v>
      </c>
      <c r="K9" s="275">
        <f>J9*E9</f>
        <v>0</v>
      </c>
      <c r="L9" s="301">
        <f>K9*$Q$4</f>
        <v>0</v>
      </c>
      <c r="M9" s="1204"/>
      <c r="N9" s="1205"/>
      <c r="O9" s="426"/>
      <c r="P9" s="332">
        <f>O9*E9</f>
        <v>0</v>
      </c>
      <c r="Q9" s="264">
        <f>$Q$4*P9</f>
        <v>0</v>
      </c>
      <c r="R9" s="1210"/>
      <c r="S9" s="1211"/>
      <c r="T9" s="265"/>
    </row>
    <row r="10" spans="1:20" s="155" customFormat="1" ht="42.75">
      <c r="A10" s="18">
        <v>3</v>
      </c>
      <c r="B10" s="122" t="s">
        <v>46</v>
      </c>
      <c r="C10" s="290" t="s">
        <v>467</v>
      </c>
      <c r="D10" s="272">
        <f t="shared" si="0"/>
        <v>3053566736.3999996</v>
      </c>
      <c r="E10" s="273">
        <f>CBS!F28</f>
        <v>2.5499999999944881E-3</v>
      </c>
      <c r="F10" s="274"/>
      <c r="G10" s="519">
        <v>1</v>
      </c>
      <c r="H10" s="507">
        <v>2.5499999999944881E-3</v>
      </c>
      <c r="I10" s="520">
        <v>3053566736.3999996</v>
      </c>
      <c r="J10" s="425">
        <v>1</v>
      </c>
      <c r="K10" s="275">
        <f t="shared" ref="K10:K20" si="1">J10*E10</f>
        <v>2.5499999999944881E-3</v>
      </c>
      <c r="L10" s="301">
        <f>K10*$Q$4</f>
        <v>3053566736.3999996</v>
      </c>
      <c r="M10" s="1204"/>
      <c r="N10" s="1205"/>
      <c r="O10" s="427"/>
      <c r="P10" s="332">
        <f>O10*E10</f>
        <v>0</v>
      </c>
      <c r="Q10" s="264">
        <f t="shared" ref="Q10:Q20" si="2">$Q$4*P10</f>
        <v>0</v>
      </c>
      <c r="R10" s="1210"/>
      <c r="S10" s="1211"/>
      <c r="T10" s="265"/>
    </row>
    <row r="11" spans="1:20" s="155" customFormat="1" ht="42.75">
      <c r="A11" s="18">
        <v>4</v>
      </c>
      <c r="B11" s="122" t="s">
        <v>47</v>
      </c>
      <c r="C11" s="290" t="s">
        <v>61</v>
      </c>
      <c r="D11" s="272">
        <f t="shared" si="0"/>
        <v>1221426694.5600002</v>
      </c>
      <c r="E11" s="273">
        <f>CBS!F29</f>
        <v>1.0199999999977955E-3</v>
      </c>
      <c r="F11" s="274"/>
      <c r="G11" s="519">
        <v>1</v>
      </c>
      <c r="H11" s="507">
        <v>1.0199999999977955E-3</v>
      </c>
      <c r="I11" s="520">
        <v>1221426694.5600002</v>
      </c>
      <c r="J11" s="425">
        <v>1</v>
      </c>
      <c r="K11" s="275">
        <f t="shared" si="1"/>
        <v>1.0199999999977955E-3</v>
      </c>
      <c r="L11" s="301">
        <f>K11*$Q$4</f>
        <v>1221426694.5600002</v>
      </c>
      <c r="M11" s="1204"/>
      <c r="N11" s="1205"/>
      <c r="O11" s="427"/>
      <c r="P11" s="332">
        <f t="shared" ref="P11:P20" si="3">O11*E11</f>
        <v>0</v>
      </c>
      <c r="Q11" s="264">
        <f t="shared" si="2"/>
        <v>0</v>
      </c>
      <c r="R11" s="1210"/>
      <c r="S11" s="1211"/>
      <c r="T11" s="265"/>
    </row>
    <row r="12" spans="1:20" s="155" customFormat="1" ht="42.75">
      <c r="A12" s="18">
        <v>5</v>
      </c>
      <c r="B12" s="122" t="s">
        <v>48</v>
      </c>
      <c r="C12" s="290" t="s">
        <v>62</v>
      </c>
      <c r="D12" s="272">
        <f t="shared" si="0"/>
        <v>3053566736.3999996</v>
      </c>
      <c r="E12" s="273">
        <f>CBS!F30</f>
        <v>2.5499999999944881E-3</v>
      </c>
      <c r="F12" s="274"/>
      <c r="G12" s="519">
        <v>1</v>
      </c>
      <c r="H12" s="507">
        <v>2.5499999999944881E-3</v>
      </c>
      <c r="I12" s="520">
        <v>3053566736.3999996</v>
      </c>
      <c r="J12" s="425">
        <v>1</v>
      </c>
      <c r="K12" s="275">
        <f t="shared" si="1"/>
        <v>2.5499999999944881E-3</v>
      </c>
      <c r="L12" s="301">
        <f t="shared" ref="L12:L20" si="4">K12*$Q$4</f>
        <v>3053566736.3999996</v>
      </c>
      <c r="M12" s="1204"/>
      <c r="N12" s="1205"/>
      <c r="O12" s="427"/>
      <c r="P12" s="332">
        <f t="shared" si="3"/>
        <v>0</v>
      </c>
      <c r="Q12" s="264">
        <f t="shared" si="2"/>
        <v>0</v>
      </c>
      <c r="R12" s="1210"/>
      <c r="S12" s="1211"/>
      <c r="T12" s="265"/>
    </row>
    <row r="13" spans="1:20" s="155" customFormat="1" ht="39" customHeight="1">
      <c r="A13" s="18">
        <v>6</v>
      </c>
      <c r="B13" s="122" t="s">
        <v>49</v>
      </c>
      <c r="C13" s="290" t="s">
        <v>63</v>
      </c>
      <c r="D13" s="272">
        <f t="shared" si="0"/>
        <v>2035711157.5999997</v>
      </c>
      <c r="E13" s="273">
        <f>CBS!F31</f>
        <v>1.6999999999963253E-3</v>
      </c>
      <c r="F13" s="274"/>
      <c r="G13" s="519">
        <v>1</v>
      </c>
      <c r="H13" s="507">
        <v>1.6999999999963253E-3</v>
      </c>
      <c r="I13" s="520">
        <v>2035711157.5999997</v>
      </c>
      <c r="J13" s="425">
        <v>1</v>
      </c>
      <c r="K13" s="275">
        <f t="shared" si="1"/>
        <v>1.6999999999963253E-3</v>
      </c>
      <c r="L13" s="301">
        <f>K13*$Q$4</f>
        <v>2035711157.5999997</v>
      </c>
      <c r="M13" s="1204"/>
      <c r="N13" s="1205"/>
      <c r="O13" s="427"/>
      <c r="P13" s="332">
        <f t="shared" si="3"/>
        <v>0</v>
      </c>
      <c r="Q13" s="264">
        <f t="shared" si="2"/>
        <v>0</v>
      </c>
      <c r="R13" s="1210"/>
      <c r="S13" s="1211"/>
      <c r="T13" s="265"/>
    </row>
    <row r="14" spans="1:20" s="155" customFormat="1" ht="42.75">
      <c r="A14" s="18">
        <v>7</v>
      </c>
      <c r="B14" s="122" t="s">
        <v>50</v>
      </c>
      <c r="C14" s="290" t="s">
        <v>64</v>
      </c>
      <c r="D14" s="272">
        <f t="shared" si="0"/>
        <v>1832140041.8399997</v>
      </c>
      <c r="E14" s="273">
        <f>CBS!F32</f>
        <v>1.5299999999966929E-3</v>
      </c>
      <c r="F14" s="274"/>
      <c r="G14" s="519">
        <v>1</v>
      </c>
      <c r="H14" s="507">
        <v>1.5299999999966929E-3</v>
      </c>
      <c r="I14" s="520">
        <v>1832140041.8399997</v>
      </c>
      <c r="J14" s="425">
        <v>1</v>
      </c>
      <c r="K14" s="275">
        <f t="shared" si="1"/>
        <v>1.5299999999966929E-3</v>
      </c>
      <c r="L14" s="301">
        <f t="shared" si="4"/>
        <v>1832140041.8399997</v>
      </c>
      <c r="M14" s="1204"/>
      <c r="N14" s="1205"/>
      <c r="O14" s="427"/>
      <c r="P14" s="332">
        <f t="shared" si="3"/>
        <v>0</v>
      </c>
      <c r="Q14" s="264">
        <f t="shared" si="2"/>
        <v>0</v>
      </c>
      <c r="R14" s="1210"/>
      <c r="S14" s="1211"/>
      <c r="T14" s="265"/>
    </row>
    <row r="15" spans="1:20" s="155" customFormat="1" ht="22.5">
      <c r="A15" s="18">
        <v>8</v>
      </c>
      <c r="B15" s="122" t="s">
        <v>51</v>
      </c>
      <c r="C15" s="290" t="s">
        <v>65</v>
      </c>
      <c r="D15" s="272">
        <f t="shared" si="0"/>
        <v>610713347.28000009</v>
      </c>
      <c r="E15" s="273">
        <f>CBS!F33</f>
        <v>5.0999999999889773E-4</v>
      </c>
      <c r="F15" s="274"/>
      <c r="G15" s="519">
        <v>1</v>
      </c>
      <c r="H15" s="507">
        <v>5.0999999999889773E-4</v>
      </c>
      <c r="I15" s="520">
        <v>610713347.28000009</v>
      </c>
      <c r="J15" s="425">
        <v>1</v>
      </c>
      <c r="K15" s="275">
        <f t="shared" si="1"/>
        <v>5.0999999999889773E-4</v>
      </c>
      <c r="L15" s="301">
        <f>K15*$Q$4</f>
        <v>610713347.28000009</v>
      </c>
      <c r="M15" s="1204"/>
      <c r="N15" s="1205"/>
      <c r="O15" s="427"/>
      <c r="P15" s="332">
        <f t="shared" si="3"/>
        <v>0</v>
      </c>
      <c r="Q15" s="264">
        <f t="shared" si="2"/>
        <v>0</v>
      </c>
      <c r="R15" s="1210"/>
      <c r="S15" s="1211"/>
      <c r="T15" s="265"/>
    </row>
    <row r="16" spans="1:20" s="155" customFormat="1" ht="54" customHeight="1">
      <c r="A16" s="18">
        <v>9</v>
      </c>
      <c r="B16" s="122" t="s">
        <v>52</v>
      </c>
      <c r="C16" s="290" t="s">
        <v>58</v>
      </c>
      <c r="D16" s="272">
        <f t="shared" si="0"/>
        <v>2035711157.5999997</v>
      </c>
      <c r="E16" s="273">
        <f>CBS!F34</f>
        <v>1.6999999999963253E-3</v>
      </c>
      <c r="F16" s="274"/>
      <c r="G16" s="519">
        <v>1</v>
      </c>
      <c r="H16" s="507">
        <v>1.6999999999963253E-3</v>
      </c>
      <c r="I16" s="520">
        <v>2035711157.5999997</v>
      </c>
      <c r="J16" s="425">
        <v>1</v>
      </c>
      <c r="K16" s="275">
        <f t="shared" si="1"/>
        <v>1.6999999999963253E-3</v>
      </c>
      <c r="L16" s="301">
        <f t="shared" si="4"/>
        <v>2035711157.5999997</v>
      </c>
      <c r="M16" s="1204"/>
      <c r="N16" s="1205"/>
      <c r="O16" s="427"/>
      <c r="P16" s="332">
        <f t="shared" si="3"/>
        <v>0</v>
      </c>
      <c r="Q16" s="264">
        <f t="shared" si="2"/>
        <v>0</v>
      </c>
      <c r="R16" s="1210"/>
      <c r="S16" s="1211"/>
      <c r="T16" s="265"/>
    </row>
    <row r="17" spans="1:20" s="155" customFormat="1" ht="42.75">
      <c r="A17" s="18">
        <v>10</v>
      </c>
      <c r="B17" s="122" t="s">
        <v>53</v>
      </c>
      <c r="C17" s="290" t="s">
        <v>59</v>
      </c>
      <c r="D17" s="272">
        <f t="shared" si="0"/>
        <v>3053566736.3999996</v>
      </c>
      <c r="E17" s="273">
        <f>CBS!F35</f>
        <v>2.5499999999944881E-3</v>
      </c>
      <c r="F17" s="274"/>
      <c r="G17" s="519">
        <v>1</v>
      </c>
      <c r="H17" s="507">
        <v>2.5499999999944881E-3</v>
      </c>
      <c r="I17" s="520">
        <v>3053566736.3999996</v>
      </c>
      <c r="J17" s="425">
        <v>1</v>
      </c>
      <c r="K17" s="275">
        <f t="shared" si="1"/>
        <v>2.5499999999944881E-3</v>
      </c>
      <c r="L17" s="301">
        <f>K17*$Q$4</f>
        <v>3053566736.3999996</v>
      </c>
      <c r="M17" s="1204"/>
      <c r="N17" s="1205"/>
      <c r="O17" s="427"/>
      <c r="P17" s="332">
        <f t="shared" si="3"/>
        <v>0</v>
      </c>
      <c r="Q17" s="264">
        <f t="shared" si="2"/>
        <v>0</v>
      </c>
      <c r="R17" s="1210"/>
      <c r="S17" s="1211"/>
      <c r="T17" s="265"/>
    </row>
    <row r="18" spans="1:20" s="155" customFormat="1" ht="42.75">
      <c r="A18" s="18">
        <v>11</v>
      </c>
      <c r="B18" s="122" t="s">
        <v>54</v>
      </c>
      <c r="C18" s="290" t="s">
        <v>66</v>
      </c>
      <c r="D18" s="272">
        <f t="shared" si="0"/>
        <v>1424997810.3199999</v>
      </c>
      <c r="E18" s="273">
        <f>CBS!F36</f>
        <v>1.1899999999974279E-3</v>
      </c>
      <c r="F18" s="274"/>
      <c r="G18" s="519">
        <v>0.95</v>
      </c>
      <c r="H18" s="507">
        <v>1.1304999999975564E-3</v>
      </c>
      <c r="I18" s="520">
        <v>1353747919.8039999</v>
      </c>
      <c r="J18" s="425">
        <v>1</v>
      </c>
      <c r="K18" s="275">
        <f t="shared" si="1"/>
        <v>1.1899999999974279E-3</v>
      </c>
      <c r="L18" s="301">
        <f t="shared" si="4"/>
        <v>1424997810.3199999</v>
      </c>
      <c r="M18" s="1204"/>
      <c r="N18" s="1205"/>
      <c r="O18" s="427"/>
      <c r="P18" s="332">
        <f t="shared" si="3"/>
        <v>0</v>
      </c>
      <c r="Q18" s="264">
        <f t="shared" si="2"/>
        <v>0</v>
      </c>
      <c r="R18" s="1210"/>
      <c r="S18" s="1211"/>
      <c r="T18" s="265"/>
    </row>
    <row r="19" spans="1:20" s="155" customFormat="1" ht="22.5">
      <c r="A19" s="18">
        <v>12</v>
      </c>
      <c r="B19" s="122" t="s">
        <v>55</v>
      </c>
      <c r="C19" s="290" t="s">
        <v>67</v>
      </c>
      <c r="D19" s="272">
        <f t="shared" si="0"/>
        <v>2035711157.5999997</v>
      </c>
      <c r="E19" s="273">
        <f>CBS!F25</f>
        <v>1.6999999999963253E-3</v>
      </c>
      <c r="F19" s="274"/>
      <c r="G19" s="519">
        <v>0.25</v>
      </c>
      <c r="H19" s="507">
        <v>4.2499999999908133E-4</v>
      </c>
      <c r="I19" s="520">
        <v>508927789.39999992</v>
      </c>
      <c r="J19" s="425">
        <v>1</v>
      </c>
      <c r="K19" s="275">
        <f t="shared" si="1"/>
        <v>1.6999999999963253E-3</v>
      </c>
      <c r="L19" s="301">
        <f t="shared" si="4"/>
        <v>2035711157.5999997</v>
      </c>
      <c r="M19" s="1204"/>
      <c r="N19" s="1205"/>
      <c r="O19" s="427"/>
      <c r="P19" s="332">
        <f t="shared" si="3"/>
        <v>0</v>
      </c>
      <c r="Q19" s="264">
        <f t="shared" si="2"/>
        <v>0</v>
      </c>
      <c r="R19" s="1210"/>
      <c r="S19" s="1211"/>
      <c r="T19" s="265"/>
    </row>
    <row r="20" spans="1:20" s="155" customFormat="1" ht="22.5">
      <c r="A20" s="18">
        <v>13</v>
      </c>
      <c r="B20" s="122" t="s">
        <v>56</v>
      </c>
      <c r="C20" s="290" t="s">
        <v>60</v>
      </c>
      <c r="D20" s="272">
        <f t="shared" si="0"/>
        <v>0</v>
      </c>
      <c r="E20" s="273">
        <f>CBS!F38</f>
        <v>0</v>
      </c>
      <c r="F20" s="274"/>
      <c r="G20" s="519">
        <v>0</v>
      </c>
      <c r="H20" s="507">
        <v>0</v>
      </c>
      <c r="I20" s="520">
        <v>0</v>
      </c>
      <c r="J20" s="425"/>
      <c r="K20" s="275">
        <f t="shared" si="1"/>
        <v>0</v>
      </c>
      <c r="L20" s="301">
        <f t="shared" si="4"/>
        <v>0</v>
      </c>
      <c r="M20" s="1206"/>
      <c r="N20" s="1207"/>
      <c r="O20" s="426"/>
      <c r="P20" s="332">
        <f t="shared" si="3"/>
        <v>0</v>
      </c>
      <c r="Q20" s="264">
        <f t="shared" si="2"/>
        <v>0</v>
      </c>
      <c r="R20" s="1210"/>
      <c r="S20" s="1211"/>
      <c r="T20" s="265"/>
    </row>
  </sheetData>
  <mergeCells count="33">
    <mergeCell ref="A6:A7"/>
    <mergeCell ref="B6:B7"/>
    <mergeCell ref="C6:C7"/>
    <mergeCell ref="O6:Q6"/>
    <mergeCell ref="R6:S7"/>
    <mergeCell ref="D7:E7"/>
    <mergeCell ref="M6:N7"/>
    <mergeCell ref="T6:T7"/>
    <mergeCell ref="Q1:T2"/>
    <mergeCell ref="Q3:T3"/>
    <mergeCell ref="E4:J4"/>
    <mergeCell ref="E5:J5"/>
    <mergeCell ref="O1:P2"/>
    <mergeCell ref="O3:P3"/>
    <mergeCell ref="O4:P5"/>
    <mergeCell ref="F6:F7"/>
    <mergeCell ref="G6:I6"/>
    <mergeCell ref="J6:L6"/>
    <mergeCell ref="Q4:R5"/>
    <mergeCell ref="R17:S17"/>
    <mergeCell ref="R18:S18"/>
    <mergeCell ref="R19:S19"/>
    <mergeCell ref="R20:S20"/>
    <mergeCell ref="M8:N20"/>
    <mergeCell ref="R12:S12"/>
    <mergeCell ref="R13:S13"/>
    <mergeCell ref="R14:S14"/>
    <mergeCell ref="R15:S15"/>
    <mergeCell ref="R16:S16"/>
    <mergeCell ref="R8:S8"/>
    <mergeCell ref="R9:S9"/>
    <mergeCell ref="R10:S10"/>
    <mergeCell ref="R11:S11"/>
  </mergeCells>
  <printOptions horizontalCentered="1"/>
  <pageMargins left="0.2" right="0.2" top="0.59055118110236204" bottom="0.98425196850393704" header="0" footer="0.39370078740157499"/>
  <pageSetup paperSize="9" scale="55"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colBreaks count="1" manualBreakCount="1">
    <brk id="20" max="19" man="1"/>
  </colBreaks>
  <drawing r:id="rId2"/>
  <legacyDrawing r:id="rId3"/>
  <oleObjects>
    <mc:AlternateContent xmlns:mc="http://schemas.openxmlformats.org/markup-compatibility/2006">
      <mc:Choice Requires="x14">
        <oleObject progId="PBrush" shapeId="28697" r:id="rId4">
          <objectPr defaultSize="0" autoPict="0" r:id="rId5">
            <anchor moveWithCells="1" sizeWithCells="1">
              <from>
                <xdr:col>0</xdr:col>
                <xdr:colOff>0</xdr:colOff>
                <xdr:row>0</xdr:row>
                <xdr:rowOff>190500</xdr:rowOff>
              </from>
              <to>
                <xdr:col>0</xdr:col>
                <xdr:colOff>0</xdr:colOff>
                <xdr:row>1</xdr:row>
                <xdr:rowOff>238125</xdr:rowOff>
              </to>
            </anchor>
          </objectPr>
        </oleObject>
      </mc:Choice>
      <mc:Fallback>
        <oleObject progId="PBrush" shapeId="28697" r:id="rId4"/>
      </mc:Fallback>
    </mc:AlternateContent>
    <mc:AlternateContent xmlns:mc="http://schemas.openxmlformats.org/markup-compatibility/2006">
      <mc:Choice Requires="x14">
        <oleObject progId="PBrush" shapeId="28698" r:id="rId6">
          <objectPr defaultSize="0" autoPict="0" r:id="rId7">
            <anchor moveWithCells="1" sizeWithCells="1">
              <from>
                <xdr:col>0</xdr:col>
                <xdr:colOff>0</xdr:colOff>
                <xdr:row>0</xdr:row>
                <xdr:rowOff>180975</xdr:rowOff>
              </from>
              <to>
                <xdr:col>0</xdr:col>
                <xdr:colOff>0</xdr:colOff>
                <xdr:row>1</xdr:row>
                <xdr:rowOff>228600</xdr:rowOff>
              </to>
            </anchor>
          </objectPr>
        </oleObject>
      </mc:Choice>
      <mc:Fallback>
        <oleObject progId="PBrush" shapeId="28698" r:id="rId6"/>
      </mc:Fallback>
    </mc:AlternateContent>
    <mc:AlternateContent xmlns:mc="http://schemas.openxmlformats.org/markup-compatibility/2006">
      <mc:Choice Requires="x14">
        <oleObject progId="PBrush" shapeId="28699" r:id="rId8">
          <objectPr defaultSize="0" autoPict="0" r:id="rId9">
            <anchor moveWithCells="1" sizeWithCells="1">
              <from>
                <xdr:col>0</xdr:col>
                <xdr:colOff>0</xdr:colOff>
                <xdr:row>2</xdr:row>
                <xdr:rowOff>180975</xdr:rowOff>
              </from>
              <to>
                <xdr:col>0</xdr:col>
                <xdr:colOff>0</xdr:colOff>
                <xdr:row>2</xdr:row>
                <xdr:rowOff>476250</xdr:rowOff>
              </to>
            </anchor>
          </objectPr>
        </oleObject>
      </mc:Choice>
      <mc:Fallback>
        <oleObject progId="PBrush" shapeId="28699" r:id="rId8"/>
      </mc:Fallback>
    </mc:AlternateContent>
  </oleObjec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V18"/>
  <sheetViews>
    <sheetView rightToLeft="1" tabSelected="1" view="pageBreakPreview" zoomScale="55" zoomScaleNormal="85" zoomScaleSheetLayoutView="55" workbookViewId="0">
      <selection activeCell="Q4" sqref="Q4:R5"/>
    </sheetView>
  </sheetViews>
  <sheetFormatPr defaultColWidth="9" defaultRowHeight="16.899999999999999"/>
  <cols>
    <col min="1" max="1" width="4" style="1" bestFit="1" customWidth="1"/>
    <col min="2" max="2" width="7.5625" style="1" customWidth="1"/>
    <col min="3" max="3" width="44.875" style="1" customWidth="1"/>
    <col min="4" max="4" width="28.3125" style="1" customWidth="1"/>
    <col min="5" max="5" width="10.5625" style="1" customWidth="1"/>
    <col min="6" max="6" width="10.125" style="1" customWidth="1"/>
    <col min="7" max="7" width="12" style="1" customWidth="1"/>
    <col min="8" max="8" width="13.125" style="1" bestFit="1" customWidth="1"/>
    <col min="9" max="9" width="19.875" style="1" bestFit="1" customWidth="1"/>
    <col min="10" max="10" width="14.4375" style="1" customWidth="1"/>
    <col min="11" max="11" width="13.125" style="1" bestFit="1" customWidth="1"/>
    <col min="12" max="12" width="19.875" style="1" bestFit="1" customWidth="1"/>
    <col min="13" max="14" width="14.3125" style="1" customWidth="1"/>
    <col min="15" max="17" width="10.6875" style="1" customWidth="1"/>
    <col min="18" max="19" width="14.3125" style="1" customWidth="1"/>
    <col min="20" max="20" width="8.6875" style="1" customWidth="1"/>
    <col min="21" max="16384" width="9" style="1"/>
  </cols>
  <sheetData>
    <row r="1" spans="1:22" ht="20.100000000000001" customHeight="1">
      <c r="A1" s="27"/>
      <c r="B1" s="27"/>
      <c r="C1" s="27"/>
      <c r="D1" s="134" t="s">
        <v>13</v>
      </c>
      <c r="E1" s="136" t="s">
        <v>435</v>
      </c>
      <c r="F1" s="161"/>
      <c r="G1" s="165"/>
      <c r="H1" s="165"/>
      <c r="I1" s="130"/>
      <c r="J1" s="165"/>
      <c r="K1" s="165"/>
      <c r="L1" s="130"/>
      <c r="M1" s="130"/>
      <c r="N1" s="130"/>
      <c r="O1" s="1187" t="s">
        <v>8</v>
      </c>
      <c r="P1" s="1187"/>
      <c r="Q1" s="1087" t="s">
        <v>439</v>
      </c>
      <c r="R1" s="1087"/>
      <c r="S1" s="1087"/>
      <c r="T1" s="1087"/>
    </row>
    <row r="2" spans="1:22" ht="20.100000000000001" customHeight="1">
      <c r="A2" s="27"/>
      <c r="B2" s="27"/>
      <c r="C2" s="27"/>
      <c r="D2" s="134" t="s">
        <v>14</v>
      </c>
      <c r="E2" s="136" t="s">
        <v>17</v>
      </c>
      <c r="F2" s="161"/>
      <c r="G2" s="165"/>
      <c r="H2" s="165"/>
      <c r="I2" s="130"/>
      <c r="J2" s="165"/>
      <c r="K2" s="165"/>
      <c r="L2" s="130"/>
      <c r="M2" s="130"/>
      <c r="N2" s="130"/>
      <c r="O2" s="1187"/>
      <c r="P2" s="1187"/>
      <c r="Q2" s="1087"/>
      <c r="R2" s="1087"/>
      <c r="S2" s="1087"/>
      <c r="T2" s="1087"/>
    </row>
    <row r="3" spans="1:22" ht="39.950000000000003" customHeight="1">
      <c r="A3" s="27"/>
      <c r="B3" s="27"/>
      <c r="C3" s="27"/>
      <c r="D3" s="134" t="s">
        <v>195</v>
      </c>
      <c r="E3" s="136" t="s">
        <v>443</v>
      </c>
      <c r="F3" s="161"/>
      <c r="G3" s="165"/>
      <c r="H3" s="165"/>
      <c r="I3" s="131"/>
      <c r="J3" s="165"/>
      <c r="K3" s="165"/>
      <c r="L3" s="131"/>
      <c r="M3" s="131"/>
      <c r="N3" s="131"/>
      <c r="O3" s="1187" t="s">
        <v>495</v>
      </c>
      <c r="P3" s="1187"/>
      <c r="Q3" s="1087" t="s">
        <v>442</v>
      </c>
      <c r="R3" s="1087"/>
      <c r="S3" s="1087"/>
      <c r="T3" s="1087"/>
    </row>
    <row r="4" spans="1:22" ht="24.95" customHeight="1">
      <c r="A4" s="27"/>
      <c r="B4" s="27"/>
      <c r="C4" s="27"/>
      <c r="D4" s="134" t="s">
        <v>437</v>
      </c>
      <c r="E4" s="1221" t="str">
        <f>'خلاصه مالي صورت وضعیت'!E4</f>
        <v>قطعی</v>
      </c>
      <c r="F4" s="1221"/>
      <c r="G4" s="1221"/>
      <c r="H4" s="1221"/>
      <c r="I4" s="1221"/>
      <c r="J4" s="1221"/>
      <c r="K4" s="1221"/>
      <c r="L4" s="149"/>
      <c r="M4" s="149"/>
      <c r="N4" s="163"/>
      <c r="O4" s="1187" t="s">
        <v>440</v>
      </c>
      <c r="P4" s="1187"/>
      <c r="Q4" s="1212">
        <f>'خلاصه مالي صورت وضعیت'!H4:H5</f>
        <v>1197477151532</v>
      </c>
      <c r="R4" s="1212"/>
      <c r="S4" s="163"/>
      <c r="T4" s="163"/>
    </row>
    <row r="5" spans="1:22" ht="24.95" customHeight="1">
      <c r="A5" s="150"/>
      <c r="B5" s="150"/>
      <c r="C5" s="150"/>
      <c r="D5" s="140" t="s">
        <v>438</v>
      </c>
      <c r="E5" s="1220" t="str">
        <f>'خلاصه مالي صورت وضعیت'!E5</f>
        <v>1399/06/02</v>
      </c>
      <c r="F5" s="1220"/>
      <c r="G5" s="1220"/>
      <c r="H5" s="1220"/>
      <c r="I5" s="1220"/>
      <c r="J5" s="1220"/>
      <c r="K5" s="1220"/>
      <c r="L5" s="152"/>
      <c r="M5" s="152"/>
      <c r="N5" s="164"/>
      <c r="O5" s="1188"/>
      <c r="P5" s="1188"/>
      <c r="Q5" s="1213"/>
      <c r="R5" s="1213"/>
      <c r="S5" s="164"/>
      <c r="T5" s="164"/>
    </row>
    <row r="6" spans="1:22"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2"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2" s="141" customFormat="1" ht="22.5">
      <c r="A8" s="18">
        <v>1</v>
      </c>
      <c r="B8" s="145" t="s">
        <v>75</v>
      </c>
      <c r="C8" s="289" t="s">
        <v>68</v>
      </c>
      <c r="D8" s="269">
        <f t="shared" ref="D8:D18" si="0">E8*$Q$4</f>
        <v>27541974485</v>
      </c>
      <c r="E8" s="270">
        <f>SUM(E9:E18)</f>
        <v>2.2999999999802918E-2</v>
      </c>
      <c r="F8" s="271"/>
      <c r="G8" s="543">
        <v>0.57000000000000006</v>
      </c>
      <c r="H8" s="505">
        <v>1.3109999999887658E-2</v>
      </c>
      <c r="I8" s="518">
        <v>15698925456.450001</v>
      </c>
      <c r="J8" s="311">
        <f>L8/D8</f>
        <v>0.99999999999999978</v>
      </c>
      <c r="K8" s="267">
        <f>SUM(K9:K18)</f>
        <v>2.2999999999802918E-2</v>
      </c>
      <c r="L8" s="312">
        <f>SUM(L9:L18)</f>
        <v>27541974484.999992</v>
      </c>
      <c r="M8" s="1214" t="s">
        <v>938</v>
      </c>
      <c r="N8" s="1215"/>
      <c r="O8" s="258">
        <f>Q8/D8</f>
        <v>0</v>
      </c>
      <c r="P8" s="331">
        <f>SUM(P9:P18)</f>
        <v>0</v>
      </c>
      <c r="Q8" s="259">
        <f>SUM(Q9:Q18)</f>
        <v>0</v>
      </c>
      <c r="R8" s="1210"/>
      <c r="S8" s="1211"/>
      <c r="T8" s="260"/>
      <c r="V8" s="180"/>
    </row>
    <row r="9" spans="1:22" s="155" customFormat="1" ht="42.75">
      <c r="A9" s="18">
        <v>2</v>
      </c>
      <c r="B9" s="122" t="s">
        <v>76</v>
      </c>
      <c r="C9" s="290" t="s">
        <v>468</v>
      </c>
      <c r="D9" s="272">
        <f t="shared" si="0"/>
        <v>1377098724.2499998</v>
      </c>
      <c r="E9" s="273">
        <f>CBS!D39</f>
        <v>1.1499999999901457E-3</v>
      </c>
      <c r="F9" s="274"/>
      <c r="G9" s="519">
        <v>0.56999999999999995</v>
      </c>
      <c r="H9" s="507">
        <v>6.5549999999438302E-4</v>
      </c>
      <c r="I9" s="520">
        <v>784946272.82249975</v>
      </c>
      <c r="J9" s="425">
        <v>1</v>
      </c>
      <c r="K9" s="275">
        <f t="shared" ref="K9:K18" si="1">J9*E9</f>
        <v>1.1499999999901457E-3</v>
      </c>
      <c r="L9" s="301">
        <f t="shared" ref="L9:L18" si="2">K9*$Q$4</f>
        <v>1377098724.2499998</v>
      </c>
      <c r="M9" s="1216"/>
      <c r="N9" s="1217"/>
      <c r="O9" s="428"/>
      <c r="P9" s="332">
        <f>O9*E9</f>
        <v>0</v>
      </c>
      <c r="Q9" s="264">
        <f>$Q$4*P9</f>
        <v>0</v>
      </c>
      <c r="R9" s="1210"/>
      <c r="S9" s="1211"/>
      <c r="T9" s="265"/>
      <c r="V9" s="455"/>
    </row>
    <row r="10" spans="1:22" s="155" customFormat="1" ht="22.5">
      <c r="A10" s="18">
        <v>3</v>
      </c>
      <c r="B10" s="122" t="s">
        <v>77</v>
      </c>
      <c r="C10" s="290" t="s">
        <v>69</v>
      </c>
      <c r="D10" s="272">
        <f t="shared" si="0"/>
        <v>8262592345.4999981</v>
      </c>
      <c r="E10" s="273">
        <f>CBS!D40</f>
        <v>6.8999999999408744E-3</v>
      </c>
      <c r="F10" s="274"/>
      <c r="G10" s="519">
        <v>0.56999999999999995</v>
      </c>
      <c r="H10" s="507">
        <v>3.9329999999662985E-3</v>
      </c>
      <c r="I10" s="520">
        <v>4709677636.9349995</v>
      </c>
      <c r="J10" s="425">
        <v>1</v>
      </c>
      <c r="K10" s="275">
        <f t="shared" si="1"/>
        <v>6.8999999999408744E-3</v>
      </c>
      <c r="L10" s="301">
        <f t="shared" si="2"/>
        <v>8262592345.4999981</v>
      </c>
      <c r="M10" s="1216"/>
      <c r="N10" s="1217"/>
      <c r="O10" s="428"/>
      <c r="P10" s="332">
        <f t="shared" ref="P10:P18" si="3">O10*E10</f>
        <v>0</v>
      </c>
      <c r="Q10" s="264">
        <f t="shared" ref="Q10:Q18" si="4">$Q$4*P10</f>
        <v>0</v>
      </c>
      <c r="R10" s="1210"/>
      <c r="S10" s="1211"/>
      <c r="T10" s="265"/>
      <c r="V10" s="455"/>
    </row>
    <row r="11" spans="1:22" s="155" customFormat="1" ht="22.5">
      <c r="A11" s="18">
        <v>4</v>
      </c>
      <c r="B11" s="122" t="s">
        <v>78</v>
      </c>
      <c r="C11" s="290" t="s">
        <v>70</v>
      </c>
      <c r="D11" s="272">
        <f t="shared" si="0"/>
        <v>6885493621.2499981</v>
      </c>
      <c r="E11" s="273">
        <f>CBS!D41</f>
        <v>5.7499999999507286E-3</v>
      </c>
      <c r="F11" s="274"/>
      <c r="G11" s="519">
        <v>0.56999999999999995</v>
      </c>
      <c r="H11" s="507">
        <v>3.2774999999719149E-3</v>
      </c>
      <c r="I11" s="520">
        <v>3924731364.1124988</v>
      </c>
      <c r="J11" s="425">
        <v>1</v>
      </c>
      <c r="K11" s="275">
        <f t="shared" si="1"/>
        <v>5.7499999999507286E-3</v>
      </c>
      <c r="L11" s="301">
        <f t="shared" si="2"/>
        <v>6885493621.2499981</v>
      </c>
      <c r="M11" s="1216"/>
      <c r="N11" s="1217"/>
      <c r="O11" s="428"/>
      <c r="P11" s="332">
        <f t="shared" si="3"/>
        <v>0</v>
      </c>
      <c r="Q11" s="264">
        <f t="shared" si="4"/>
        <v>0</v>
      </c>
      <c r="R11" s="1210"/>
      <c r="S11" s="1211"/>
      <c r="T11" s="265"/>
      <c r="V11" s="455"/>
    </row>
    <row r="12" spans="1:22" s="155" customFormat="1" ht="22.5">
      <c r="A12" s="18">
        <v>5</v>
      </c>
      <c r="B12" s="122" t="s">
        <v>79</v>
      </c>
      <c r="C12" s="290" t="s">
        <v>71</v>
      </c>
      <c r="D12" s="272">
        <f t="shared" si="0"/>
        <v>2754197448.4999995</v>
      </c>
      <c r="E12" s="273">
        <f>CBS!D42</f>
        <v>2.2999999999802913E-3</v>
      </c>
      <c r="F12" s="274"/>
      <c r="G12" s="519">
        <v>0.56999999999999995</v>
      </c>
      <c r="H12" s="507">
        <v>1.310999999988766E-3</v>
      </c>
      <c r="I12" s="520">
        <v>1569892545.6449995</v>
      </c>
      <c r="J12" s="425">
        <v>1</v>
      </c>
      <c r="K12" s="275">
        <f t="shared" si="1"/>
        <v>2.2999999999802913E-3</v>
      </c>
      <c r="L12" s="301">
        <f t="shared" si="2"/>
        <v>2754197448.4999995</v>
      </c>
      <c r="M12" s="1216"/>
      <c r="N12" s="1217"/>
      <c r="O12" s="428"/>
      <c r="P12" s="332">
        <f t="shared" si="3"/>
        <v>0</v>
      </c>
      <c r="Q12" s="264">
        <f t="shared" si="4"/>
        <v>0</v>
      </c>
      <c r="R12" s="1210"/>
      <c r="S12" s="1211"/>
      <c r="T12" s="265"/>
      <c r="V12" s="455"/>
    </row>
    <row r="13" spans="1:22" s="155" customFormat="1" ht="22.5">
      <c r="A13" s="18">
        <v>6</v>
      </c>
      <c r="B13" s="122" t="s">
        <v>80</v>
      </c>
      <c r="C13" s="290" t="s">
        <v>72</v>
      </c>
      <c r="D13" s="272">
        <f t="shared" si="0"/>
        <v>2754197448.4999995</v>
      </c>
      <c r="E13" s="273">
        <f>CBS!D43</f>
        <v>2.2999999999802913E-3</v>
      </c>
      <c r="F13" s="274"/>
      <c r="G13" s="519">
        <v>0.56999999999999995</v>
      </c>
      <c r="H13" s="507">
        <v>1.310999999988766E-3</v>
      </c>
      <c r="I13" s="520">
        <v>1569892545.6449995</v>
      </c>
      <c r="J13" s="425">
        <v>1</v>
      </c>
      <c r="K13" s="275">
        <f t="shared" si="1"/>
        <v>2.2999999999802913E-3</v>
      </c>
      <c r="L13" s="301">
        <f t="shared" si="2"/>
        <v>2754197448.4999995</v>
      </c>
      <c r="M13" s="1216"/>
      <c r="N13" s="1217"/>
      <c r="O13" s="428"/>
      <c r="P13" s="332">
        <f t="shared" si="3"/>
        <v>0</v>
      </c>
      <c r="Q13" s="264">
        <f t="shared" si="4"/>
        <v>0</v>
      </c>
      <c r="R13" s="1210"/>
      <c r="S13" s="1211"/>
      <c r="T13" s="265"/>
      <c r="V13" s="455"/>
    </row>
    <row r="14" spans="1:22" s="155" customFormat="1" ht="42.75">
      <c r="A14" s="18">
        <v>7</v>
      </c>
      <c r="B14" s="122" t="s">
        <v>81</v>
      </c>
      <c r="C14" s="290" t="s">
        <v>434</v>
      </c>
      <c r="D14" s="272">
        <f t="shared" si="0"/>
        <v>4131296172.749999</v>
      </c>
      <c r="E14" s="273">
        <f>CBS!D44</f>
        <v>3.4499999999704372E-3</v>
      </c>
      <c r="F14" s="274"/>
      <c r="G14" s="519">
        <v>0.56999999999999995</v>
      </c>
      <c r="H14" s="507">
        <v>1.9664999999831493E-3</v>
      </c>
      <c r="I14" s="520">
        <v>2354838818.4674997</v>
      </c>
      <c r="J14" s="425">
        <v>1</v>
      </c>
      <c r="K14" s="275">
        <f t="shared" si="1"/>
        <v>3.4499999999704372E-3</v>
      </c>
      <c r="L14" s="301">
        <f t="shared" si="2"/>
        <v>4131296172.749999</v>
      </c>
      <c r="M14" s="1216"/>
      <c r="N14" s="1217"/>
      <c r="O14" s="428"/>
      <c r="P14" s="332">
        <f t="shared" si="3"/>
        <v>0</v>
      </c>
      <c r="Q14" s="264">
        <f t="shared" si="4"/>
        <v>0</v>
      </c>
      <c r="R14" s="1210"/>
      <c r="S14" s="1211"/>
      <c r="T14" s="265"/>
      <c r="V14" s="455"/>
    </row>
    <row r="15" spans="1:22" s="155" customFormat="1" ht="42.75">
      <c r="A15" s="18">
        <v>8</v>
      </c>
      <c r="B15" s="122" t="s">
        <v>82</v>
      </c>
      <c r="C15" s="290" t="s">
        <v>728</v>
      </c>
      <c r="D15" s="272">
        <f t="shared" si="0"/>
        <v>275419744.84999996</v>
      </c>
      <c r="E15" s="273">
        <f>CBS!D45</f>
        <v>2.2999999999802914E-4</v>
      </c>
      <c r="F15" s="274"/>
      <c r="G15" s="519">
        <v>0.56999999999999995</v>
      </c>
      <c r="H15" s="507">
        <v>1.3109999999887659E-4</v>
      </c>
      <c r="I15" s="520">
        <v>156989254.56449994</v>
      </c>
      <c r="J15" s="425">
        <v>1</v>
      </c>
      <c r="K15" s="275">
        <f t="shared" si="1"/>
        <v>2.2999999999802914E-4</v>
      </c>
      <c r="L15" s="301">
        <f t="shared" si="2"/>
        <v>275419744.84999996</v>
      </c>
      <c r="M15" s="1216"/>
      <c r="N15" s="1217"/>
      <c r="O15" s="428"/>
      <c r="P15" s="332">
        <f t="shared" si="3"/>
        <v>0</v>
      </c>
      <c r="Q15" s="264">
        <f t="shared" si="4"/>
        <v>0</v>
      </c>
      <c r="R15" s="1210"/>
      <c r="S15" s="1211"/>
      <c r="T15" s="265"/>
    </row>
    <row r="16" spans="1:22" s="155" customFormat="1" ht="42.75">
      <c r="A16" s="18">
        <v>9</v>
      </c>
      <c r="B16" s="122" t="s">
        <v>83</v>
      </c>
      <c r="C16" s="290" t="s">
        <v>433</v>
      </c>
      <c r="D16" s="272">
        <f t="shared" si="0"/>
        <v>550839489.69999993</v>
      </c>
      <c r="E16" s="273">
        <f>CBS!D46</f>
        <v>4.5999999999605829E-4</v>
      </c>
      <c r="F16" s="274"/>
      <c r="G16" s="519">
        <v>0.56999999999999995</v>
      </c>
      <c r="H16" s="507">
        <v>2.6219999999775318E-4</v>
      </c>
      <c r="I16" s="520">
        <v>313978509.12899989</v>
      </c>
      <c r="J16" s="425">
        <v>1</v>
      </c>
      <c r="K16" s="275">
        <f t="shared" si="1"/>
        <v>4.5999999999605829E-4</v>
      </c>
      <c r="L16" s="301">
        <f t="shared" si="2"/>
        <v>550839489.69999993</v>
      </c>
      <c r="M16" s="1216"/>
      <c r="N16" s="1217"/>
      <c r="O16" s="428"/>
      <c r="P16" s="332">
        <f t="shared" si="3"/>
        <v>0</v>
      </c>
      <c r="Q16" s="264">
        <f t="shared" si="4"/>
        <v>0</v>
      </c>
      <c r="R16" s="1210"/>
      <c r="S16" s="1211"/>
      <c r="T16" s="265"/>
    </row>
    <row r="17" spans="1:20" s="155" customFormat="1" ht="22.5">
      <c r="A17" s="18">
        <v>10</v>
      </c>
      <c r="B17" s="122" t="s">
        <v>84</v>
      </c>
      <c r="C17" s="290" t="s">
        <v>73</v>
      </c>
      <c r="D17" s="272">
        <f t="shared" si="0"/>
        <v>275419744.84999996</v>
      </c>
      <c r="E17" s="273">
        <f>CBS!D47</f>
        <v>2.2999999999802914E-4</v>
      </c>
      <c r="F17" s="274"/>
      <c r="G17" s="519">
        <v>0.56999999999999995</v>
      </c>
      <c r="H17" s="507">
        <v>1.3109999999887659E-4</v>
      </c>
      <c r="I17" s="520">
        <v>156989254.56449994</v>
      </c>
      <c r="J17" s="425">
        <v>1</v>
      </c>
      <c r="K17" s="275">
        <f t="shared" si="1"/>
        <v>2.2999999999802914E-4</v>
      </c>
      <c r="L17" s="301">
        <f t="shared" si="2"/>
        <v>275419744.84999996</v>
      </c>
      <c r="M17" s="1216"/>
      <c r="N17" s="1217"/>
      <c r="O17" s="428"/>
      <c r="P17" s="332">
        <f t="shared" si="3"/>
        <v>0</v>
      </c>
      <c r="Q17" s="264">
        <f t="shared" si="4"/>
        <v>0</v>
      </c>
      <c r="R17" s="1210"/>
      <c r="S17" s="1211"/>
      <c r="T17" s="265"/>
    </row>
    <row r="18" spans="1:20" s="155" customFormat="1" ht="42.75">
      <c r="A18" s="18">
        <v>11</v>
      </c>
      <c r="B18" s="122" t="s">
        <v>85</v>
      </c>
      <c r="C18" s="290" t="s">
        <v>74</v>
      </c>
      <c r="D18" s="272">
        <f t="shared" si="0"/>
        <v>275419744.84999996</v>
      </c>
      <c r="E18" s="273">
        <f>CBS!D48</f>
        <v>2.2999999999802914E-4</v>
      </c>
      <c r="F18" s="274"/>
      <c r="G18" s="519">
        <v>0.56999999999999995</v>
      </c>
      <c r="H18" s="507">
        <v>1.3109999999887659E-4</v>
      </c>
      <c r="I18" s="520">
        <v>156989254.56449994</v>
      </c>
      <c r="J18" s="425">
        <v>1</v>
      </c>
      <c r="K18" s="275">
        <f t="shared" si="1"/>
        <v>2.2999999999802914E-4</v>
      </c>
      <c r="L18" s="301">
        <f t="shared" si="2"/>
        <v>275419744.84999996</v>
      </c>
      <c r="M18" s="1218"/>
      <c r="N18" s="1219"/>
      <c r="O18" s="428"/>
      <c r="P18" s="332">
        <f t="shared" si="3"/>
        <v>0</v>
      </c>
      <c r="Q18" s="264">
        <f t="shared" si="4"/>
        <v>0</v>
      </c>
      <c r="R18" s="1210"/>
      <c r="S18" s="1211"/>
      <c r="T18" s="265"/>
    </row>
  </sheetData>
  <mergeCells count="31">
    <mergeCell ref="A6:A7"/>
    <mergeCell ref="B6:B7"/>
    <mergeCell ref="C6:C7"/>
    <mergeCell ref="T6:T7"/>
    <mergeCell ref="F6:F7"/>
    <mergeCell ref="G6:I6"/>
    <mergeCell ref="O1:P2"/>
    <mergeCell ref="O3:P3"/>
    <mergeCell ref="O4:P5"/>
    <mergeCell ref="Q1:T2"/>
    <mergeCell ref="Q3:T3"/>
    <mergeCell ref="D7:E7"/>
    <mergeCell ref="M6:N7"/>
    <mergeCell ref="R8:S8"/>
    <mergeCell ref="R9:S9"/>
    <mergeCell ref="R10:S10"/>
    <mergeCell ref="R18:S18"/>
    <mergeCell ref="Q4:R5"/>
    <mergeCell ref="M8:N18"/>
    <mergeCell ref="J6:L6"/>
    <mergeCell ref="O6:Q6"/>
    <mergeCell ref="R6:S7"/>
    <mergeCell ref="R11:S11"/>
    <mergeCell ref="R12:S12"/>
    <mergeCell ref="R13:S13"/>
    <mergeCell ref="R14:S14"/>
    <mergeCell ref="R15:S15"/>
    <mergeCell ref="R16:S16"/>
    <mergeCell ref="R17:S17"/>
    <mergeCell ref="E5:K5"/>
    <mergeCell ref="E4:K4"/>
  </mergeCells>
  <printOptions horizontalCentered="1"/>
  <pageMargins left="0.2" right="0.2" top="0.59055118110236204" bottom="0.98425196850393704" header="0" footer="0.39370078740157499"/>
  <pageSetup paperSize="9" scale="44"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V51"/>
  <sheetViews>
    <sheetView rightToLeft="1" view="pageBreakPreview" topLeftCell="A43" zoomScale="55" zoomScaleNormal="55" zoomScaleSheetLayoutView="55" workbookViewId="0">
      <selection activeCell="P10" sqref="P10"/>
    </sheetView>
  </sheetViews>
  <sheetFormatPr defaultColWidth="9" defaultRowHeight="21.4"/>
  <cols>
    <col min="1" max="1" width="4.125" style="1" bestFit="1" customWidth="1"/>
    <col min="2" max="2" width="9.5625" style="1" bestFit="1" customWidth="1"/>
    <col min="3" max="3" width="41.3125" style="1" customWidth="1"/>
    <col min="4" max="4" width="18.4375" style="121" bestFit="1" customWidth="1"/>
    <col min="5" max="5" width="11.3125" style="1" customWidth="1"/>
    <col min="6" max="6" width="10.125" style="1" customWidth="1"/>
    <col min="7" max="7" width="12" style="527" customWidth="1"/>
    <col min="8" max="8" width="9.5625" style="500" customWidth="1"/>
    <col min="9" max="9" width="19.3125" style="528" bestFit="1" customWidth="1"/>
    <col min="10" max="10" width="14.4375" style="119" customWidth="1"/>
    <col min="11" max="11" width="9.5625" style="1" customWidth="1"/>
    <col min="12" max="12" width="19.3125" style="121" bestFit="1" customWidth="1"/>
    <col min="13" max="14" width="8.875" style="1" customWidth="1"/>
    <col min="15" max="17" width="10.6875" style="1" customWidth="1"/>
    <col min="18" max="19" width="16.4375" style="1" customWidth="1"/>
    <col min="20" max="20" width="8" style="1" customWidth="1"/>
    <col min="21" max="21" width="10.5625" style="1" bestFit="1" customWidth="1"/>
    <col min="22" max="16384" width="9" style="1"/>
  </cols>
  <sheetData>
    <row r="1" spans="1:22" ht="20.100000000000001" customHeight="1">
      <c r="A1" s="27"/>
      <c r="B1" s="27"/>
      <c r="C1" s="27"/>
      <c r="D1" s="134" t="s">
        <v>13</v>
      </c>
      <c r="E1" s="136" t="s">
        <v>435</v>
      </c>
      <c r="F1" s="167"/>
      <c r="G1" s="473"/>
      <c r="H1" s="473"/>
      <c r="I1" s="525"/>
      <c r="J1" s="168"/>
      <c r="K1" s="168"/>
      <c r="L1" s="141"/>
      <c r="M1" s="141"/>
      <c r="N1" s="141"/>
      <c r="O1" s="1187" t="s">
        <v>8</v>
      </c>
      <c r="P1" s="1187"/>
      <c r="Q1" s="1087" t="s">
        <v>439</v>
      </c>
      <c r="R1" s="1087"/>
      <c r="S1" s="1087"/>
      <c r="T1" s="1087"/>
    </row>
    <row r="2" spans="1:22" ht="20.100000000000001" customHeight="1">
      <c r="A2" s="27"/>
      <c r="B2" s="27"/>
      <c r="C2" s="27"/>
      <c r="D2" s="134" t="s">
        <v>14</v>
      </c>
      <c r="E2" s="136" t="s">
        <v>17</v>
      </c>
      <c r="F2" s="167"/>
      <c r="G2" s="473"/>
      <c r="H2" s="473"/>
      <c r="I2" s="525"/>
      <c r="J2" s="168"/>
      <c r="K2" s="168"/>
      <c r="L2" s="141"/>
      <c r="M2" s="141"/>
      <c r="N2" s="141"/>
      <c r="O2" s="1187"/>
      <c r="P2" s="1187"/>
      <c r="Q2" s="1087"/>
      <c r="R2" s="1087"/>
      <c r="S2" s="1087"/>
      <c r="T2" s="1087"/>
    </row>
    <row r="3" spans="1:22" ht="39.950000000000003" customHeight="1">
      <c r="A3" s="27"/>
      <c r="B3" s="27"/>
      <c r="C3" s="27"/>
      <c r="D3" s="134" t="s">
        <v>195</v>
      </c>
      <c r="E3" s="136" t="s">
        <v>443</v>
      </c>
      <c r="F3" s="167"/>
      <c r="G3" s="473"/>
      <c r="H3" s="473"/>
      <c r="I3" s="526"/>
      <c r="J3" s="168"/>
      <c r="K3" s="168"/>
      <c r="L3" s="156"/>
      <c r="M3" s="156"/>
      <c r="N3" s="156"/>
      <c r="O3" s="1187" t="s">
        <v>495</v>
      </c>
      <c r="P3" s="1187"/>
      <c r="Q3" s="1224" t="s">
        <v>442</v>
      </c>
      <c r="R3" s="1224"/>
      <c r="S3" s="1224"/>
      <c r="T3" s="1224"/>
    </row>
    <row r="4" spans="1:22" ht="24.95" customHeight="1">
      <c r="A4" s="27"/>
      <c r="B4" s="27"/>
      <c r="C4" s="27"/>
      <c r="D4" s="134" t="s">
        <v>437</v>
      </c>
      <c r="E4" s="1208" t="s">
        <v>887</v>
      </c>
      <c r="F4" s="1208"/>
      <c r="G4" s="1208"/>
      <c r="H4" s="1208"/>
      <c r="I4" s="1208"/>
      <c r="J4" s="1208"/>
      <c r="K4" s="1208"/>
      <c r="L4" s="141"/>
      <c r="M4" s="141"/>
      <c r="N4" s="141"/>
      <c r="O4" s="1187" t="s">
        <v>440</v>
      </c>
      <c r="P4" s="1187"/>
      <c r="Q4" s="1177">
        <f>'خلاصه مالي صورت وضعیت'!H4:H5</f>
        <v>1197477151532</v>
      </c>
      <c r="R4" s="1177"/>
      <c r="S4" s="163"/>
      <c r="T4" s="163"/>
    </row>
    <row r="5" spans="1:22" ht="24.95" customHeight="1">
      <c r="A5" s="150"/>
      <c r="B5" s="150"/>
      <c r="C5" s="150"/>
      <c r="D5" s="140" t="s">
        <v>438</v>
      </c>
      <c r="E5" s="1209" t="str">
        <f>'خلاصه مالي صورت وضعیت'!E5</f>
        <v>1399/06/02</v>
      </c>
      <c r="F5" s="1209"/>
      <c r="G5" s="1209"/>
      <c r="H5" s="1209"/>
      <c r="I5" s="1209"/>
      <c r="J5" s="1209"/>
      <c r="K5" s="1209"/>
      <c r="L5" s="152"/>
      <c r="M5" s="152"/>
      <c r="N5" s="152"/>
      <c r="O5" s="1188"/>
      <c r="P5" s="1188"/>
      <c r="Q5" s="1178"/>
      <c r="R5" s="1178"/>
      <c r="S5" s="164"/>
      <c r="T5" s="164"/>
    </row>
    <row r="6" spans="1:22"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2"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2" s="141" customFormat="1" ht="30" customHeight="1">
      <c r="A8" s="567">
        <v>1</v>
      </c>
      <c r="B8" s="596" t="s">
        <v>87</v>
      </c>
      <c r="C8" s="597" t="s">
        <v>86</v>
      </c>
      <c r="D8" s="598">
        <f t="shared" ref="D8:D51" si="0">E8*$Q$4</f>
        <v>20955850152.000004</v>
      </c>
      <c r="E8" s="599">
        <f>SUM(E9:E15,E21,E27:E33,E39,E45:E51)</f>
        <v>1.750000000015867E-2</v>
      </c>
      <c r="F8" s="600"/>
      <c r="G8" s="601">
        <v>0.91690000000000005</v>
      </c>
      <c r="H8" s="601">
        <v>1.6045750000145485E-2</v>
      </c>
      <c r="I8" s="602">
        <v>19214419004.368805</v>
      </c>
      <c r="J8" s="603">
        <f>L8/D8</f>
        <v>1</v>
      </c>
      <c r="K8" s="604">
        <f>SUM(K9:K15,K21,K27:K33,K39,K45:K51)</f>
        <v>1.750000000015867E-2</v>
      </c>
      <c r="L8" s="605">
        <f>SUM(L9:L15,L21,L27:L33,L39,L45:L51)</f>
        <v>20955850152.000004</v>
      </c>
      <c r="M8" s="1222" t="s">
        <v>936</v>
      </c>
      <c r="N8" s="1223"/>
      <c r="O8" s="582"/>
      <c r="P8" s="582">
        <f>O8*E8</f>
        <v>0</v>
      </c>
      <c r="Q8" s="583">
        <f>P8*Q4</f>
        <v>0</v>
      </c>
      <c r="R8" s="582"/>
      <c r="S8" s="583"/>
      <c r="T8" s="606"/>
      <c r="V8" s="180"/>
    </row>
    <row r="9" spans="1:22" s="155" customFormat="1" ht="30" customHeight="1">
      <c r="A9" s="567">
        <v>2</v>
      </c>
      <c r="B9" s="568" t="s">
        <v>88</v>
      </c>
      <c r="C9" s="569" t="s">
        <v>469</v>
      </c>
      <c r="D9" s="570">
        <f t="shared" si="0"/>
        <v>0</v>
      </c>
      <c r="E9" s="571">
        <f>CBS!D51</f>
        <v>0</v>
      </c>
      <c r="F9" s="572"/>
      <c r="G9" s="573"/>
      <c r="H9" s="574"/>
      <c r="I9" s="575"/>
      <c r="J9" s="576">
        <v>1</v>
      </c>
      <c r="K9" s="577">
        <f>J9*E9</f>
        <v>0</v>
      </c>
      <c r="L9" s="578">
        <f>K9*$Q$4</f>
        <v>0</v>
      </c>
      <c r="M9" s="1204"/>
      <c r="N9" s="1205"/>
      <c r="O9" s="579"/>
      <c r="P9" s="580">
        <f>O9*E9</f>
        <v>0</v>
      </c>
      <c r="Q9" s="581">
        <f>P9*$Q$4</f>
        <v>0</v>
      </c>
      <c r="R9" s="582"/>
      <c r="S9" s="583"/>
      <c r="T9" s="584"/>
    </row>
    <row r="10" spans="1:22" s="155" customFormat="1" ht="45" customHeight="1">
      <c r="A10" s="567">
        <v>3</v>
      </c>
      <c r="B10" s="568" t="s">
        <v>89</v>
      </c>
      <c r="C10" s="569" t="s">
        <v>484</v>
      </c>
      <c r="D10" s="570">
        <f t="shared" si="0"/>
        <v>4191170030.4000001</v>
      </c>
      <c r="E10" s="571">
        <f>CBS!D52</f>
        <v>3.5000000000317334E-3</v>
      </c>
      <c r="F10" s="572"/>
      <c r="G10" s="573"/>
      <c r="H10" s="574"/>
      <c r="I10" s="575"/>
      <c r="J10" s="576">
        <v>1</v>
      </c>
      <c r="K10" s="577">
        <f t="shared" ref="K10:K14" si="1">J10*E10</f>
        <v>3.5000000000317334E-3</v>
      </c>
      <c r="L10" s="578">
        <f t="shared" ref="L10:L51" si="2">K10*$Q$4</f>
        <v>4191170030.4000001</v>
      </c>
      <c r="M10" s="1204"/>
      <c r="N10" s="1205"/>
      <c r="O10" s="579"/>
      <c r="P10" s="580">
        <f t="shared" ref="P10:P51" si="3">O10*E10</f>
        <v>0</v>
      </c>
      <c r="Q10" s="581">
        <f t="shared" ref="Q10:Q51" si="4">P10*$Q$4</f>
        <v>0</v>
      </c>
      <c r="R10" s="582"/>
      <c r="S10" s="583"/>
      <c r="T10" s="584"/>
    </row>
    <row r="11" spans="1:22" s="155" customFormat="1" ht="30" customHeight="1">
      <c r="A11" s="567">
        <v>4</v>
      </c>
      <c r="B11" s="568" t="s">
        <v>90</v>
      </c>
      <c r="C11" s="569" t="s">
        <v>470</v>
      </c>
      <c r="D11" s="570">
        <f t="shared" si="0"/>
        <v>838234006.08000016</v>
      </c>
      <c r="E11" s="571">
        <f>CBS!D53</f>
        <v>7.000000000063468E-4</v>
      </c>
      <c r="F11" s="572"/>
      <c r="G11" s="573"/>
      <c r="H11" s="574"/>
      <c r="I11" s="575"/>
      <c r="J11" s="576">
        <v>1</v>
      </c>
      <c r="K11" s="577">
        <f t="shared" si="1"/>
        <v>7.000000000063468E-4</v>
      </c>
      <c r="L11" s="578">
        <f t="shared" si="2"/>
        <v>838234006.08000016</v>
      </c>
      <c r="M11" s="1204"/>
      <c r="N11" s="1205"/>
      <c r="O11" s="579"/>
      <c r="P11" s="580">
        <f>O11*E11</f>
        <v>0</v>
      </c>
      <c r="Q11" s="581">
        <f t="shared" si="4"/>
        <v>0</v>
      </c>
      <c r="R11" s="582"/>
      <c r="S11" s="583"/>
      <c r="T11" s="584"/>
    </row>
    <row r="12" spans="1:22" s="155" customFormat="1" ht="60" customHeight="1">
      <c r="A12" s="567">
        <v>5</v>
      </c>
      <c r="B12" s="568" t="s">
        <v>91</v>
      </c>
      <c r="C12" s="569" t="s">
        <v>432</v>
      </c>
      <c r="D12" s="570">
        <f t="shared" si="0"/>
        <v>1197477151.5428572</v>
      </c>
      <c r="E12" s="571">
        <f>CBS!D54</f>
        <v>1.0000000000090668E-3</v>
      </c>
      <c r="F12" s="572"/>
      <c r="G12" s="573"/>
      <c r="H12" s="574"/>
      <c r="I12" s="575"/>
      <c r="J12" s="576">
        <v>1</v>
      </c>
      <c r="K12" s="577">
        <f t="shared" si="1"/>
        <v>1.0000000000090668E-3</v>
      </c>
      <c r="L12" s="578">
        <f t="shared" si="2"/>
        <v>1197477151.5428572</v>
      </c>
      <c r="M12" s="1204"/>
      <c r="N12" s="1205"/>
      <c r="O12" s="579"/>
      <c r="P12" s="580">
        <f t="shared" si="3"/>
        <v>0</v>
      </c>
      <c r="Q12" s="581">
        <f t="shared" si="4"/>
        <v>0</v>
      </c>
      <c r="R12" s="582"/>
      <c r="S12" s="583"/>
      <c r="T12" s="584"/>
    </row>
    <row r="13" spans="1:22" s="155" customFormat="1" ht="45" customHeight="1">
      <c r="A13" s="567">
        <v>6</v>
      </c>
      <c r="B13" s="568" t="s">
        <v>92</v>
      </c>
      <c r="C13" s="569" t="s">
        <v>471</v>
      </c>
      <c r="D13" s="570">
        <f t="shared" si="0"/>
        <v>419117003.04000008</v>
      </c>
      <c r="E13" s="571">
        <f>CBS!D55</f>
        <v>3.500000000031734E-4</v>
      </c>
      <c r="F13" s="572"/>
      <c r="G13" s="573"/>
      <c r="H13" s="574"/>
      <c r="I13" s="575"/>
      <c r="J13" s="576">
        <v>1</v>
      </c>
      <c r="K13" s="577">
        <f t="shared" si="1"/>
        <v>3.500000000031734E-4</v>
      </c>
      <c r="L13" s="578">
        <f t="shared" si="2"/>
        <v>419117003.04000008</v>
      </c>
      <c r="M13" s="1204"/>
      <c r="N13" s="1205"/>
      <c r="O13" s="579"/>
      <c r="P13" s="580">
        <f t="shared" si="3"/>
        <v>0</v>
      </c>
      <c r="Q13" s="581">
        <f t="shared" si="4"/>
        <v>0</v>
      </c>
      <c r="R13" s="582"/>
      <c r="S13" s="583"/>
      <c r="T13" s="584"/>
    </row>
    <row r="14" spans="1:22" s="155" customFormat="1" ht="45" customHeight="1">
      <c r="A14" s="567">
        <v>7</v>
      </c>
      <c r="B14" s="568" t="s">
        <v>93</v>
      </c>
      <c r="C14" s="569" t="s">
        <v>472</v>
      </c>
      <c r="D14" s="570">
        <f t="shared" si="0"/>
        <v>419117003.04000008</v>
      </c>
      <c r="E14" s="571">
        <f>CBS!D56</f>
        <v>3.500000000031734E-4</v>
      </c>
      <c r="F14" s="572"/>
      <c r="G14" s="573"/>
      <c r="H14" s="574"/>
      <c r="I14" s="575"/>
      <c r="J14" s="576">
        <v>1</v>
      </c>
      <c r="K14" s="577">
        <f t="shared" si="1"/>
        <v>3.500000000031734E-4</v>
      </c>
      <c r="L14" s="578">
        <f t="shared" si="2"/>
        <v>419117003.04000008</v>
      </c>
      <c r="M14" s="1204"/>
      <c r="N14" s="1205"/>
      <c r="O14" s="579"/>
      <c r="P14" s="580">
        <f t="shared" si="3"/>
        <v>0</v>
      </c>
      <c r="Q14" s="581">
        <f t="shared" si="4"/>
        <v>0</v>
      </c>
      <c r="R14" s="582"/>
      <c r="S14" s="583"/>
      <c r="T14" s="584"/>
    </row>
    <row r="15" spans="1:22" s="155" customFormat="1" ht="27" customHeight="1">
      <c r="A15" s="567">
        <v>8</v>
      </c>
      <c r="B15" s="568" t="s">
        <v>94</v>
      </c>
      <c r="C15" s="569" t="s">
        <v>473</v>
      </c>
      <c r="D15" s="570">
        <f t="shared" si="0"/>
        <v>1197477151.5428572</v>
      </c>
      <c r="E15" s="571">
        <f>SUM(E16:E20)</f>
        <v>1.0000000000090668E-3</v>
      </c>
      <c r="F15" s="572"/>
      <c r="G15" s="573"/>
      <c r="H15" s="574"/>
      <c r="I15" s="575"/>
      <c r="J15" s="576"/>
      <c r="K15" s="577">
        <f>SUM(K16:K20)</f>
        <v>1.0000000000090668E-3</v>
      </c>
      <c r="L15" s="578">
        <f>SUM(L16:L20)</f>
        <v>1197477151.5428572</v>
      </c>
      <c r="M15" s="1204"/>
      <c r="N15" s="1205"/>
      <c r="O15" s="579"/>
      <c r="P15" s="580"/>
      <c r="Q15" s="581">
        <f>SUM(Q16:Q20)</f>
        <v>0</v>
      </c>
      <c r="R15" s="582"/>
      <c r="S15" s="583"/>
      <c r="T15" s="584"/>
    </row>
    <row r="16" spans="1:22" s="300" customFormat="1" ht="27" customHeight="1">
      <c r="A16" s="567">
        <v>9</v>
      </c>
      <c r="B16" s="585" t="s">
        <v>100</v>
      </c>
      <c r="C16" s="586" t="s">
        <v>474</v>
      </c>
      <c r="D16" s="587">
        <f t="shared" si="0"/>
        <v>239495430.30857146</v>
      </c>
      <c r="E16" s="588">
        <f>CBS!D58</f>
        <v>2.0000000000181336E-4</v>
      </c>
      <c r="F16" s="589"/>
      <c r="G16" s="573"/>
      <c r="H16" s="590"/>
      <c r="I16" s="591"/>
      <c r="J16" s="576">
        <v>1</v>
      </c>
      <c r="K16" s="592">
        <f>J16*E16</f>
        <v>2.0000000000181336E-4</v>
      </c>
      <c r="L16" s="593">
        <f t="shared" si="2"/>
        <v>239495430.30857146</v>
      </c>
      <c r="M16" s="1204"/>
      <c r="N16" s="1205"/>
      <c r="O16" s="594"/>
      <c r="P16" s="580">
        <f t="shared" si="3"/>
        <v>0</v>
      </c>
      <c r="Q16" s="581">
        <f t="shared" si="4"/>
        <v>0</v>
      </c>
      <c r="R16" s="582"/>
      <c r="S16" s="583"/>
      <c r="T16" s="595"/>
    </row>
    <row r="17" spans="1:20" s="300" customFormat="1" ht="27" customHeight="1">
      <c r="A17" s="567">
        <v>10</v>
      </c>
      <c r="B17" s="585" t="s">
        <v>101</v>
      </c>
      <c r="C17" s="586" t="s">
        <v>447</v>
      </c>
      <c r="D17" s="587">
        <f t="shared" si="0"/>
        <v>239495430.30857146</v>
      </c>
      <c r="E17" s="588">
        <f>CBS!D59</f>
        <v>2.0000000000181336E-4</v>
      </c>
      <c r="F17" s="589"/>
      <c r="G17" s="573"/>
      <c r="H17" s="590"/>
      <c r="I17" s="591"/>
      <c r="J17" s="576">
        <v>1</v>
      </c>
      <c r="K17" s="592">
        <f>J17*E17</f>
        <v>2.0000000000181336E-4</v>
      </c>
      <c r="L17" s="593">
        <f t="shared" si="2"/>
        <v>239495430.30857146</v>
      </c>
      <c r="M17" s="1204"/>
      <c r="N17" s="1205"/>
      <c r="O17" s="594"/>
      <c r="P17" s="580">
        <f t="shared" si="3"/>
        <v>0</v>
      </c>
      <c r="Q17" s="581">
        <f t="shared" si="4"/>
        <v>0</v>
      </c>
      <c r="R17" s="582"/>
      <c r="S17" s="583"/>
      <c r="T17" s="595"/>
    </row>
    <row r="18" spans="1:20" s="300" customFormat="1" ht="27" customHeight="1">
      <c r="A18" s="567">
        <v>11</v>
      </c>
      <c r="B18" s="585" t="s">
        <v>102</v>
      </c>
      <c r="C18" s="586" t="s">
        <v>475</v>
      </c>
      <c r="D18" s="587">
        <f t="shared" si="0"/>
        <v>239495430.30857146</v>
      </c>
      <c r="E18" s="588">
        <f>CBS!D60</f>
        <v>2.0000000000181336E-4</v>
      </c>
      <c r="F18" s="589"/>
      <c r="G18" s="573"/>
      <c r="H18" s="590"/>
      <c r="I18" s="591"/>
      <c r="J18" s="576">
        <v>1</v>
      </c>
      <c r="K18" s="592">
        <f>J18*E18</f>
        <v>2.0000000000181336E-4</v>
      </c>
      <c r="L18" s="593">
        <f t="shared" si="2"/>
        <v>239495430.30857146</v>
      </c>
      <c r="M18" s="1204"/>
      <c r="N18" s="1205"/>
      <c r="O18" s="594"/>
      <c r="P18" s="580">
        <f t="shared" si="3"/>
        <v>0</v>
      </c>
      <c r="Q18" s="581">
        <f t="shared" si="4"/>
        <v>0</v>
      </c>
      <c r="R18" s="582"/>
      <c r="S18" s="583"/>
      <c r="T18" s="595"/>
    </row>
    <row r="19" spans="1:20" s="300" customFormat="1" ht="27" customHeight="1">
      <c r="A19" s="567">
        <v>12</v>
      </c>
      <c r="B19" s="585" t="s">
        <v>103</v>
      </c>
      <c r="C19" s="586" t="s">
        <v>476</v>
      </c>
      <c r="D19" s="587">
        <f t="shared" si="0"/>
        <v>239495430.30857146</v>
      </c>
      <c r="E19" s="588">
        <f>CBS!D61</f>
        <v>2.0000000000181336E-4</v>
      </c>
      <c r="F19" s="589"/>
      <c r="G19" s="573"/>
      <c r="H19" s="590"/>
      <c r="I19" s="591"/>
      <c r="J19" s="576">
        <v>1</v>
      </c>
      <c r="K19" s="592">
        <f>J19*E19</f>
        <v>2.0000000000181336E-4</v>
      </c>
      <c r="L19" s="593">
        <f t="shared" si="2"/>
        <v>239495430.30857146</v>
      </c>
      <c r="M19" s="1204"/>
      <c r="N19" s="1205"/>
      <c r="O19" s="594"/>
      <c r="P19" s="580">
        <f t="shared" si="3"/>
        <v>0</v>
      </c>
      <c r="Q19" s="581">
        <f t="shared" si="4"/>
        <v>0</v>
      </c>
      <c r="R19" s="582"/>
      <c r="S19" s="583"/>
      <c r="T19" s="595"/>
    </row>
    <row r="20" spans="1:20" s="300" customFormat="1" ht="27" customHeight="1">
      <c r="A20" s="567">
        <v>13</v>
      </c>
      <c r="B20" s="585" t="s">
        <v>104</v>
      </c>
      <c r="C20" s="586" t="s">
        <v>105</v>
      </c>
      <c r="D20" s="587">
        <f t="shared" si="0"/>
        <v>239495430.30857146</v>
      </c>
      <c r="E20" s="588">
        <f>CBS!D62</f>
        <v>2.0000000000181336E-4</v>
      </c>
      <c r="F20" s="589"/>
      <c r="G20" s="573"/>
      <c r="H20" s="590"/>
      <c r="I20" s="591"/>
      <c r="J20" s="576">
        <v>1</v>
      </c>
      <c r="K20" s="592">
        <f>J20*E20</f>
        <v>2.0000000000181336E-4</v>
      </c>
      <c r="L20" s="593">
        <f t="shared" si="2"/>
        <v>239495430.30857146</v>
      </c>
      <c r="M20" s="1206"/>
      <c r="N20" s="1207"/>
      <c r="O20" s="594"/>
      <c r="P20" s="580">
        <f t="shared" si="3"/>
        <v>0</v>
      </c>
      <c r="Q20" s="581">
        <f t="shared" si="4"/>
        <v>0</v>
      </c>
      <c r="R20" s="582"/>
      <c r="S20" s="583"/>
      <c r="T20" s="595"/>
    </row>
    <row r="21" spans="1:20" s="155" customFormat="1" ht="27" customHeight="1">
      <c r="A21" s="567">
        <v>14</v>
      </c>
      <c r="B21" s="568" t="s">
        <v>95</v>
      </c>
      <c r="C21" s="569" t="s">
        <v>485</v>
      </c>
      <c r="D21" s="570">
        <f t="shared" si="0"/>
        <v>1197477151.5428572</v>
      </c>
      <c r="E21" s="571">
        <f>SUM(E22:E26)</f>
        <v>1.0000000000090668E-3</v>
      </c>
      <c r="F21" s="572"/>
      <c r="G21" s="573"/>
      <c r="H21" s="574"/>
      <c r="I21" s="575"/>
      <c r="J21" s="576"/>
      <c r="K21" s="577">
        <f>SUM(K22:K26)</f>
        <v>1.0000000000090668E-3</v>
      </c>
      <c r="L21" s="578">
        <f>SUM(L22:L26)</f>
        <v>1197477151.5428572</v>
      </c>
      <c r="M21" s="1222" t="s">
        <v>936</v>
      </c>
      <c r="N21" s="1223"/>
      <c r="O21" s="579"/>
      <c r="P21" s="580"/>
      <c r="Q21" s="581">
        <f>SUM(Q22:Q26)</f>
        <v>0</v>
      </c>
      <c r="R21" s="582"/>
      <c r="S21" s="583"/>
      <c r="T21" s="584"/>
    </row>
    <row r="22" spans="1:20" s="300" customFormat="1" ht="27" customHeight="1">
      <c r="A22" s="567">
        <v>15</v>
      </c>
      <c r="B22" s="585" t="s">
        <v>106</v>
      </c>
      <c r="C22" s="586" t="s">
        <v>474</v>
      </c>
      <c r="D22" s="587">
        <f t="shared" si="0"/>
        <v>239495430.30857146</v>
      </c>
      <c r="E22" s="588">
        <f>CBS!D64</f>
        <v>2.0000000000181336E-4</v>
      </c>
      <c r="F22" s="589"/>
      <c r="G22" s="573"/>
      <c r="H22" s="590"/>
      <c r="I22" s="591"/>
      <c r="J22" s="576">
        <v>1</v>
      </c>
      <c r="K22" s="592">
        <f t="shared" ref="K22:K32" si="5">J22*E22</f>
        <v>2.0000000000181336E-4</v>
      </c>
      <c r="L22" s="593">
        <f t="shared" si="2"/>
        <v>239495430.30857146</v>
      </c>
      <c r="M22" s="1204"/>
      <c r="N22" s="1205"/>
      <c r="O22" s="594"/>
      <c r="P22" s="580">
        <f t="shared" si="3"/>
        <v>0</v>
      </c>
      <c r="Q22" s="581">
        <f t="shared" si="4"/>
        <v>0</v>
      </c>
      <c r="R22" s="582"/>
      <c r="S22" s="583"/>
      <c r="T22" s="595"/>
    </row>
    <row r="23" spans="1:20" s="300" customFormat="1" ht="27" customHeight="1">
      <c r="A23" s="567">
        <v>16</v>
      </c>
      <c r="B23" s="585" t="s">
        <v>107</v>
      </c>
      <c r="C23" s="586" t="s">
        <v>447</v>
      </c>
      <c r="D23" s="587">
        <f t="shared" si="0"/>
        <v>239495430.30857146</v>
      </c>
      <c r="E23" s="588">
        <f>CBS!D65</f>
        <v>2.0000000000181336E-4</v>
      </c>
      <c r="F23" s="589"/>
      <c r="G23" s="573"/>
      <c r="H23" s="590"/>
      <c r="I23" s="591"/>
      <c r="J23" s="576">
        <v>1</v>
      </c>
      <c r="K23" s="592">
        <f t="shared" si="5"/>
        <v>2.0000000000181336E-4</v>
      </c>
      <c r="L23" s="593">
        <f t="shared" si="2"/>
        <v>239495430.30857146</v>
      </c>
      <c r="M23" s="1204"/>
      <c r="N23" s="1205"/>
      <c r="O23" s="594"/>
      <c r="P23" s="580">
        <f t="shared" si="3"/>
        <v>0</v>
      </c>
      <c r="Q23" s="581">
        <f t="shared" si="4"/>
        <v>0</v>
      </c>
      <c r="R23" s="582"/>
      <c r="S23" s="583"/>
      <c r="T23" s="595"/>
    </row>
    <row r="24" spans="1:20" s="300" customFormat="1" ht="29.25" customHeight="1">
      <c r="A24" s="567">
        <v>17</v>
      </c>
      <c r="B24" s="585" t="s">
        <v>108</v>
      </c>
      <c r="C24" s="586" t="s">
        <v>475</v>
      </c>
      <c r="D24" s="587">
        <f t="shared" si="0"/>
        <v>239495430.30857146</v>
      </c>
      <c r="E24" s="588">
        <f>CBS!D66</f>
        <v>2.0000000000181336E-4</v>
      </c>
      <c r="F24" s="589"/>
      <c r="G24" s="573"/>
      <c r="H24" s="590"/>
      <c r="I24" s="591"/>
      <c r="J24" s="576">
        <v>1</v>
      </c>
      <c r="K24" s="592">
        <f t="shared" si="5"/>
        <v>2.0000000000181336E-4</v>
      </c>
      <c r="L24" s="593">
        <f t="shared" si="2"/>
        <v>239495430.30857146</v>
      </c>
      <c r="M24" s="1204"/>
      <c r="N24" s="1205"/>
      <c r="O24" s="594"/>
      <c r="P24" s="580">
        <f t="shared" si="3"/>
        <v>0</v>
      </c>
      <c r="Q24" s="581">
        <f t="shared" si="4"/>
        <v>0</v>
      </c>
      <c r="R24" s="582"/>
      <c r="S24" s="583"/>
      <c r="T24" s="595"/>
    </row>
    <row r="25" spans="1:20" s="300" customFormat="1" ht="32.25" customHeight="1">
      <c r="A25" s="567">
        <v>18</v>
      </c>
      <c r="B25" s="585" t="s">
        <v>109</v>
      </c>
      <c r="C25" s="586" t="s">
        <v>476</v>
      </c>
      <c r="D25" s="587">
        <f t="shared" si="0"/>
        <v>239495430.30857146</v>
      </c>
      <c r="E25" s="588">
        <f>CBS!D67</f>
        <v>2.0000000000181336E-4</v>
      </c>
      <c r="F25" s="589"/>
      <c r="G25" s="573"/>
      <c r="H25" s="590"/>
      <c r="I25" s="591"/>
      <c r="J25" s="576">
        <v>1</v>
      </c>
      <c r="K25" s="592">
        <f t="shared" si="5"/>
        <v>2.0000000000181336E-4</v>
      </c>
      <c r="L25" s="593">
        <f t="shared" si="2"/>
        <v>239495430.30857146</v>
      </c>
      <c r="M25" s="1204"/>
      <c r="N25" s="1205"/>
      <c r="O25" s="594"/>
      <c r="P25" s="580">
        <f t="shared" si="3"/>
        <v>0</v>
      </c>
      <c r="Q25" s="581">
        <f t="shared" si="4"/>
        <v>0</v>
      </c>
      <c r="R25" s="582"/>
      <c r="S25" s="583"/>
      <c r="T25" s="595"/>
    </row>
    <row r="26" spans="1:20" s="300" customFormat="1" ht="31.5" customHeight="1">
      <c r="A26" s="567">
        <v>19</v>
      </c>
      <c r="B26" s="585" t="s">
        <v>110</v>
      </c>
      <c r="C26" s="586" t="s">
        <v>105</v>
      </c>
      <c r="D26" s="587">
        <f t="shared" si="0"/>
        <v>239495430.30857146</v>
      </c>
      <c r="E26" s="588">
        <f>CBS!D68</f>
        <v>2.0000000000181336E-4</v>
      </c>
      <c r="F26" s="589"/>
      <c r="G26" s="573"/>
      <c r="H26" s="590"/>
      <c r="I26" s="591"/>
      <c r="J26" s="576">
        <v>1</v>
      </c>
      <c r="K26" s="592">
        <f t="shared" si="5"/>
        <v>2.0000000000181336E-4</v>
      </c>
      <c r="L26" s="593">
        <f t="shared" si="2"/>
        <v>239495430.30857146</v>
      </c>
      <c r="M26" s="1204"/>
      <c r="N26" s="1205"/>
      <c r="O26" s="594"/>
      <c r="P26" s="580">
        <f t="shared" si="3"/>
        <v>0</v>
      </c>
      <c r="Q26" s="581">
        <f t="shared" si="4"/>
        <v>0</v>
      </c>
      <c r="R26" s="582"/>
      <c r="S26" s="583"/>
      <c r="T26" s="595"/>
    </row>
    <row r="27" spans="1:20" s="155" customFormat="1" ht="39.950000000000003" customHeight="1">
      <c r="A27" s="567">
        <v>20</v>
      </c>
      <c r="B27" s="568" t="s">
        <v>96</v>
      </c>
      <c r="C27" s="569" t="s">
        <v>477</v>
      </c>
      <c r="D27" s="570">
        <f t="shared" si="0"/>
        <v>1197477151.5428572</v>
      </c>
      <c r="E27" s="571">
        <f>CBS!D69</f>
        <v>1.0000000000090668E-3</v>
      </c>
      <c r="F27" s="572"/>
      <c r="G27" s="573"/>
      <c r="H27" s="574"/>
      <c r="I27" s="575"/>
      <c r="J27" s="576">
        <v>1</v>
      </c>
      <c r="K27" s="577">
        <f t="shared" si="5"/>
        <v>1.0000000000090668E-3</v>
      </c>
      <c r="L27" s="578">
        <f t="shared" si="2"/>
        <v>1197477151.5428572</v>
      </c>
      <c r="M27" s="1204"/>
      <c r="N27" s="1205"/>
      <c r="O27" s="579"/>
      <c r="P27" s="580">
        <f t="shared" si="3"/>
        <v>0</v>
      </c>
      <c r="Q27" s="581">
        <f t="shared" si="4"/>
        <v>0</v>
      </c>
      <c r="R27" s="582"/>
      <c r="S27" s="583"/>
      <c r="T27" s="584"/>
    </row>
    <row r="28" spans="1:20" s="155" customFormat="1" ht="30" customHeight="1">
      <c r="A28" s="567">
        <v>21</v>
      </c>
      <c r="B28" s="568" t="s">
        <v>97</v>
      </c>
      <c r="C28" s="569" t="s">
        <v>478</v>
      </c>
      <c r="D28" s="570">
        <f t="shared" si="0"/>
        <v>598738575.77142859</v>
      </c>
      <c r="E28" s="571">
        <f>CBS!D70</f>
        <v>5.0000000000453338E-4</v>
      </c>
      <c r="F28" s="572"/>
      <c r="G28" s="573"/>
      <c r="H28" s="574"/>
      <c r="I28" s="575"/>
      <c r="J28" s="576">
        <v>1</v>
      </c>
      <c r="K28" s="577">
        <f t="shared" si="5"/>
        <v>5.0000000000453338E-4</v>
      </c>
      <c r="L28" s="578">
        <f t="shared" si="2"/>
        <v>598738575.77142859</v>
      </c>
      <c r="M28" s="1204"/>
      <c r="N28" s="1205"/>
      <c r="O28" s="579"/>
      <c r="P28" s="580">
        <f t="shared" si="3"/>
        <v>0</v>
      </c>
      <c r="Q28" s="581">
        <f t="shared" si="4"/>
        <v>0</v>
      </c>
      <c r="R28" s="582"/>
      <c r="S28" s="583"/>
      <c r="T28" s="584"/>
    </row>
    <row r="29" spans="1:20" s="155" customFormat="1" ht="30" customHeight="1">
      <c r="A29" s="567">
        <v>22</v>
      </c>
      <c r="B29" s="568" t="s">
        <v>98</v>
      </c>
      <c r="C29" s="569" t="s">
        <v>486</v>
      </c>
      <c r="D29" s="570">
        <f t="shared" si="0"/>
        <v>239495430.30857146</v>
      </c>
      <c r="E29" s="571">
        <f>CBS!D71</f>
        <v>2.0000000000181336E-4</v>
      </c>
      <c r="F29" s="572"/>
      <c r="G29" s="573"/>
      <c r="H29" s="574"/>
      <c r="I29" s="575"/>
      <c r="J29" s="576">
        <v>1</v>
      </c>
      <c r="K29" s="577">
        <f t="shared" si="5"/>
        <v>2.0000000000181336E-4</v>
      </c>
      <c r="L29" s="578">
        <f t="shared" si="2"/>
        <v>239495430.30857146</v>
      </c>
      <c r="M29" s="1204"/>
      <c r="N29" s="1205"/>
      <c r="O29" s="579"/>
      <c r="P29" s="580">
        <f t="shared" si="3"/>
        <v>0</v>
      </c>
      <c r="Q29" s="581">
        <f t="shared" si="4"/>
        <v>0</v>
      </c>
      <c r="R29" s="582"/>
      <c r="S29" s="583"/>
      <c r="T29" s="584"/>
    </row>
    <row r="30" spans="1:20" s="155" customFormat="1" ht="30" customHeight="1">
      <c r="A30" s="567">
        <v>23</v>
      </c>
      <c r="B30" s="568" t="s">
        <v>99</v>
      </c>
      <c r="C30" s="569" t="s">
        <v>487</v>
      </c>
      <c r="D30" s="570">
        <f t="shared" si="0"/>
        <v>239495430.30857146</v>
      </c>
      <c r="E30" s="571">
        <f>CBS!D72</f>
        <v>2.0000000000181336E-4</v>
      </c>
      <c r="F30" s="572"/>
      <c r="G30" s="573"/>
      <c r="H30" s="574"/>
      <c r="I30" s="575"/>
      <c r="J30" s="576">
        <v>1</v>
      </c>
      <c r="K30" s="577">
        <f t="shared" si="5"/>
        <v>2.0000000000181336E-4</v>
      </c>
      <c r="L30" s="578">
        <f t="shared" si="2"/>
        <v>239495430.30857146</v>
      </c>
      <c r="M30" s="1204"/>
      <c r="N30" s="1205"/>
      <c r="O30" s="579"/>
      <c r="P30" s="580">
        <f t="shared" si="3"/>
        <v>0</v>
      </c>
      <c r="Q30" s="581">
        <f t="shared" si="4"/>
        <v>0</v>
      </c>
      <c r="R30" s="582"/>
      <c r="S30" s="583"/>
      <c r="T30" s="584"/>
    </row>
    <row r="31" spans="1:20" s="155" customFormat="1" ht="30" customHeight="1">
      <c r="A31" s="567">
        <v>24</v>
      </c>
      <c r="B31" s="568" t="s">
        <v>111</v>
      </c>
      <c r="C31" s="569" t="s">
        <v>488</v>
      </c>
      <c r="D31" s="570">
        <f t="shared" si="0"/>
        <v>1197477151.5428572</v>
      </c>
      <c r="E31" s="571">
        <f>CBS!D73</f>
        <v>1.0000000000090668E-3</v>
      </c>
      <c r="F31" s="572"/>
      <c r="G31" s="573"/>
      <c r="H31" s="574"/>
      <c r="I31" s="575"/>
      <c r="J31" s="576">
        <v>1</v>
      </c>
      <c r="K31" s="577">
        <f t="shared" si="5"/>
        <v>1.0000000000090668E-3</v>
      </c>
      <c r="L31" s="578">
        <f t="shared" si="2"/>
        <v>1197477151.5428572</v>
      </c>
      <c r="M31" s="1204"/>
      <c r="N31" s="1205"/>
      <c r="O31" s="579"/>
      <c r="P31" s="580">
        <f t="shared" si="3"/>
        <v>0</v>
      </c>
      <c r="Q31" s="581">
        <f t="shared" si="4"/>
        <v>0</v>
      </c>
      <c r="R31" s="582"/>
      <c r="S31" s="583"/>
      <c r="T31" s="584"/>
    </row>
    <row r="32" spans="1:20" s="155" customFormat="1" ht="30" customHeight="1">
      <c r="A32" s="567">
        <v>25</v>
      </c>
      <c r="B32" s="568" t="s">
        <v>112</v>
      </c>
      <c r="C32" s="569" t="s">
        <v>489</v>
      </c>
      <c r="D32" s="570">
        <f t="shared" si="0"/>
        <v>359243145.46285719</v>
      </c>
      <c r="E32" s="571">
        <f>CBS!D74</f>
        <v>3.0000000000272002E-4</v>
      </c>
      <c r="F32" s="572"/>
      <c r="G32" s="573"/>
      <c r="H32" s="574"/>
      <c r="I32" s="575"/>
      <c r="J32" s="576">
        <v>1</v>
      </c>
      <c r="K32" s="577">
        <f t="shared" si="5"/>
        <v>3.0000000000272002E-4</v>
      </c>
      <c r="L32" s="578">
        <f t="shared" si="2"/>
        <v>359243145.46285719</v>
      </c>
      <c r="M32" s="1204"/>
      <c r="N32" s="1205"/>
      <c r="O32" s="579"/>
      <c r="P32" s="580">
        <f t="shared" si="3"/>
        <v>0</v>
      </c>
      <c r="Q32" s="581">
        <f t="shared" si="4"/>
        <v>0</v>
      </c>
      <c r="R32" s="582"/>
      <c r="S32" s="583"/>
      <c r="T32" s="584"/>
    </row>
    <row r="33" spans="1:20" s="155" customFormat="1" ht="27" customHeight="1">
      <c r="A33" s="567">
        <v>26</v>
      </c>
      <c r="B33" s="568" t="s">
        <v>113</v>
      </c>
      <c r="C33" s="569" t="s">
        <v>479</v>
      </c>
      <c r="D33" s="570">
        <f t="shared" si="0"/>
        <v>1197477151.5428572</v>
      </c>
      <c r="E33" s="571">
        <f>CBS!D75</f>
        <v>1.0000000000090668E-3</v>
      </c>
      <c r="F33" s="572"/>
      <c r="G33" s="573"/>
      <c r="H33" s="574"/>
      <c r="I33" s="575"/>
      <c r="J33" s="576"/>
      <c r="K33" s="577">
        <f>SUM(K34:K38)</f>
        <v>1.0000000000090668E-3</v>
      </c>
      <c r="L33" s="578">
        <f>SUM(L34:L38)</f>
        <v>1197477151.5428572</v>
      </c>
      <c r="M33" s="1204"/>
      <c r="N33" s="1205"/>
      <c r="O33" s="579"/>
      <c r="P33" s="580"/>
      <c r="Q33" s="581">
        <f>SUM(Q34:Q38)</f>
        <v>0</v>
      </c>
      <c r="R33" s="582"/>
      <c r="S33" s="583"/>
      <c r="T33" s="584"/>
    </row>
    <row r="34" spans="1:20" s="300" customFormat="1" ht="27" customHeight="1">
      <c r="A34" s="567">
        <v>27</v>
      </c>
      <c r="B34" s="585" t="s">
        <v>114</v>
      </c>
      <c r="C34" s="586" t="s">
        <v>427</v>
      </c>
      <c r="D34" s="587">
        <f t="shared" si="0"/>
        <v>239495430.30857146</v>
      </c>
      <c r="E34" s="588">
        <f>CBS!D76</f>
        <v>2.0000000000181336E-4</v>
      </c>
      <c r="F34" s="589"/>
      <c r="G34" s="573"/>
      <c r="H34" s="590"/>
      <c r="I34" s="591"/>
      <c r="J34" s="576">
        <v>1</v>
      </c>
      <c r="K34" s="592">
        <f>J34*E34</f>
        <v>2.0000000000181336E-4</v>
      </c>
      <c r="L34" s="593">
        <f t="shared" si="2"/>
        <v>239495430.30857146</v>
      </c>
      <c r="M34" s="563"/>
      <c r="N34" s="564"/>
      <c r="O34" s="594"/>
      <c r="P34" s="580">
        <f t="shared" si="3"/>
        <v>0</v>
      </c>
      <c r="Q34" s="581">
        <f t="shared" si="4"/>
        <v>0</v>
      </c>
      <c r="R34" s="582"/>
      <c r="S34" s="583"/>
      <c r="T34" s="595"/>
    </row>
    <row r="35" spans="1:20" s="300" customFormat="1" ht="27" customHeight="1">
      <c r="A35" s="567">
        <v>28</v>
      </c>
      <c r="B35" s="585" t="s">
        <v>115</v>
      </c>
      <c r="C35" s="586" t="s">
        <v>428</v>
      </c>
      <c r="D35" s="587">
        <f t="shared" si="0"/>
        <v>239495430.30857146</v>
      </c>
      <c r="E35" s="588">
        <f>CBS!D77</f>
        <v>2.0000000000181336E-4</v>
      </c>
      <c r="F35" s="589"/>
      <c r="G35" s="573"/>
      <c r="H35" s="590"/>
      <c r="I35" s="591"/>
      <c r="J35" s="576">
        <v>1</v>
      </c>
      <c r="K35" s="592">
        <f>J35*E35</f>
        <v>2.0000000000181336E-4</v>
      </c>
      <c r="L35" s="593">
        <f t="shared" si="2"/>
        <v>239495430.30857146</v>
      </c>
      <c r="M35" s="563"/>
      <c r="N35" s="564"/>
      <c r="O35" s="594"/>
      <c r="P35" s="580">
        <f t="shared" si="3"/>
        <v>0</v>
      </c>
      <c r="Q35" s="581">
        <f t="shared" si="4"/>
        <v>0</v>
      </c>
      <c r="R35" s="582"/>
      <c r="S35" s="583"/>
      <c r="T35" s="595"/>
    </row>
    <row r="36" spans="1:20" s="300" customFormat="1" ht="27" customHeight="1">
      <c r="A36" s="567">
        <v>29</v>
      </c>
      <c r="B36" s="585" t="s">
        <v>116</v>
      </c>
      <c r="C36" s="586" t="s">
        <v>429</v>
      </c>
      <c r="D36" s="587">
        <f t="shared" si="0"/>
        <v>239495430.30857146</v>
      </c>
      <c r="E36" s="588">
        <f>CBS!D78</f>
        <v>2.0000000000181336E-4</v>
      </c>
      <c r="F36" s="589"/>
      <c r="G36" s="573"/>
      <c r="H36" s="590"/>
      <c r="I36" s="591"/>
      <c r="J36" s="576">
        <v>1</v>
      </c>
      <c r="K36" s="592">
        <f>J36*E36</f>
        <v>2.0000000000181336E-4</v>
      </c>
      <c r="L36" s="593">
        <f t="shared" si="2"/>
        <v>239495430.30857146</v>
      </c>
      <c r="M36" s="565"/>
      <c r="N36" s="566"/>
      <c r="O36" s="594"/>
      <c r="P36" s="580">
        <f t="shared" si="3"/>
        <v>0</v>
      </c>
      <c r="Q36" s="581">
        <f t="shared" si="4"/>
        <v>0</v>
      </c>
      <c r="R36" s="582"/>
      <c r="S36" s="583"/>
      <c r="T36" s="595"/>
    </row>
    <row r="37" spans="1:20" s="300" customFormat="1" ht="27" customHeight="1">
      <c r="A37" s="18">
        <v>30</v>
      </c>
      <c r="B37" s="291" t="s">
        <v>117</v>
      </c>
      <c r="C37" s="292" t="s">
        <v>430</v>
      </c>
      <c r="D37" s="293">
        <f t="shared" si="0"/>
        <v>239495430.30857146</v>
      </c>
      <c r="E37" s="294">
        <f>CBS!D79</f>
        <v>2.0000000000181336E-4</v>
      </c>
      <c r="F37" s="295"/>
      <c r="G37" s="482"/>
      <c r="H37" s="509"/>
      <c r="I37" s="510"/>
      <c r="J37" s="310">
        <v>1</v>
      </c>
      <c r="K37" s="296">
        <f>J37*E37</f>
        <v>2.0000000000181336E-4</v>
      </c>
      <c r="L37" s="297">
        <f t="shared" si="2"/>
        <v>239495430.30857146</v>
      </c>
      <c r="M37" s="1222" t="s">
        <v>936</v>
      </c>
      <c r="N37" s="1223"/>
      <c r="O37" s="429"/>
      <c r="P37" s="263">
        <f t="shared" si="3"/>
        <v>0</v>
      </c>
      <c r="Q37" s="264">
        <f t="shared" si="4"/>
        <v>0</v>
      </c>
      <c r="R37" s="258"/>
      <c r="S37" s="259"/>
      <c r="T37" s="299"/>
    </row>
    <row r="38" spans="1:20" s="300" customFormat="1" ht="27" customHeight="1">
      <c r="A38" s="18">
        <v>31</v>
      </c>
      <c r="B38" s="291" t="s">
        <v>118</v>
      </c>
      <c r="C38" s="292" t="s">
        <v>490</v>
      </c>
      <c r="D38" s="293">
        <f t="shared" si="0"/>
        <v>239495430.30857146</v>
      </c>
      <c r="E38" s="294">
        <f>CBS!D80</f>
        <v>2.0000000000181336E-4</v>
      </c>
      <c r="F38" s="295"/>
      <c r="G38" s="482"/>
      <c r="H38" s="509"/>
      <c r="I38" s="510"/>
      <c r="J38" s="310">
        <v>1</v>
      </c>
      <c r="K38" s="296">
        <f>J38*E38</f>
        <v>2.0000000000181336E-4</v>
      </c>
      <c r="L38" s="297">
        <f t="shared" si="2"/>
        <v>239495430.30857146</v>
      </c>
      <c r="M38" s="1204"/>
      <c r="N38" s="1205"/>
      <c r="O38" s="429"/>
      <c r="P38" s="263">
        <f t="shared" si="3"/>
        <v>0</v>
      </c>
      <c r="Q38" s="264">
        <f t="shared" si="4"/>
        <v>0</v>
      </c>
      <c r="R38" s="258"/>
      <c r="S38" s="259"/>
      <c r="T38" s="299"/>
    </row>
    <row r="39" spans="1:20" s="155" customFormat="1" ht="27" customHeight="1">
      <c r="A39" s="18">
        <v>32</v>
      </c>
      <c r="B39" s="122" t="s">
        <v>119</v>
      </c>
      <c r="C39" s="290" t="s">
        <v>431</v>
      </c>
      <c r="D39" s="272">
        <f t="shared" si="0"/>
        <v>2993692878.8571429</v>
      </c>
      <c r="E39" s="273">
        <f>CBS!D81</f>
        <v>2.5000000000226668E-3</v>
      </c>
      <c r="F39" s="274"/>
      <c r="G39" s="482"/>
      <c r="H39" s="507"/>
      <c r="I39" s="520"/>
      <c r="J39" s="310"/>
      <c r="K39" s="275">
        <f>SUM(K40:K44)</f>
        <v>2.5000000000226668E-3</v>
      </c>
      <c r="L39" s="301">
        <f>SUM(L40:L44)</f>
        <v>2993692878.8571429</v>
      </c>
      <c r="M39" s="1204"/>
      <c r="N39" s="1205"/>
      <c r="O39" s="334"/>
      <c r="P39" s="263"/>
      <c r="Q39" s="264">
        <f>SUM(Q40:Q44)</f>
        <v>0</v>
      </c>
      <c r="R39" s="258"/>
      <c r="S39" s="259"/>
      <c r="T39" s="265"/>
    </row>
    <row r="40" spans="1:20" s="300" customFormat="1" ht="27" customHeight="1">
      <c r="A40" s="18">
        <v>33</v>
      </c>
      <c r="B40" s="291" t="s">
        <v>120</v>
      </c>
      <c r="C40" s="292" t="s">
        <v>427</v>
      </c>
      <c r="D40" s="293">
        <f t="shared" si="0"/>
        <v>598738575.77142859</v>
      </c>
      <c r="E40" s="294">
        <f>CBS!D82</f>
        <v>5.0000000000453338E-4</v>
      </c>
      <c r="F40" s="295"/>
      <c r="G40" s="482"/>
      <c r="H40" s="509"/>
      <c r="I40" s="510"/>
      <c r="J40" s="310">
        <v>1</v>
      </c>
      <c r="K40" s="296">
        <f t="shared" ref="K40:K51" si="6">J40*E40</f>
        <v>5.0000000000453338E-4</v>
      </c>
      <c r="L40" s="297">
        <f t="shared" si="2"/>
        <v>598738575.77142859</v>
      </c>
      <c r="M40" s="1204"/>
      <c r="N40" s="1205"/>
      <c r="O40" s="429"/>
      <c r="P40" s="263">
        <f t="shared" si="3"/>
        <v>0</v>
      </c>
      <c r="Q40" s="264">
        <f t="shared" si="4"/>
        <v>0</v>
      </c>
      <c r="R40" s="258"/>
      <c r="S40" s="259"/>
      <c r="T40" s="299"/>
    </row>
    <row r="41" spans="1:20" s="300" customFormat="1" ht="27" customHeight="1">
      <c r="A41" s="18">
        <v>34</v>
      </c>
      <c r="B41" s="291" t="s">
        <v>121</v>
      </c>
      <c r="C41" s="292" t="s">
        <v>428</v>
      </c>
      <c r="D41" s="293">
        <f t="shared" si="0"/>
        <v>598738575.77142859</v>
      </c>
      <c r="E41" s="294">
        <f>CBS!D83</f>
        <v>5.0000000000453338E-4</v>
      </c>
      <c r="F41" s="295"/>
      <c r="G41" s="482"/>
      <c r="H41" s="509"/>
      <c r="I41" s="510"/>
      <c r="J41" s="310">
        <v>1</v>
      </c>
      <c r="K41" s="296">
        <f t="shared" si="6"/>
        <v>5.0000000000453338E-4</v>
      </c>
      <c r="L41" s="297">
        <f t="shared" si="2"/>
        <v>598738575.77142859</v>
      </c>
      <c r="M41" s="1204"/>
      <c r="N41" s="1205"/>
      <c r="O41" s="429"/>
      <c r="P41" s="263">
        <f t="shared" si="3"/>
        <v>0</v>
      </c>
      <c r="Q41" s="264">
        <f t="shared" si="4"/>
        <v>0</v>
      </c>
      <c r="R41" s="258"/>
      <c r="S41" s="259"/>
      <c r="T41" s="299"/>
    </row>
    <row r="42" spans="1:20" s="300" customFormat="1" ht="27" customHeight="1">
      <c r="A42" s="18">
        <v>35</v>
      </c>
      <c r="B42" s="291" t="s">
        <v>122</v>
      </c>
      <c r="C42" s="292" t="s">
        <v>429</v>
      </c>
      <c r="D42" s="293">
        <f t="shared" si="0"/>
        <v>598738575.77142859</v>
      </c>
      <c r="E42" s="294">
        <f>CBS!D84</f>
        <v>5.0000000000453338E-4</v>
      </c>
      <c r="F42" s="295"/>
      <c r="G42" s="482"/>
      <c r="H42" s="509"/>
      <c r="I42" s="510"/>
      <c r="J42" s="310">
        <v>1</v>
      </c>
      <c r="K42" s="296">
        <f t="shared" si="6"/>
        <v>5.0000000000453338E-4</v>
      </c>
      <c r="L42" s="297">
        <f t="shared" si="2"/>
        <v>598738575.77142859</v>
      </c>
      <c r="M42" s="1204"/>
      <c r="N42" s="1205"/>
      <c r="O42" s="429"/>
      <c r="P42" s="263">
        <f t="shared" si="3"/>
        <v>0</v>
      </c>
      <c r="Q42" s="264">
        <f t="shared" si="4"/>
        <v>0</v>
      </c>
      <c r="R42" s="258"/>
      <c r="S42" s="259"/>
      <c r="T42" s="299"/>
    </row>
    <row r="43" spans="1:20" s="300" customFormat="1" ht="27" customHeight="1">
      <c r="A43" s="18">
        <v>36</v>
      </c>
      <c r="B43" s="291" t="s">
        <v>123</v>
      </c>
      <c r="C43" s="292" t="s">
        <v>430</v>
      </c>
      <c r="D43" s="293">
        <f t="shared" si="0"/>
        <v>598738575.77142859</v>
      </c>
      <c r="E43" s="294">
        <f>CBS!D85</f>
        <v>5.0000000000453338E-4</v>
      </c>
      <c r="F43" s="295"/>
      <c r="G43" s="482"/>
      <c r="H43" s="509"/>
      <c r="I43" s="510"/>
      <c r="J43" s="310">
        <v>1</v>
      </c>
      <c r="K43" s="296">
        <f t="shared" si="6"/>
        <v>5.0000000000453338E-4</v>
      </c>
      <c r="L43" s="297">
        <f t="shared" si="2"/>
        <v>598738575.77142859</v>
      </c>
      <c r="M43" s="1204"/>
      <c r="N43" s="1205"/>
      <c r="O43" s="429"/>
      <c r="P43" s="263">
        <f t="shared" si="3"/>
        <v>0</v>
      </c>
      <c r="Q43" s="264">
        <f t="shared" si="4"/>
        <v>0</v>
      </c>
      <c r="R43" s="258"/>
      <c r="S43" s="259"/>
      <c r="T43" s="299"/>
    </row>
    <row r="44" spans="1:20" s="300" customFormat="1" ht="27" customHeight="1">
      <c r="A44" s="18">
        <v>37</v>
      </c>
      <c r="B44" s="291" t="s">
        <v>124</v>
      </c>
      <c r="C44" s="292" t="s">
        <v>491</v>
      </c>
      <c r="D44" s="293">
        <f t="shared" si="0"/>
        <v>598738575.77142859</v>
      </c>
      <c r="E44" s="294">
        <f>CBS!D86</f>
        <v>5.0000000000453338E-4</v>
      </c>
      <c r="F44" s="295"/>
      <c r="G44" s="482"/>
      <c r="H44" s="509"/>
      <c r="I44" s="510"/>
      <c r="J44" s="310">
        <v>1</v>
      </c>
      <c r="K44" s="296">
        <f t="shared" si="6"/>
        <v>5.0000000000453338E-4</v>
      </c>
      <c r="L44" s="297">
        <f t="shared" si="2"/>
        <v>598738575.77142859</v>
      </c>
      <c r="M44" s="1204"/>
      <c r="N44" s="1205"/>
      <c r="O44" s="429"/>
      <c r="P44" s="263">
        <f t="shared" si="3"/>
        <v>0</v>
      </c>
      <c r="Q44" s="264">
        <f t="shared" si="4"/>
        <v>0</v>
      </c>
      <c r="R44" s="258"/>
      <c r="S44" s="259"/>
      <c r="T44" s="299"/>
    </row>
    <row r="45" spans="1:20" s="155" customFormat="1" ht="27" customHeight="1">
      <c r="A45" s="18">
        <v>38</v>
      </c>
      <c r="B45" s="122" t="s">
        <v>125</v>
      </c>
      <c r="C45" s="290" t="s">
        <v>492</v>
      </c>
      <c r="D45" s="272">
        <f t="shared" si="0"/>
        <v>1197477151.5428572</v>
      </c>
      <c r="E45" s="273">
        <f>CBS!D87</f>
        <v>1.0000000000090668E-3</v>
      </c>
      <c r="F45" s="274"/>
      <c r="G45" s="482"/>
      <c r="H45" s="507"/>
      <c r="I45" s="520"/>
      <c r="J45" s="310">
        <v>1</v>
      </c>
      <c r="K45" s="275">
        <f t="shared" si="6"/>
        <v>1.0000000000090668E-3</v>
      </c>
      <c r="L45" s="301">
        <f t="shared" si="2"/>
        <v>1197477151.5428572</v>
      </c>
      <c r="M45" s="1204"/>
      <c r="N45" s="1205"/>
      <c r="O45" s="334"/>
      <c r="P45" s="263">
        <f t="shared" si="3"/>
        <v>0</v>
      </c>
      <c r="Q45" s="264">
        <f t="shared" si="4"/>
        <v>0</v>
      </c>
      <c r="R45" s="258"/>
      <c r="S45" s="259"/>
      <c r="T45" s="265"/>
    </row>
    <row r="46" spans="1:20" s="155" customFormat="1" ht="27" customHeight="1">
      <c r="A46" s="18">
        <v>39</v>
      </c>
      <c r="B46" s="122" t="s">
        <v>126</v>
      </c>
      <c r="C46" s="290" t="s">
        <v>480</v>
      </c>
      <c r="D46" s="272">
        <f t="shared" si="0"/>
        <v>419117003.04000008</v>
      </c>
      <c r="E46" s="273">
        <f>CBS!D88</f>
        <v>3.500000000031734E-4</v>
      </c>
      <c r="F46" s="274"/>
      <c r="G46" s="482"/>
      <c r="H46" s="507"/>
      <c r="I46" s="520"/>
      <c r="J46" s="310">
        <v>1</v>
      </c>
      <c r="K46" s="275">
        <f t="shared" si="6"/>
        <v>3.500000000031734E-4</v>
      </c>
      <c r="L46" s="301">
        <f t="shared" si="2"/>
        <v>419117003.04000008</v>
      </c>
      <c r="M46" s="1204"/>
      <c r="N46" s="1205"/>
      <c r="O46" s="334"/>
      <c r="P46" s="263">
        <f>O46*E46</f>
        <v>0</v>
      </c>
      <c r="Q46" s="264">
        <f t="shared" si="4"/>
        <v>0</v>
      </c>
      <c r="R46" s="258"/>
      <c r="S46" s="259"/>
      <c r="T46" s="265"/>
    </row>
    <row r="47" spans="1:20" s="155" customFormat="1" ht="27" customHeight="1">
      <c r="A47" s="18">
        <v>40</v>
      </c>
      <c r="B47" s="122" t="s">
        <v>127</v>
      </c>
      <c r="C47" s="290" t="s">
        <v>493</v>
      </c>
      <c r="D47" s="272">
        <f t="shared" si="0"/>
        <v>419117003.04000008</v>
      </c>
      <c r="E47" s="273">
        <f>CBS!D89</f>
        <v>3.500000000031734E-4</v>
      </c>
      <c r="F47" s="274"/>
      <c r="G47" s="482"/>
      <c r="H47" s="507"/>
      <c r="I47" s="520"/>
      <c r="J47" s="310">
        <v>1</v>
      </c>
      <c r="K47" s="275">
        <f t="shared" si="6"/>
        <v>3.500000000031734E-4</v>
      </c>
      <c r="L47" s="301">
        <f t="shared" si="2"/>
        <v>419117003.04000008</v>
      </c>
      <c r="M47" s="1204"/>
      <c r="N47" s="1205"/>
      <c r="O47" s="334"/>
      <c r="P47" s="263">
        <f t="shared" si="3"/>
        <v>0</v>
      </c>
      <c r="Q47" s="264">
        <f t="shared" si="4"/>
        <v>0</v>
      </c>
      <c r="R47" s="258"/>
      <c r="S47" s="259"/>
      <c r="T47" s="265"/>
    </row>
    <row r="48" spans="1:20" s="155" customFormat="1" ht="27" customHeight="1">
      <c r="A48" s="18">
        <v>41</v>
      </c>
      <c r="B48" s="122" t="s">
        <v>128</v>
      </c>
      <c r="C48" s="290" t="s">
        <v>481</v>
      </c>
      <c r="D48" s="272">
        <f t="shared" si="0"/>
        <v>419117003.04000008</v>
      </c>
      <c r="E48" s="273">
        <f>CBS!D90</f>
        <v>3.500000000031734E-4</v>
      </c>
      <c r="F48" s="274"/>
      <c r="G48" s="482"/>
      <c r="H48" s="507"/>
      <c r="I48" s="520"/>
      <c r="J48" s="310">
        <v>1</v>
      </c>
      <c r="K48" s="275">
        <f t="shared" si="6"/>
        <v>3.500000000031734E-4</v>
      </c>
      <c r="L48" s="301">
        <f t="shared" si="2"/>
        <v>419117003.04000008</v>
      </c>
      <c r="M48" s="1204"/>
      <c r="N48" s="1205"/>
      <c r="O48" s="334"/>
      <c r="P48" s="263">
        <f t="shared" si="3"/>
        <v>0</v>
      </c>
      <c r="Q48" s="264">
        <f t="shared" si="4"/>
        <v>0</v>
      </c>
      <c r="R48" s="258"/>
      <c r="S48" s="259"/>
      <c r="T48" s="265"/>
    </row>
    <row r="49" spans="1:20" s="155" customFormat="1" ht="27" customHeight="1">
      <c r="A49" s="18">
        <v>42</v>
      </c>
      <c r="B49" s="122" t="s">
        <v>129</v>
      </c>
      <c r="C49" s="290" t="s">
        <v>494</v>
      </c>
      <c r="D49" s="272">
        <f t="shared" si="0"/>
        <v>598738575.77142859</v>
      </c>
      <c r="E49" s="273">
        <f>CBS!D91</f>
        <v>5.0000000000453338E-4</v>
      </c>
      <c r="F49" s="274"/>
      <c r="G49" s="482"/>
      <c r="H49" s="507"/>
      <c r="I49" s="520"/>
      <c r="J49" s="310">
        <v>1</v>
      </c>
      <c r="K49" s="275">
        <f t="shared" si="6"/>
        <v>5.0000000000453338E-4</v>
      </c>
      <c r="L49" s="301">
        <f t="shared" si="2"/>
        <v>598738575.77142859</v>
      </c>
      <c r="M49" s="1204"/>
      <c r="N49" s="1205"/>
      <c r="O49" s="334"/>
      <c r="P49" s="263">
        <f t="shared" si="3"/>
        <v>0</v>
      </c>
      <c r="Q49" s="264">
        <f t="shared" si="4"/>
        <v>0</v>
      </c>
      <c r="R49" s="258"/>
      <c r="S49" s="259"/>
      <c r="T49" s="265"/>
    </row>
    <row r="50" spans="1:20" s="155" customFormat="1" ht="27" customHeight="1">
      <c r="A50" s="18">
        <v>43</v>
      </c>
      <c r="B50" s="122" t="s">
        <v>130</v>
      </c>
      <c r="C50" s="290" t="s">
        <v>482</v>
      </c>
      <c r="D50" s="272">
        <f t="shared" si="0"/>
        <v>419117003.04000008</v>
      </c>
      <c r="E50" s="273">
        <f>CBS!D92</f>
        <v>3.500000000031734E-4</v>
      </c>
      <c r="F50" s="274"/>
      <c r="G50" s="482"/>
      <c r="H50" s="507"/>
      <c r="I50" s="520"/>
      <c r="J50" s="310">
        <v>1</v>
      </c>
      <c r="K50" s="275">
        <f t="shared" si="6"/>
        <v>3.500000000031734E-4</v>
      </c>
      <c r="L50" s="301">
        <f t="shared" si="2"/>
        <v>419117003.04000008</v>
      </c>
      <c r="M50" s="563"/>
      <c r="N50" s="564"/>
      <c r="O50" s="334"/>
      <c r="P50" s="263">
        <f t="shared" si="3"/>
        <v>0</v>
      </c>
      <c r="Q50" s="264">
        <f t="shared" si="4"/>
        <v>0</v>
      </c>
      <c r="R50" s="258"/>
      <c r="S50" s="259"/>
      <c r="T50" s="265"/>
    </row>
    <row r="51" spans="1:20" s="155" customFormat="1" ht="55.5" customHeight="1">
      <c r="A51" s="18">
        <v>44</v>
      </c>
      <c r="B51" s="122" t="s">
        <v>131</v>
      </c>
      <c r="C51" s="290" t="s">
        <v>483</v>
      </c>
      <c r="D51" s="272">
        <f t="shared" si="0"/>
        <v>0</v>
      </c>
      <c r="E51" s="273">
        <f>CBS!D93</f>
        <v>0</v>
      </c>
      <c r="F51" s="274"/>
      <c r="G51" s="482"/>
      <c r="H51" s="507"/>
      <c r="I51" s="520"/>
      <c r="J51" s="310">
        <v>0</v>
      </c>
      <c r="K51" s="275">
        <f t="shared" si="6"/>
        <v>0</v>
      </c>
      <c r="L51" s="301">
        <f t="shared" si="2"/>
        <v>0</v>
      </c>
      <c r="M51" s="565"/>
      <c r="N51" s="566"/>
      <c r="O51" s="334"/>
      <c r="P51" s="263">
        <f t="shared" si="3"/>
        <v>0</v>
      </c>
      <c r="Q51" s="264">
        <f t="shared" si="4"/>
        <v>0</v>
      </c>
      <c r="R51" s="258"/>
      <c r="S51" s="259"/>
      <c r="T51" s="265"/>
    </row>
  </sheetData>
  <mergeCells count="22">
    <mergeCell ref="T6:T7"/>
    <mergeCell ref="O4:P5"/>
    <mergeCell ref="Q1:T2"/>
    <mergeCell ref="Q3:T3"/>
    <mergeCell ref="R6:S7"/>
    <mergeCell ref="M8:N20"/>
    <mergeCell ref="M21:N33"/>
    <mergeCell ref="M37:N49"/>
    <mergeCell ref="O1:P2"/>
    <mergeCell ref="O3:P3"/>
    <mergeCell ref="O6:Q6"/>
    <mergeCell ref="M6:N7"/>
    <mergeCell ref="Q4:R5"/>
    <mergeCell ref="A6:A7"/>
    <mergeCell ref="B6:B7"/>
    <mergeCell ref="C6:C7"/>
    <mergeCell ref="F6:F7"/>
    <mergeCell ref="G6:I6"/>
    <mergeCell ref="J6:L6"/>
    <mergeCell ref="D7:E7"/>
    <mergeCell ref="E4:K4"/>
    <mergeCell ref="E5:K5"/>
  </mergeCells>
  <printOptions horizontalCentered="1"/>
  <pageMargins left="0.2" right="0.2" top="0.59055118110236204" bottom="0.98425196850393704" header="0" footer="0.39370078740157499"/>
  <pageSetup paperSize="9" scale="55"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rowBreaks count="2" manualBreakCount="2">
    <brk id="20" max="15" man="1"/>
    <brk id="36" max="1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T16"/>
  <sheetViews>
    <sheetView rightToLeft="1" view="pageBreakPreview" zoomScale="60" zoomScaleNormal="100" workbookViewId="0">
      <selection activeCell="Q4" sqref="Q4:R5"/>
    </sheetView>
  </sheetViews>
  <sheetFormatPr defaultColWidth="9" defaultRowHeight="16.899999999999999"/>
  <cols>
    <col min="1" max="1" width="4" style="1" bestFit="1" customWidth="1"/>
    <col min="2" max="2" width="8.4375" style="1" bestFit="1" customWidth="1"/>
    <col min="3" max="3" width="36" style="1" customWidth="1"/>
    <col min="4" max="4" width="18.6875" style="170" customWidth="1"/>
    <col min="5" max="5" width="9.6875" style="1" bestFit="1" customWidth="1"/>
    <col min="6" max="6" width="10.125" style="1" customWidth="1"/>
    <col min="7" max="7" width="12" style="500" customWidth="1"/>
    <col min="8" max="8" width="9.3125" style="500" customWidth="1"/>
    <col min="9" max="9" width="19.3125" style="524" customWidth="1"/>
    <col min="10" max="10" width="14.4375" style="1" customWidth="1"/>
    <col min="11" max="11" width="9.3125" style="1" customWidth="1"/>
    <col min="12" max="12" width="19.3125" style="170" customWidth="1"/>
    <col min="13" max="14" width="11.125" style="1" customWidth="1"/>
    <col min="15" max="16" width="10.6875" style="1" customWidth="1"/>
    <col min="17" max="17" width="10.6875" style="170" customWidth="1"/>
    <col min="18" max="18" width="13.125" style="170" customWidth="1"/>
    <col min="19" max="19" width="12.6875" style="170" customWidth="1"/>
    <col min="20" max="20" width="8.125" style="1" customWidth="1"/>
    <col min="21" max="16384" width="9" style="1"/>
  </cols>
  <sheetData>
    <row r="1" spans="1:20" ht="20.100000000000001" customHeight="1">
      <c r="A1" s="27"/>
      <c r="B1" s="27"/>
      <c r="C1" s="27"/>
      <c r="D1" s="134" t="s">
        <v>13</v>
      </c>
      <c r="E1" s="136" t="s">
        <v>435</v>
      </c>
      <c r="F1" s="167"/>
      <c r="G1" s="473"/>
      <c r="H1" s="473"/>
      <c r="I1" s="516"/>
      <c r="J1" s="168"/>
      <c r="K1" s="168"/>
      <c r="L1" s="171"/>
      <c r="M1" s="171"/>
      <c r="N1" s="171"/>
      <c r="O1" s="1187" t="s">
        <v>8</v>
      </c>
      <c r="P1" s="1187"/>
      <c r="Q1" s="1087" t="s">
        <v>439</v>
      </c>
      <c r="R1" s="1087"/>
      <c r="S1" s="1087"/>
      <c r="T1" s="1087"/>
    </row>
    <row r="2" spans="1:20" ht="20.100000000000001" customHeight="1">
      <c r="A2" s="27"/>
      <c r="B2" s="27"/>
      <c r="C2" s="27"/>
      <c r="D2" s="134" t="s">
        <v>14</v>
      </c>
      <c r="E2" s="136" t="s">
        <v>17</v>
      </c>
      <c r="F2" s="167"/>
      <c r="G2" s="473"/>
      <c r="H2" s="473"/>
      <c r="I2" s="516"/>
      <c r="J2" s="168"/>
      <c r="K2" s="168"/>
      <c r="L2" s="171"/>
      <c r="M2" s="171"/>
      <c r="N2" s="171"/>
      <c r="O2" s="1187"/>
      <c r="P2" s="1187"/>
      <c r="Q2" s="1087"/>
      <c r="R2" s="1087"/>
      <c r="S2" s="1087"/>
      <c r="T2" s="1087"/>
    </row>
    <row r="3" spans="1:20" ht="39.950000000000003" customHeight="1">
      <c r="A3" s="27"/>
      <c r="B3" s="27"/>
      <c r="C3" s="27"/>
      <c r="D3" s="134" t="s">
        <v>195</v>
      </c>
      <c r="E3" s="136" t="s">
        <v>443</v>
      </c>
      <c r="F3" s="167"/>
      <c r="G3" s="473"/>
      <c r="H3" s="473"/>
      <c r="I3" s="517"/>
      <c r="J3" s="168"/>
      <c r="K3" s="168"/>
      <c r="L3" s="172"/>
      <c r="M3" s="172"/>
      <c r="N3" s="172"/>
      <c r="O3" s="1187" t="s">
        <v>495</v>
      </c>
      <c r="P3" s="1187"/>
      <c r="Q3" s="1224" t="s">
        <v>442</v>
      </c>
      <c r="R3" s="1224"/>
      <c r="S3" s="1224"/>
      <c r="T3" s="1224"/>
    </row>
    <row r="4" spans="1:20" ht="24.95" customHeight="1">
      <c r="A4" s="27"/>
      <c r="B4" s="27"/>
      <c r="C4" s="27"/>
      <c r="D4" s="134" t="s">
        <v>437</v>
      </c>
      <c r="E4" s="1208" t="s">
        <v>887</v>
      </c>
      <c r="F4" s="1208"/>
      <c r="G4" s="1208"/>
      <c r="H4" s="1208"/>
      <c r="I4" s="1208"/>
      <c r="J4" s="1208"/>
      <c r="K4" s="1208"/>
      <c r="L4" s="173"/>
      <c r="M4" s="173"/>
      <c r="N4" s="173"/>
      <c r="O4" s="1187" t="s">
        <v>440</v>
      </c>
      <c r="P4" s="1187"/>
      <c r="Q4" s="1177">
        <f>'خلاصه مالي صورت وضعیت'!H4:H5</f>
        <v>1197477151532</v>
      </c>
      <c r="R4" s="1177"/>
      <c r="S4" s="177"/>
      <c r="T4" s="148"/>
    </row>
    <row r="5" spans="1:20" ht="24.95" customHeight="1">
      <c r="A5" s="150"/>
      <c r="B5" s="150"/>
      <c r="C5" s="150"/>
      <c r="D5" s="140" t="s">
        <v>438</v>
      </c>
      <c r="E5" s="1209" t="str">
        <f>'خلاصه مالي صورت وضعیت'!E5</f>
        <v>1399/06/02</v>
      </c>
      <c r="F5" s="1209"/>
      <c r="G5" s="1209"/>
      <c r="H5" s="1209"/>
      <c r="I5" s="1209"/>
      <c r="J5" s="1209"/>
      <c r="K5" s="1209"/>
      <c r="L5" s="174"/>
      <c r="M5" s="174"/>
      <c r="N5" s="174"/>
      <c r="O5" s="1188"/>
      <c r="P5" s="1188"/>
      <c r="Q5" s="1178"/>
      <c r="R5" s="1178"/>
      <c r="S5" s="178"/>
      <c r="T5" s="153"/>
    </row>
    <row r="6" spans="1:20"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0"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0" s="141" customFormat="1" ht="22.5">
      <c r="A8" s="18">
        <v>1</v>
      </c>
      <c r="B8" s="145" t="s">
        <v>174</v>
      </c>
      <c r="C8" s="289" t="s">
        <v>158</v>
      </c>
      <c r="D8" s="269">
        <f t="shared" ref="D8" si="0">E8*$Q$4</f>
        <v>38918007424.999992</v>
      </c>
      <c r="E8" s="270">
        <f>SUM(E9:E15)</f>
        <v>3.2500000000175361E-2</v>
      </c>
      <c r="F8" s="271"/>
      <c r="G8" s="543">
        <v>0.50773846153879754</v>
      </c>
      <c r="H8" s="505">
        <v>1.6501500000099957E-2</v>
      </c>
      <c r="I8" s="518">
        <v>19760169216.124992</v>
      </c>
      <c r="J8" s="547">
        <f>L8/D8</f>
        <v>0.98000000000010801</v>
      </c>
      <c r="K8" s="267">
        <f>SUM(K9:K15)</f>
        <v>3.1850000000175363E-2</v>
      </c>
      <c r="L8" s="312">
        <f>SUM(L9:L15)</f>
        <v>38139647276.504196</v>
      </c>
      <c r="M8" s="1202" t="s">
        <v>937</v>
      </c>
      <c r="N8" s="1203"/>
      <c r="O8" s="329">
        <f>(O9*$E$9+O10*$E$10+O11*$E$11+O12*$E$12+O13*$E$13+O14*$E$14+O15*$E$15)/$E$8</f>
        <v>0</v>
      </c>
      <c r="P8" s="331">
        <f>SUM(P9:P15)</f>
        <v>0</v>
      </c>
      <c r="Q8" s="259">
        <f>SUM(Q9:Q15)</f>
        <v>0</v>
      </c>
      <c r="R8" s="1225"/>
      <c r="S8" s="1226"/>
      <c r="T8" s="260"/>
    </row>
    <row r="9" spans="1:20" s="155" customFormat="1" ht="60" customHeight="1">
      <c r="A9" s="18">
        <v>2</v>
      </c>
      <c r="B9" s="122" t="s">
        <v>518</v>
      </c>
      <c r="C9" s="290" t="s">
        <v>496</v>
      </c>
      <c r="D9" s="272">
        <f t="shared" ref="D9:D15" si="1">E9*$Q$4</f>
        <v>13651239527.674799</v>
      </c>
      <c r="E9" s="273">
        <f>CBS!D95</f>
        <v>1.1400000000175367E-2</v>
      </c>
      <c r="F9" s="274"/>
      <c r="G9" s="519">
        <v>0.56999999999999995</v>
      </c>
      <c r="H9" s="507">
        <v>6.4980000000999585E-3</v>
      </c>
      <c r="I9" s="520">
        <v>7781206530.7746344</v>
      </c>
      <c r="J9" s="425">
        <v>1</v>
      </c>
      <c r="K9" s="275">
        <f t="shared" ref="K9:K15" si="2">J9*E9</f>
        <v>1.1400000000175367E-2</v>
      </c>
      <c r="L9" s="301">
        <f t="shared" ref="L9:L15" si="3">K9*$Q$4</f>
        <v>13651239527.674799</v>
      </c>
      <c r="M9" s="1204"/>
      <c r="N9" s="1205"/>
      <c r="O9" s="334"/>
      <c r="P9" s="332">
        <f>O9*$E9</f>
        <v>0</v>
      </c>
      <c r="Q9" s="264">
        <f>O9*$D9</f>
        <v>0</v>
      </c>
      <c r="R9" s="1227"/>
      <c r="S9" s="1228"/>
      <c r="T9" s="265"/>
    </row>
    <row r="10" spans="1:20" s="155" customFormat="1" ht="50.1" customHeight="1">
      <c r="A10" s="18">
        <v>3</v>
      </c>
      <c r="B10" s="122" t="s">
        <v>519</v>
      </c>
      <c r="C10" s="290" t="s">
        <v>497</v>
      </c>
      <c r="D10" s="272">
        <f t="shared" si="1"/>
        <v>8981078636.4899998</v>
      </c>
      <c r="E10" s="273">
        <f>CBS!D96</f>
        <v>7.4999999999999997E-3</v>
      </c>
      <c r="F10" s="274"/>
      <c r="G10" s="519">
        <v>0.56999999999999995</v>
      </c>
      <c r="H10" s="507">
        <v>4.2749999999999993E-3</v>
      </c>
      <c r="I10" s="520">
        <v>5119214822.7992992</v>
      </c>
      <c r="J10" s="425">
        <v>1</v>
      </c>
      <c r="K10" s="275">
        <f t="shared" si="2"/>
        <v>7.4999999999999997E-3</v>
      </c>
      <c r="L10" s="301">
        <f t="shared" si="3"/>
        <v>8981078636.4899998</v>
      </c>
      <c r="M10" s="1204"/>
      <c r="N10" s="1205"/>
      <c r="O10" s="334"/>
      <c r="P10" s="332">
        <f t="shared" ref="P10:P15" si="4">O10*$E10</f>
        <v>0</v>
      </c>
      <c r="Q10" s="264">
        <f t="shared" ref="Q10:Q15" si="5">O10*$D10</f>
        <v>0</v>
      </c>
      <c r="R10" s="1227"/>
      <c r="S10" s="1228"/>
      <c r="T10" s="265"/>
    </row>
    <row r="11" spans="1:20" s="155" customFormat="1" ht="50.1" customHeight="1">
      <c r="A11" s="18">
        <v>4</v>
      </c>
      <c r="B11" s="122" t="s">
        <v>520</v>
      </c>
      <c r="C11" s="290" t="s">
        <v>498</v>
      </c>
      <c r="D11" s="272">
        <f t="shared" si="1"/>
        <v>778360148.49580002</v>
      </c>
      <c r="E11" s="273">
        <f>CBS!D97</f>
        <v>6.4999999999999997E-4</v>
      </c>
      <c r="F11" s="274"/>
      <c r="G11" s="519">
        <v>0.56999999999999995</v>
      </c>
      <c r="H11" s="507">
        <v>3.7049999999999995E-4</v>
      </c>
      <c r="I11" s="520">
        <v>443665284.64260596</v>
      </c>
      <c r="J11" s="425">
        <v>1</v>
      </c>
      <c r="K11" s="275">
        <f t="shared" si="2"/>
        <v>6.4999999999999997E-4</v>
      </c>
      <c r="L11" s="301">
        <f t="shared" si="3"/>
        <v>778360148.49580002</v>
      </c>
      <c r="M11" s="1204"/>
      <c r="N11" s="1205"/>
      <c r="O11" s="334"/>
      <c r="P11" s="332">
        <f t="shared" si="4"/>
        <v>0</v>
      </c>
      <c r="Q11" s="264">
        <f t="shared" si="5"/>
        <v>0</v>
      </c>
      <c r="R11" s="1227"/>
      <c r="S11" s="1228"/>
      <c r="T11" s="265"/>
    </row>
    <row r="12" spans="1:20" s="155" customFormat="1" ht="50.1" customHeight="1">
      <c r="A12" s="18">
        <v>5</v>
      </c>
      <c r="B12" s="122" t="s">
        <v>521</v>
      </c>
      <c r="C12" s="290" t="s">
        <v>499</v>
      </c>
      <c r="D12" s="272">
        <f t="shared" si="1"/>
        <v>3472683739.4427996</v>
      </c>
      <c r="E12" s="273">
        <f>CBS!D98</f>
        <v>2.8999999999999998E-3</v>
      </c>
      <c r="F12" s="274"/>
      <c r="G12" s="519">
        <v>0.56999999999999995</v>
      </c>
      <c r="H12" s="507">
        <v>1.6529999999999997E-3</v>
      </c>
      <c r="I12" s="520">
        <v>1979429731.4823956</v>
      </c>
      <c r="J12" s="425">
        <v>1</v>
      </c>
      <c r="K12" s="275">
        <f t="shared" si="2"/>
        <v>2.8999999999999998E-3</v>
      </c>
      <c r="L12" s="301">
        <f t="shared" si="3"/>
        <v>3472683739.4427996</v>
      </c>
      <c r="M12" s="1204"/>
      <c r="N12" s="1205"/>
      <c r="O12" s="334"/>
      <c r="P12" s="332">
        <f t="shared" si="4"/>
        <v>0</v>
      </c>
      <c r="Q12" s="264">
        <f t="shared" si="5"/>
        <v>0</v>
      </c>
      <c r="R12" s="1227"/>
      <c r="S12" s="1228"/>
      <c r="T12" s="265"/>
    </row>
    <row r="13" spans="1:20" s="155" customFormat="1" ht="120" customHeight="1">
      <c r="A13" s="18">
        <v>6</v>
      </c>
      <c r="B13" s="122" t="s">
        <v>522</v>
      </c>
      <c r="C13" s="290" t="s">
        <v>500</v>
      </c>
      <c r="D13" s="272">
        <f t="shared" si="1"/>
        <v>7783601484.9579992</v>
      </c>
      <c r="E13" s="273">
        <f>CBS!D99</f>
        <v>6.4999999999999997E-3</v>
      </c>
      <c r="F13" s="274"/>
      <c r="G13" s="519">
        <v>0.56999999999999995</v>
      </c>
      <c r="H13" s="507">
        <v>3.7049999999999995E-3</v>
      </c>
      <c r="I13" s="520">
        <v>4436652846.4260588</v>
      </c>
      <c r="J13" s="425">
        <v>1</v>
      </c>
      <c r="K13" s="275">
        <f t="shared" si="2"/>
        <v>6.4999999999999997E-3</v>
      </c>
      <c r="L13" s="301">
        <f t="shared" si="3"/>
        <v>7783601484.9579992</v>
      </c>
      <c r="M13" s="1204"/>
      <c r="N13" s="1205"/>
      <c r="O13" s="334"/>
      <c r="P13" s="332">
        <f t="shared" si="4"/>
        <v>0</v>
      </c>
      <c r="Q13" s="264">
        <f t="shared" si="5"/>
        <v>0</v>
      </c>
      <c r="R13" s="1227"/>
      <c r="S13" s="1228"/>
      <c r="T13" s="265"/>
    </row>
    <row r="14" spans="1:20" s="155" customFormat="1" ht="50.1" customHeight="1">
      <c r="A14" s="18">
        <v>7</v>
      </c>
      <c r="B14" s="122" t="s">
        <v>523</v>
      </c>
      <c r="C14" s="290" t="s">
        <v>502</v>
      </c>
      <c r="D14" s="272">
        <f t="shared" si="1"/>
        <v>3472683739.4427996</v>
      </c>
      <c r="E14" s="273">
        <f>CBS!D100</f>
        <v>2.8999999999999998E-3</v>
      </c>
      <c r="F14" s="274"/>
      <c r="G14" s="519">
        <v>0</v>
      </c>
      <c r="H14" s="507">
        <v>0</v>
      </c>
      <c r="I14" s="520">
        <v>0</v>
      </c>
      <c r="J14" s="425">
        <v>1</v>
      </c>
      <c r="K14" s="275">
        <f t="shared" si="2"/>
        <v>2.8999999999999998E-3</v>
      </c>
      <c r="L14" s="301">
        <f t="shared" si="3"/>
        <v>3472683739.4427996</v>
      </c>
      <c r="M14" s="1204"/>
      <c r="N14" s="1205"/>
      <c r="O14" s="334"/>
      <c r="P14" s="332">
        <f t="shared" si="4"/>
        <v>0</v>
      </c>
      <c r="Q14" s="264">
        <f t="shared" si="5"/>
        <v>0</v>
      </c>
      <c r="R14" s="1227"/>
      <c r="S14" s="1228"/>
      <c r="T14" s="265"/>
    </row>
    <row r="15" spans="1:20" s="155" customFormat="1" ht="50.1" customHeight="1">
      <c r="A15" s="18">
        <v>8</v>
      </c>
      <c r="B15" s="122" t="s">
        <v>524</v>
      </c>
      <c r="C15" s="290" t="s">
        <v>501</v>
      </c>
      <c r="D15" s="272">
        <f t="shared" si="1"/>
        <v>778360148.49580002</v>
      </c>
      <c r="E15" s="273">
        <f>CBS!D101</f>
        <v>6.4999999999999997E-4</v>
      </c>
      <c r="F15" s="274"/>
      <c r="G15" s="519">
        <v>0</v>
      </c>
      <c r="H15" s="507">
        <v>0</v>
      </c>
      <c r="I15" s="520">
        <v>0</v>
      </c>
      <c r="J15" s="425">
        <v>0</v>
      </c>
      <c r="K15" s="275">
        <f t="shared" si="2"/>
        <v>0</v>
      </c>
      <c r="L15" s="301">
        <f t="shared" si="3"/>
        <v>0</v>
      </c>
      <c r="M15" s="1206"/>
      <c r="N15" s="1207"/>
      <c r="O15" s="334"/>
      <c r="P15" s="332">
        <f t="shared" si="4"/>
        <v>0</v>
      </c>
      <c r="Q15" s="264">
        <f t="shared" si="5"/>
        <v>0</v>
      </c>
      <c r="R15" s="1229"/>
      <c r="S15" s="1230"/>
      <c r="T15" s="265"/>
    </row>
    <row r="16" spans="1:20">
      <c r="A16" s="73"/>
      <c r="B16" s="73"/>
      <c r="C16" s="73"/>
      <c r="D16" s="169"/>
      <c r="E16" s="73"/>
      <c r="F16" s="73"/>
      <c r="G16" s="521"/>
      <c r="H16" s="522"/>
      <c r="I16" s="523"/>
      <c r="J16" s="84"/>
      <c r="K16" s="74"/>
      <c r="L16" s="175"/>
      <c r="M16" s="75"/>
      <c r="N16" s="75"/>
      <c r="O16" s="74"/>
      <c r="P16" s="74"/>
      <c r="Q16" s="176"/>
      <c r="R16" s="176"/>
      <c r="S16" s="176"/>
    </row>
  </sheetData>
  <mergeCells count="21">
    <mergeCell ref="A6:A7"/>
    <mergeCell ref="B6:B7"/>
    <mergeCell ref="C6:C7"/>
    <mergeCell ref="F6:F7"/>
    <mergeCell ref="T6:T7"/>
    <mergeCell ref="J6:L6"/>
    <mergeCell ref="O6:Q6"/>
    <mergeCell ref="G6:I6"/>
    <mergeCell ref="D7:E7"/>
    <mergeCell ref="Q1:T2"/>
    <mergeCell ref="Q3:T3"/>
    <mergeCell ref="E4:K4"/>
    <mergeCell ref="E5:K5"/>
    <mergeCell ref="O1:P2"/>
    <mergeCell ref="O3:P3"/>
    <mergeCell ref="O4:P5"/>
    <mergeCell ref="R8:S15"/>
    <mergeCell ref="M8:N15"/>
    <mergeCell ref="Q4:R5"/>
    <mergeCell ref="R6:S7"/>
    <mergeCell ref="M6:N7"/>
  </mergeCells>
  <printOptions horizontalCentered="1"/>
  <pageMargins left="0.2" right="0.2" top="0.59055118110236204" bottom="0.98425196850393704" header="0" footer="0.39370078740157499"/>
  <pageSetup paperSize="9" scale="55"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rightToLeft="1" topLeftCell="D1" zoomScaleNormal="100" zoomScaleSheetLayoutView="90" workbookViewId="0">
      <selection activeCell="R12" sqref="R12"/>
    </sheetView>
  </sheetViews>
  <sheetFormatPr defaultColWidth="9" defaultRowHeight="16.899999999999999"/>
  <cols>
    <col min="1" max="1" width="4" style="1" bestFit="1" customWidth="1"/>
    <col min="2" max="2" width="9" style="1"/>
    <col min="3" max="3" width="42.4375" style="1" customWidth="1"/>
    <col min="4" max="4" width="19.3125" style="1" bestFit="1" customWidth="1"/>
    <col min="5" max="5" width="7.875" style="1" customWidth="1"/>
    <col min="6" max="6" width="6.4375" style="1" customWidth="1"/>
    <col min="7" max="8" width="9" style="1"/>
    <col min="9" max="9" width="17.5625" style="1" bestFit="1" customWidth="1"/>
    <col min="10" max="11" width="9" style="1"/>
    <col min="12" max="12" width="17.5625" style="1" bestFit="1" customWidth="1"/>
    <col min="13" max="14" width="9" style="1"/>
    <col min="15" max="15" width="17.5625" style="1" bestFit="1" customWidth="1"/>
    <col min="16" max="16384" width="9" style="1"/>
  </cols>
  <sheetData>
    <row r="1" spans="1:16" ht="17.25" thickTop="1">
      <c r="A1" s="30"/>
      <c r="B1" s="58"/>
      <c r="C1" s="58"/>
      <c r="D1" s="58" t="s">
        <v>13</v>
      </c>
      <c r="E1" s="1111" t="s">
        <v>16</v>
      </c>
      <c r="F1" s="1111"/>
      <c r="G1" s="1111"/>
      <c r="H1" s="31"/>
      <c r="I1" s="58"/>
      <c r="J1" s="58"/>
      <c r="K1" s="1244" t="s">
        <v>11</v>
      </c>
      <c r="L1" s="1244"/>
      <c r="M1" s="1244" t="s">
        <v>12</v>
      </c>
      <c r="N1" s="1244"/>
      <c r="O1" s="58"/>
      <c r="P1" s="32"/>
    </row>
    <row r="2" spans="1:16">
      <c r="A2" s="33"/>
      <c r="D2" s="1" t="s">
        <v>14</v>
      </c>
      <c r="E2" s="1112" t="s">
        <v>17</v>
      </c>
      <c r="F2" s="1112"/>
      <c r="G2" s="1112"/>
      <c r="H2" s="27"/>
      <c r="I2" s="27"/>
      <c r="K2" s="1" t="s">
        <v>8</v>
      </c>
      <c r="L2" s="1112"/>
      <c r="M2" s="1112"/>
      <c r="P2" s="62"/>
    </row>
    <row r="3" spans="1:16" ht="18" customHeight="1">
      <c r="A3" s="33"/>
      <c r="D3" s="1" t="s">
        <v>15</v>
      </c>
      <c r="E3" s="1112"/>
      <c r="F3" s="1112"/>
      <c r="G3" s="1112"/>
      <c r="H3" s="27"/>
      <c r="I3" s="27"/>
      <c r="K3" s="1" t="s">
        <v>9</v>
      </c>
      <c r="M3" s="1" t="s">
        <v>10</v>
      </c>
      <c r="P3" s="62"/>
    </row>
    <row r="4" spans="1:16" ht="18" customHeight="1" thickBot="1">
      <c r="A4" s="34"/>
      <c r="B4" s="35"/>
      <c r="C4" s="35"/>
      <c r="D4" s="35"/>
      <c r="E4" s="35"/>
      <c r="F4" s="35"/>
      <c r="G4" s="35"/>
      <c r="H4" s="36"/>
      <c r="I4" s="36"/>
      <c r="J4" s="35"/>
      <c r="K4" s="35" t="s">
        <v>36</v>
      </c>
      <c r="L4" s="1243">
        <v>768000000000</v>
      </c>
      <c r="M4" s="1243"/>
      <c r="N4" s="1243"/>
      <c r="O4" s="35"/>
      <c r="P4" s="63"/>
    </row>
    <row r="5" spans="1:16" ht="18.75" customHeight="1" thickTop="1">
      <c r="A5" s="1248" t="s">
        <v>0</v>
      </c>
      <c r="B5" s="1115" t="s">
        <v>1</v>
      </c>
      <c r="C5" s="1115" t="s">
        <v>18</v>
      </c>
      <c r="D5" s="1115" t="s">
        <v>2</v>
      </c>
      <c r="E5" s="1115" t="s">
        <v>19</v>
      </c>
      <c r="F5" s="1250" t="s">
        <v>194</v>
      </c>
      <c r="G5" s="1231" t="s">
        <v>3</v>
      </c>
      <c r="H5" s="1231"/>
      <c r="I5" s="1231"/>
      <c r="J5" s="1232" t="s">
        <v>4</v>
      </c>
      <c r="K5" s="1232"/>
      <c r="L5" s="1232"/>
      <c r="M5" s="1233" t="s">
        <v>5</v>
      </c>
      <c r="N5" s="1233"/>
      <c r="O5" s="1234"/>
      <c r="P5" s="1235" t="s">
        <v>193</v>
      </c>
    </row>
    <row r="6" spans="1:16" ht="34.15" thickBot="1">
      <c r="A6" s="1249"/>
      <c r="B6" s="1116"/>
      <c r="C6" s="1116"/>
      <c r="D6" s="1116"/>
      <c r="E6" s="1116"/>
      <c r="F6" s="1251"/>
      <c r="G6" s="2" t="s">
        <v>32</v>
      </c>
      <c r="H6" s="2" t="s">
        <v>33</v>
      </c>
      <c r="I6" s="2" t="s">
        <v>34</v>
      </c>
      <c r="J6" s="3" t="s">
        <v>32</v>
      </c>
      <c r="K6" s="3" t="s">
        <v>33</v>
      </c>
      <c r="L6" s="3" t="s">
        <v>34</v>
      </c>
      <c r="M6" s="4" t="s">
        <v>32</v>
      </c>
      <c r="N6" s="4" t="s">
        <v>33</v>
      </c>
      <c r="O6" s="20" t="s">
        <v>34</v>
      </c>
      <c r="P6" s="1236"/>
    </row>
    <row r="7" spans="1:16" ht="20.25" thickBot="1">
      <c r="A7" s="21">
        <v>1</v>
      </c>
      <c r="B7" s="39" t="s">
        <v>89</v>
      </c>
      <c r="C7" s="41" t="s">
        <v>158</v>
      </c>
      <c r="D7" s="41">
        <f t="shared" ref="D7:D14" si="0">E7*$L$4/100</f>
        <v>52912269164.300018</v>
      </c>
      <c r="E7" s="37">
        <f>'جمع بندي صورت وضعیت'!E18</f>
        <v>6.8896183807682316</v>
      </c>
      <c r="F7" s="18"/>
      <c r="G7" s="49">
        <f>(G8*$E$8+G9*$E$9+G10*$E$10+G11*$E$11+G12*$E$12+G13*$E$13+G14*$E$14)/$E$7</f>
        <v>0</v>
      </c>
      <c r="H7" s="14">
        <f>SUM(H8:H14)</f>
        <v>0</v>
      </c>
      <c r="I7" s="67">
        <f>SUM(I8:I14)</f>
        <v>0</v>
      </c>
      <c r="J7" s="51">
        <f>(J8*$E$8+J9*$E$9+J10*$E$10+J11*$E$11+J12*$E$12+J13*$E$13+J14*$E$14)/$E$7</f>
        <v>0</v>
      </c>
      <c r="K7" s="5">
        <f>SUM(K8:K14)</f>
        <v>0</v>
      </c>
      <c r="L7" s="69">
        <f>SUM(L8:L14)</f>
        <v>0</v>
      </c>
      <c r="M7" s="52">
        <f>(M8*$E$8+M9*$E$9+M10*$E$10+M11*$E$11+M12*$E$12+M13*$E$13+M14*$E$14)/$E$7</f>
        <v>0</v>
      </c>
      <c r="N7" s="9">
        <f>SUM(N8:N14)</f>
        <v>0</v>
      </c>
      <c r="O7" s="72">
        <f>SUM(O8:O14)</f>
        <v>0</v>
      </c>
      <c r="P7" s="60"/>
    </row>
    <row r="8" spans="1:16" ht="34.15" thickBot="1">
      <c r="A8" s="21">
        <v>2</v>
      </c>
      <c r="B8" s="28" t="s">
        <v>132</v>
      </c>
      <c r="C8" s="43" t="s">
        <v>160</v>
      </c>
      <c r="D8" s="42">
        <f t="shared" si="0"/>
        <v>18519294207.504997</v>
      </c>
      <c r="E8" s="38">
        <v>2.41136643326888</v>
      </c>
      <c r="F8" s="18"/>
      <c r="G8" s="54"/>
      <c r="H8" s="53">
        <f>G8*$E8</f>
        <v>0</v>
      </c>
      <c r="I8" s="67">
        <f>G8*$D8</f>
        <v>0</v>
      </c>
      <c r="J8" s="54"/>
      <c r="K8" s="5">
        <f>J8*$E8</f>
        <v>0</v>
      </c>
      <c r="L8" s="69">
        <f>J8*$D8</f>
        <v>0</v>
      </c>
      <c r="M8" s="54"/>
      <c r="N8" s="9">
        <f>M8*$E8</f>
        <v>0</v>
      </c>
      <c r="O8" s="72">
        <f>M8*$D8</f>
        <v>0</v>
      </c>
      <c r="P8" s="59"/>
    </row>
    <row r="9" spans="1:16" ht="34.15" thickBot="1">
      <c r="A9" s="21">
        <v>3</v>
      </c>
      <c r="B9" s="28" t="s">
        <v>133</v>
      </c>
      <c r="C9" s="43" t="s">
        <v>161</v>
      </c>
      <c r="D9" s="42">
        <f t="shared" si="0"/>
        <v>12169821907.788979</v>
      </c>
      <c r="E9" s="38">
        <v>1.5846122275766901</v>
      </c>
      <c r="F9" s="18"/>
      <c r="G9" s="54"/>
      <c r="H9" s="53">
        <f t="shared" ref="H9:H29" si="1">G9*E9</f>
        <v>0</v>
      </c>
      <c r="I9" s="67">
        <f t="shared" ref="I9:I29" si="2">G9*D9</f>
        <v>0</v>
      </c>
      <c r="J9" s="54"/>
      <c r="K9" s="5">
        <f t="shared" ref="K9:K14" si="3">J9*$E9</f>
        <v>0</v>
      </c>
      <c r="L9" s="69">
        <f t="shared" ref="L9:L14" si="4">J9*$D9</f>
        <v>0</v>
      </c>
      <c r="M9" s="54"/>
      <c r="N9" s="9">
        <f t="shared" ref="N9:N14" si="5">M9*$E9</f>
        <v>0</v>
      </c>
      <c r="O9" s="72">
        <f t="shared" ref="O9:O14" si="6">M9*$D9</f>
        <v>0</v>
      </c>
      <c r="P9" s="59"/>
    </row>
    <row r="10" spans="1:16" ht="17.25" thickBot="1">
      <c r="A10" s="21">
        <v>4</v>
      </c>
      <c r="B10" s="28" t="s">
        <v>134</v>
      </c>
      <c r="C10" s="44" t="s">
        <v>154</v>
      </c>
      <c r="D10" s="42">
        <f t="shared" si="0"/>
        <v>1058245383.2860032</v>
      </c>
      <c r="E10" s="38">
        <v>0.13779236761536501</v>
      </c>
      <c r="F10" s="18"/>
      <c r="G10" s="54"/>
      <c r="H10" s="53">
        <f t="shared" si="1"/>
        <v>0</v>
      </c>
      <c r="I10" s="67">
        <f t="shared" si="2"/>
        <v>0</v>
      </c>
      <c r="J10" s="54"/>
      <c r="K10" s="5">
        <f t="shared" si="3"/>
        <v>0</v>
      </c>
      <c r="L10" s="69">
        <f t="shared" si="4"/>
        <v>0</v>
      </c>
      <c r="M10" s="54"/>
      <c r="N10" s="9">
        <f t="shared" si="5"/>
        <v>0</v>
      </c>
      <c r="O10" s="72">
        <f t="shared" si="6"/>
        <v>0</v>
      </c>
      <c r="P10" s="59"/>
    </row>
    <row r="11" spans="1:16" ht="17.25" thickBot="1">
      <c r="A11" s="21">
        <v>5</v>
      </c>
      <c r="B11" s="28" t="s">
        <v>135</v>
      </c>
      <c r="C11" s="44" t="s">
        <v>155</v>
      </c>
      <c r="D11" s="42">
        <f t="shared" si="0"/>
        <v>4762104224.7870026</v>
      </c>
      <c r="E11" s="38">
        <v>0.62006565426914095</v>
      </c>
      <c r="F11" s="18"/>
      <c r="G11" s="54"/>
      <c r="H11" s="53">
        <f t="shared" si="1"/>
        <v>0</v>
      </c>
      <c r="I11" s="67">
        <f t="shared" si="2"/>
        <v>0</v>
      </c>
      <c r="J11" s="54"/>
      <c r="K11" s="5">
        <f t="shared" si="3"/>
        <v>0</v>
      </c>
      <c r="L11" s="69">
        <f t="shared" si="4"/>
        <v>0</v>
      </c>
      <c r="M11" s="54"/>
      <c r="N11" s="9">
        <f t="shared" si="5"/>
        <v>0</v>
      </c>
      <c r="O11" s="72">
        <f t="shared" si="6"/>
        <v>0</v>
      </c>
      <c r="P11" s="59"/>
    </row>
    <row r="12" spans="1:16" ht="76.5" customHeight="1" thickBot="1">
      <c r="A12" s="21">
        <v>6</v>
      </c>
      <c r="B12" s="28" t="s">
        <v>136</v>
      </c>
      <c r="C12" s="43" t="s">
        <v>159</v>
      </c>
      <c r="D12" s="42">
        <f t="shared" si="0"/>
        <v>10582453832.860031</v>
      </c>
      <c r="E12" s="38">
        <v>1.37792367615365</v>
      </c>
      <c r="F12" s="18"/>
      <c r="G12" s="54"/>
      <c r="H12" s="53">
        <f t="shared" si="1"/>
        <v>0</v>
      </c>
      <c r="I12" s="67">
        <f t="shared" si="2"/>
        <v>0</v>
      </c>
      <c r="J12" s="54"/>
      <c r="K12" s="5">
        <f t="shared" si="3"/>
        <v>0</v>
      </c>
      <c r="L12" s="69">
        <f t="shared" si="4"/>
        <v>0</v>
      </c>
      <c r="M12" s="54"/>
      <c r="N12" s="9">
        <f t="shared" si="5"/>
        <v>0</v>
      </c>
      <c r="O12" s="72">
        <f t="shared" si="6"/>
        <v>0</v>
      </c>
      <c r="P12" s="59"/>
    </row>
    <row r="13" spans="1:16" ht="17.25" thickBot="1">
      <c r="A13" s="21">
        <v>7</v>
      </c>
      <c r="B13" s="28" t="s">
        <v>137</v>
      </c>
      <c r="C13" s="44" t="s">
        <v>156</v>
      </c>
      <c r="D13" s="42">
        <f t="shared" si="0"/>
        <v>4762104224.7870026</v>
      </c>
      <c r="E13" s="38">
        <v>0.62006565426914095</v>
      </c>
      <c r="F13" s="18"/>
      <c r="G13" s="54"/>
      <c r="H13" s="53">
        <f t="shared" si="1"/>
        <v>0</v>
      </c>
      <c r="I13" s="67">
        <f t="shared" si="2"/>
        <v>0</v>
      </c>
      <c r="J13" s="54"/>
      <c r="K13" s="5">
        <f t="shared" si="3"/>
        <v>0</v>
      </c>
      <c r="L13" s="69">
        <f t="shared" si="4"/>
        <v>0</v>
      </c>
      <c r="M13" s="54"/>
      <c r="N13" s="9">
        <f t="shared" si="5"/>
        <v>0</v>
      </c>
      <c r="O13" s="72">
        <f t="shared" si="6"/>
        <v>0</v>
      </c>
      <c r="P13" s="59"/>
    </row>
    <row r="14" spans="1:16" ht="17.25" thickBot="1">
      <c r="A14" s="21">
        <v>8</v>
      </c>
      <c r="B14" s="28" t="s">
        <v>138</v>
      </c>
      <c r="C14" s="44" t="s">
        <v>157</v>
      </c>
      <c r="D14" s="42">
        <f t="shared" si="0"/>
        <v>1058245383.2860032</v>
      </c>
      <c r="E14" s="40">
        <v>0.13779236761536501</v>
      </c>
      <c r="F14" s="18"/>
      <c r="G14" s="54"/>
      <c r="H14" s="53">
        <f t="shared" si="1"/>
        <v>0</v>
      </c>
      <c r="I14" s="67">
        <f t="shared" si="2"/>
        <v>0</v>
      </c>
      <c r="J14" s="54"/>
      <c r="K14" s="5">
        <f t="shared" si="3"/>
        <v>0</v>
      </c>
      <c r="L14" s="69">
        <f t="shared" si="4"/>
        <v>0</v>
      </c>
      <c r="M14" s="54"/>
      <c r="N14" s="9">
        <f t="shared" si="5"/>
        <v>0</v>
      </c>
      <c r="O14" s="72">
        <f t="shared" si="6"/>
        <v>0</v>
      </c>
      <c r="P14" s="59"/>
    </row>
    <row r="15" spans="1:16" ht="17.25" hidden="1" thickBot="1">
      <c r="A15" s="21">
        <v>11</v>
      </c>
      <c r="B15" s="28" t="s">
        <v>139</v>
      </c>
      <c r="C15" s="18"/>
      <c r="D15" s="18"/>
      <c r="E15" s="18"/>
      <c r="F15" s="18"/>
      <c r="G15" s="13"/>
      <c r="H15" s="14">
        <f t="shared" si="1"/>
        <v>0</v>
      </c>
      <c r="I15" s="14">
        <f t="shared" si="2"/>
        <v>0</v>
      </c>
      <c r="J15" s="5"/>
      <c r="K15" s="6">
        <f t="shared" ref="K15:K29" si="7">J15*E15</f>
        <v>0</v>
      </c>
      <c r="L15" s="6">
        <f t="shared" ref="L15:L29" si="8">J15*D15</f>
        <v>0</v>
      </c>
      <c r="M15" s="9"/>
      <c r="N15" s="10">
        <f t="shared" ref="N15:N29" si="9">M15*E15</f>
        <v>0</v>
      </c>
      <c r="O15" s="22">
        <f t="shared" ref="O15:O29" si="10">M15*D15</f>
        <v>0</v>
      </c>
    </row>
    <row r="16" spans="1:16" ht="17.25" hidden="1" thickBot="1">
      <c r="A16" s="21">
        <v>12</v>
      </c>
      <c r="B16" s="28" t="s">
        <v>140</v>
      </c>
      <c r="C16" s="18"/>
      <c r="D16" s="18"/>
      <c r="E16" s="18"/>
      <c r="F16" s="18"/>
      <c r="G16" s="13"/>
      <c r="H16" s="14">
        <f t="shared" si="1"/>
        <v>0</v>
      </c>
      <c r="I16" s="14">
        <f t="shared" si="2"/>
        <v>0</v>
      </c>
      <c r="J16" s="5"/>
      <c r="K16" s="6">
        <f t="shared" si="7"/>
        <v>0</v>
      </c>
      <c r="L16" s="6">
        <f t="shared" si="8"/>
        <v>0</v>
      </c>
      <c r="M16" s="9"/>
      <c r="N16" s="10">
        <f t="shared" si="9"/>
        <v>0</v>
      </c>
      <c r="O16" s="22">
        <f t="shared" si="10"/>
        <v>0</v>
      </c>
    </row>
    <row r="17" spans="1:16" ht="17.25" hidden="1" thickBot="1">
      <c r="A17" s="21">
        <v>13</v>
      </c>
      <c r="B17" s="28" t="s">
        <v>141</v>
      </c>
      <c r="C17" s="18"/>
      <c r="D17" s="18"/>
      <c r="E17" s="18"/>
      <c r="F17" s="18"/>
      <c r="G17" s="13"/>
      <c r="H17" s="14">
        <f t="shared" si="1"/>
        <v>0</v>
      </c>
      <c r="I17" s="14">
        <f t="shared" si="2"/>
        <v>0</v>
      </c>
      <c r="J17" s="5"/>
      <c r="K17" s="6">
        <f t="shared" si="7"/>
        <v>0</v>
      </c>
      <c r="L17" s="6">
        <f t="shared" si="8"/>
        <v>0</v>
      </c>
      <c r="M17" s="9"/>
      <c r="N17" s="10">
        <f t="shared" si="9"/>
        <v>0</v>
      </c>
      <c r="O17" s="22">
        <f t="shared" si="10"/>
        <v>0</v>
      </c>
    </row>
    <row r="18" spans="1:16" ht="17.25" hidden="1" thickBot="1">
      <c r="A18" s="21">
        <v>14</v>
      </c>
      <c r="B18" s="28" t="s">
        <v>142</v>
      </c>
      <c r="C18" s="18"/>
      <c r="D18" s="18"/>
      <c r="E18" s="18"/>
      <c r="F18" s="18"/>
      <c r="G18" s="13"/>
      <c r="H18" s="14">
        <f t="shared" si="1"/>
        <v>0</v>
      </c>
      <c r="I18" s="14">
        <f t="shared" si="2"/>
        <v>0</v>
      </c>
      <c r="J18" s="5"/>
      <c r="K18" s="6">
        <f t="shared" si="7"/>
        <v>0</v>
      </c>
      <c r="L18" s="6">
        <f t="shared" si="8"/>
        <v>0</v>
      </c>
      <c r="M18" s="9"/>
      <c r="N18" s="10">
        <f t="shared" si="9"/>
        <v>0</v>
      </c>
      <c r="O18" s="22">
        <f t="shared" si="10"/>
        <v>0</v>
      </c>
    </row>
    <row r="19" spans="1:16" ht="17.25" hidden="1" thickBot="1">
      <c r="A19" s="21">
        <v>15</v>
      </c>
      <c r="B19" s="28" t="s">
        <v>143</v>
      </c>
      <c r="C19" s="18"/>
      <c r="D19" s="18"/>
      <c r="E19" s="18"/>
      <c r="F19" s="18"/>
      <c r="G19" s="13"/>
      <c r="H19" s="14">
        <f t="shared" si="1"/>
        <v>0</v>
      </c>
      <c r="I19" s="14">
        <f t="shared" si="2"/>
        <v>0</v>
      </c>
      <c r="J19" s="5"/>
      <c r="K19" s="6">
        <f t="shared" si="7"/>
        <v>0</v>
      </c>
      <c r="L19" s="6">
        <f t="shared" si="8"/>
        <v>0</v>
      </c>
      <c r="M19" s="9"/>
      <c r="N19" s="10">
        <f t="shared" si="9"/>
        <v>0</v>
      </c>
      <c r="O19" s="22">
        <f t="shared" si="10"/>
        <v>0</v>
      </c>
    </row>
    <row r="20" spans="1:16" ht="17.25" hidden="1" thickBot="1">
      <c r="A20" s="21">
        <v>16</v>
      </c>
      <c r="B20" s="28" t="s">
        <v>144</v>
      </c>
      <c r="C20" s="18"/>
      <c r="D20" s="18"/>
      <c r="E20" s="18"/>
      <c r="F20" s="18"/>
      <c r="G20" s="13"/>
      <c r="H20" s="14">
        <f t="shared" si="1"/>
        <v>0</v>
      </c>
      <c r="I20" s="14">
        <f t="shared" si="2"/>
        <v>0</v>
      </c>
      <c r="J20" s="5"/>
      <c r="K20" s="6">
        <f t="shared" si="7"/>
        <v>0</v>
      </c>
      <c r="L20" s="6">
        <f t="shared" si="8"/>
        <v>0</v>
      </c>
      <c r="M20" s="9"/>
      <c r="N20" s="10">
        <f t="shared" si="9"/>
        <v>0</v>
      </c>
      <c r="O20" s="22">
        <f t="shared" si="10"/>
        <v>0</v>
      </c>
    </row>
    <row r="21" spans="1:16" ht="17.25" hidden="1" thickBot="1">
      <c r="A21" s="21">
        <v>17</v>
      </c>
      <c r="B21" s="28" t="s">
        <v>145</v>
      </c>
      <c r="C21" s="18"/>
      <c r="D21" s="18"/>
      <c r="E21" s="18"/>
      <c r="F21" s="18"/>
      <c r="G21" s="13"/>
      <c r="H21" s="14">
        <f t="shared" si="1"/>
        <v>0</v>
      </c>
      <c r="I21" s="14">
        <f t="shared" si="2"/>
        <v>0</v>
      </c>
      <c r="J21" s="5"/>
      <c r="K21" s="6">
        <f t="shared" si="7"/>
        <v>0</v>
      </c>
      <c r="L21" s="6">
        <f t="shared" si="8"/>
        <v>0</v>
      </c>
      <c r="M21" s="9"/>
      <c r="N21" s="10">
        <f t="shared" si="9"/>
        <v>0</v>
      </c>
      <c r="O21" s="22">
        <f t="shared" si="10"/>
        <v>0</v>
      </c>
    </row>
    <row r="22" spans="1:16" ht="17.25" hidden="1" thickBot="1">
      <c r="A22" s="21">
        <v>18</v>
      </c>
      <c r="B22" s="28" t="s">
        <v>146</v>
      </c>
      <c r="C22" s="18"/>
      <c r="D22" s="18"/>
      <c r="E22" s="18"/>
      <c r="F22" s="18"/>
      <c r="G22" s="13"/>
      <c r="H22" s="14">
        <f t="shared" si="1"/>
        <v>0</v>
      </c>
      <c r="I22" s="14">
        <f t="shared" si="2"/>
        <v>0</v>
      </c>
      <c r="J22" s="5"/>
      <c r="K22" s="6">
        <f t="shared" si="7"/>
        <v>0</v>
      </c>
      <c r="L22" s="6">
        <f t="shared" si="8"/>
        <v>0</v>
      </c>
      <c r="M22" s="9"/>
      <c r="N22" s="10">
        <f t="shared" si="9"/>
        <v>0</v>
      </c>
      <c r="O22" s="22">
        <f t="shared" si="10"/>
        <v>0</v>
      </c>
    </row>
    <row r="23" spans="1:16" ht="17.25" hidden="1" thickBot="1">
      <c r="A23" s="21">
        <v>19</v>
      </c>
      <c r="B23" s="28" t="s">
        <v>147</v>
      </c>
      <c r="C23" s="18"/>
      <c r="D23" s="18"/>
      <c r="E23" s="18"/>
      <c r="F23" s="18"/>
      <c r="G23" s="13"/>
      <c r="H23" s="14">
        <f t="shared" si="1"/>
        <v>0</v>
      </c>
      <c r="I23" s="14">
        <f t="shared" si="2"/>
        <v>0</v>
      </c>
      <c r="J23" s="5"/>
      <c r="K23" s="6">
        <f t="shared" si="7"/>
        <v>0</v>
      </c>
      <c r="L23" s="6">
        <f t="shared" si="8"/>
        <v>0</v>
      </c>
      <c r="M23" s="9"/>
      <c r="N23" s="10">
        <f t="shared" si="9"/>
        <v>0</v>
      </c>
      <c r="O23" s="22">
        <f t="shared" si="10"/>
        <v>0</v>
      </c>
    </row>
    <row r="24" spans="1:16" ht="17.25" hidden="1" thickBot="1">
      <c r="A24" s="21">
        <v>20</v>
      </c>
      <c r="B24" s="28" t="s">
        <v>148</v>
      </c>
      <c r="C24" s="18"/>
      <c r="D24" s="18"/>
      <c r="E24" s="18"/>
      <c r="F24" s="18"/>
      <c r="G24" s="13"/>
      <c r="H24" s="14">
        <f t="shared" si="1"/>
        <v>0</v>
      </c>
      <c r="I24" s="14">
        <f t="shared" si="2"/>
        <v>0</v>
      </c>
      <c r="J24" s="5"/>
      <c r="K24" s="6">
        <f t="shared" si="7"/>
        <v>0</v>
      </c>
      <c r="L24" s="6">
        <f t="shared" si="8"/>
        <v>0</v>
      </c>
      <c r="M24" s="9"/>
      <c r="N24" s="10">
        <f t="shared" si="9"/>
        <v>0</v>
      </c>
      <c r="O24" s="22">
        <f t="shared" si="10"/>
        <v>0</v>
      </c>
    </row>
    <row r="25" spans="1:16" ht="17.25" hidden="1" thickBot="1">
      <c r="A25" s="21">
        <v>21</v>
      </c>
      <c r="B25" s="28" t="s">
        <v>149</v>
      </c>
      <c r="C25" s="18"/>
      <c r="D25" s="18"/>
      <c r="E25" s="18"/>
      <c r="F25" s="18"/>
      <c r="G25" s="13"/>
      <c r="H25" s="14">
        <f t="shared" si="1"/>
        <v>0</v>
      </c>
      <c r="I25" s="14">
        <f t="shared" si="2"/>
        <v>0</v>
      </c>
      <c r="J25" s="5"/>
      <c r="K25" s="6">
        <f t="shared" si="7"/>
        <v>0</v>
      </c>
      <c r="L25" s="6">
        <f t="shared" si="8"/>
        <v>0</v>
      </c>
      <c r="M25" s="9"/>
      <c r="N25" s="10">
        <f t="shared" si="9"/>
        <v>0</v>
      </c>
      <c r="O25" s="22">
        <f t="shared" si="10"/>
        <v>0</v>
      </c>
    </row>
    <row r="26" spans="1:16" ht="17.25" hidden="1" thickBot="1">
      <c r="A26" s="21">
        <v>22</v>
      </c>
      <c r="B26" s="28" t="s">
        <v>150</v>
      </c>
      <c r="C26" s="18"/>
      <c r="D26" s="18"/>
      <c r="E26" s="18"/>
      <c r="F26" s="18"/>
      <c r="G26" s="13"/>
      <c r="H26" s="14">
        <f t="shared" si="1"/>
        <v>0</v>
      </c>
      <c r="I26" s="14">
        <f t="shared" si="2"/>
        <v>0</v>
      </c>
      <c r="J26" s="5"/>
      <c r="K26" s="6">
        <f t="shared" si="7"/>
        <v>0</v>
      </c>
      <c r="L26" s="6">
        <f t="shared" si="8"/>
        <v>0</v>
      </c>
      <c r="M26" s="9"/>
      <c r="N26" s="10">
        <f t="shared" si="9"/>
        <v>0</v>
      </c>
      <c r="O26" s="22">
        <f t="shared" si="10"/>
        <v>0</v>
      </c>
    </row>
    <row r="27" spans="1:16" ht="17.25" hidden="1" thickBot="1">
      <c r="A27" s="21">
        <v>23</v>
      </c>
      <c r="B27" s="28" t="s">
        <v>151</v>
      </c>
      <c r="C27" s="18"/>
      <c r="D27" s="18"/>
      <c r="E27" s="18"/>
      <c r="F27" s="18"/>
      <c r="G27" s="13"/>
      <c r="H27" s="14">
        <f t="shared" si="1"/>
        <v>0</v>
      </c>
      <c r="I27" s="14">
        <f t="shared" si="2"/>
        <v>0</v>
      </c>
      <c r="J27" s="5"/>
      <c r="K27" s="6">
        <f t="shared" si="7"/>
        <v>0</v>
      </c>
      <c r="L27" s="6">
        <f t="shared" si="8"/>
        <v>0</v>
      </c>
      <c r="M27" s="9"/>
      <c r="N27" s="10">
        <f t="shared" si="9"/>
        <v>0</v>
      </c>
      <c r="O27" s="22">
        <f t="shared" si="10"/>
        <v>0</v>
      </c>
    </row>
    <row r="28" spans="1:16" ht="17.25" hidden="1" thickBot="1">
      <c r="A28" s="21">
        <v>24</v>
      </c>
      <c r="B28" s="28" t="s">
        <v>152</v>
      </c>
      <c r="C28" s="18"/>
      <c r="D28" s="18"/>
      <c r="E28" s="18"/>
      <c r="F28" s="18"/>
      <c r="G28" s="13"/>
      <c r="H28" s="14">
        <f t="shared" si="1"/>
        <v>0</v>
      </c>
      <c r="I28" s="14">
        <f t="shared" si="2"/>
        <v>0</v>
      </c>
      <c r="J28" s="5"/>
      <c r="K28" s="6">
        <f t="shared" si="7"/>
        <v>0</v>
      </c>
      <c r="L28" s="6">
        <f t="shared" si="8"/>
        <v>0</v>
      </c>
      <c r="M28" s="9"/>
      <c r="N28" s="10">
        <f t="shared" si="9"/>
        <v>0</v>
      </c>
      <c r="O28" s="22">
        <f t="shared" si="10"/>
        <v>0</v>
      </c>
    </row>
    <row r="29" spans="1:16" ht="17.25" hidden="1" thickBot="1">
      <c r="A29" s="21">
        <v>25</v>
      </c>
      <c r="B29" s="28" t="s">
        <v>153</v>
      </c>
      <c r="C29" s="19"/>
      <c r="D29" s="19"/>
      <c r="E29" s="19"/>
      <c r="F29" s="19"/>
      <c r="G29" s="15"/>
      <c r="H29" s="16">
        <f t="shared" si="1"/>
        <v>0</v>
      </c>
      <c r="I29" s="16">
        <f t="shared" si="2"/>
        <v>0</v>
      </c>
      <c r="J29" s="7"/>
      <c r="K29" s="8">
        <f t="shared" si="7"/>
        <v>0</v>
      </c>
      <c r="L29" s="8">
        <f t="shared" si="8"/>
        <v>0</v>
      </c>
      <c r="M29" s="11"/>
      <c r="N29" s="12">
        <f t="shared" si="9"/>
        <v>0</v>
      </c>
      <c r="O29" s="23">
        <f t="shared" si="10"/>
        <v>0</v>
      </c>
    </row>
    <row r="30" spans="1:16" ht="18" customHeight="1">
      <c r="A30" s="1245" t="s">
        <v>7</v>
      </c>
      <c r="B30" s="1135"/>
      <c r="C30" s="1135"/>
      <c r="D30" s="1135"/>
      <c r="E30" s="1135"/>
      <c r="F30" s="1136"/>
      <c r="G30" s="1134" t="s">
        <v>6</v>
      </c>
      <c r="H30" s="1135"/>
      <c r="I30" s="1135"/>
      <c r="J30" s="1135"/>
      <c r="K30" s="1136"/>
      <c r="L30" s="1237" t="s">
        <v>5</v>
      </c>
      <c r="M30" s="1238"/>
      <c r="N30" s="1238"/>
      <c r="O30" s="1238"/>
      <c r="P30" s="1239"/>
    </row>
    <row r="31" spans="1:16">
      <c r="A31" s="1246"/>
      <c r="B31" s="1138"/>
      <c r="C31" s="1138"/>
      <c r="D31" s="1138"/>
      <c r="E31" s="1138"/>
      <c r="F31" s="1139"/>
      <c r="G31" s="1137"/>
      <c r="H31" s="1138"/>
      <c r="I31" s="1138"/>
      <c r="J31" s="1138"/>
      <c r="K31" s="1139"/>
      <c r="L31" s="1237"/>
      <c r="M31" s="1238"/>
      <c r="N31" s="1238"/>
      <c r="O31" s="1238"/>
      <c r="P31" s="1239"/>
    </row>
    <row r="32" spans="1:16">
      <c r="A32" s="1246"/>
      <c r="B32" s="1138"/>
      <c r="C32" s="1138"/>
      <c r="D32" s="1138"/>
      <c r="E32" s="1138"/>
      <c r="F32" s="1139"/>
      <c r="G32" s="1137"/>
      <c r="H32" s="1138"/>
      <c r="I32" s="1138"/>
      <c r="J32" s="1138"/>
      <c r="K32" s="1139"/>
      <c r="L32" s="1237"/>
      <c r="M32" s="1238"/>
      <c r="N32" s="1238"/>
      <c r="O32" s="1238"/>
      <c r="P32" s="1239"/>
    </row>
    <row r="33" spans="1:16" ht="17.25" thickBot="1">
      <c r="A33" s="1247"/>
      <c r="B33" s="1141"/>
      <c r="C33" s="1141"/>
      <c r="D33" s="1141"/>
      <c r="E33" s="1141"/>
      <c r="F33" s="1142"/>
      <c r="G33" s="1140"/>
      <c r="H33" s="1141"/>
      <c r="I33" s="1141"/>
      <c r="J33" s="1141"/>
      <c r="K33" s="1142"/>
      <c r="L33" s="1240"/>
      <c r="M33" s="1241"/>
      <c r="N33" s="1241"/>
      <c r="O33" s="1241"/>
      <c r="P33" s="1242"/>
    </row>
    <row r="34" spans="1:16" ht="17.25" thickTop="1">
      <c r="A34" s="24"/>
      <c r="B34" s="24"/>
      <c r="C34" s="24"/>
      <c r="D34" s="24"/>
      <c r="E34" s="24"/>
      <c r="F34" s="24"/>
      <c r="G34" s="25"/>
      <c r="H34" s="25"/>
      <c r="I34" s="25"/>
      <c r="J34" s="25"/>
      <c r="K34" s="25"/>
      <c r="L34" s="26"/>
      <c r="M34" s="26"/>
      <c r="N34" s="26"/>
      <c r="O34" s="26"/>
    </row>
  </sheetData>
  <mergeCells count="20">
    <mergeCell ref="A30:F33"/>
    <mergeCell ref="G30:K33"/>
    <mergeCell ref="A5:A6"/>
    <mergeCell ref="B5:B6"/>
    <mergeCell ref="C5:C6"/>
    <mergeCell ref="D5:D6"/>
    <mergeCell ref="E5:E6"/>
    <mergeCell ref="F5:F6"/>
    <mergeCell ref="L4:N4"/>
    <mergeCell ref="E1:G1"/>
    <mergeCell ref="K1:L1"/>
    <mergeCell ref="M1:N1"/>
    <mergeCell ref="E2:G2"/>
    <mergeCell ref="L2:M2"/>
    <mergeCell ref="E3:G3"/>
    <mergeCell ref="G5:I5"/>
    <mergeCell ref="J5:L5"/>
    <mergeCell ref="M5:O5"/>
    <mergeCell ref="P5:P6"/>
    <mergeCell ref="L30:P33"/>
  </mergeCells>
  <printOptions horizontalCentered="1"/>
  <pageMargins left="0" right="0" top="0" bottom="0" header="0" footer="0"/>
  <pageSetup paperSize="9" scale="90" orientation="landscape" verticalDpi="0" r:id="rId1"/>
  <drawing r:id="rId2"/>
  <legacyDrawing r:id="rId3"/>
  <oleObjects>
    <mc:AlternateContent xmlns:mc="http://schemas.openxmlformats.org/markup-compatibility/2006">
      <mc:Choice Requires="x14">
        <oleObject progId="PBrush" shapeId="9217" r:id="rId4">
          <objectPr defaultSize="0" autoPict="0" r:id="rId5">
            <anchor moveWithCells="1" sizeWithCells="1">
              <from>
                <xdr:col>2</xdr:col>
                <xdr:colOff>1552575</xdr:colOff>
                <xdr:row>0</xdr:row>
                <xdr:rowOff>133350</xdr:rowOff>
              </from>
              <to>
                <xdr:col>2</xdr:col>
                <xdr:colOff>2076450</xdr:colOff>
                <xdr:row>2</xdr:row>
                <xdr:rowOff>9525</xdr:rowOff>
              </to>
            </anchor>
          </objectPr>
        </oleObject>
      </mc:Choice>
      <mc:Fallback>
        <oleObject progId="PBrush" shapeId="9217" r:id="rId4"/>
      </mc:Fallback>
    </mc:AlternateContent>
    <mc:AlternateContent xmlns:mc="http://schemas.openxmlformats.org/markup-compatibility/2006">
      <mc:Choice Requires="x14">
        <oleObject progId="PBrush" shapeId="9218" r:id="rId6">
          <objectPr defaultSize="0" autoPict="0" r:id="rId7">
            <anchor moveWithCells="1" sizeWithCells="1">
              <from>
                <xdr:col>2</xdr:col>
                <xdr:colOff>2171700</xdr:colOff>
                <xdr:row>0</xdr:row>
                <xdr:rowOff>123825</xdr:rowOff>
              </from>
              <to>
                <xdr:col>2</xdr:col>
                <xdr:colOff>2724150</xdr:colOff>
                <xdr:row>2</xdr:row>
                <xdr:rowOff>0</xdr:rowOff>
              </to>
            </anchor>
          </objectPr>
        </oleObject>
      </mc:Choice>
      <mc:Fallback>
        <oleObject progId="PBrush" shapeId="9218" r:id="rId6"/>
      </mc:Fallback>
    </mc:AlternateContent>
    <mc:AlternateContent xmlns:mc="http://schemas.openxmlformats.org/markup-compatibility/2006">
      <mc:Choice Requires="x14">
        <oleObject progId="PBrush" shapeId="9219" r:id="rId8">
          <objectPr defaultSize="0" autoPict="0" r:id="rId9">
            <anchor moveWithCells="1" sizeWithCells="1">
              <from>
                <xdr:col>2</xdr:col>
                <xdr:colOff>1609725</xdr:colOff>
                <xdr:row>2</xdr:row>
                <xdr:rowOff>76200</xdr:rowOff>
              </from>
              <to>
                <xdr:col>2</xdr:col>
                <xdr:colOff>2009775</xdr:colOff>
                <xdr:row>3</xdr:row>
                <xdr:rowOff>171450</xdr:rowOff>
              </to>
            </anchor>
          </objectPr>
        </oleObject>
      </mc:Choice>
      <mc:Fallback>
        <oleObject progId="PBrush" shapeId="9219" r:id="rId8"/>
      </mc:Fallback>
    </mc:AlternateContent>
    <mc:AlternateContent xmlns:mc="http://schemas.openxmlformats.org/markup-compatibility/2006">
      <mc:Choice Requires="x14">
        <oleObject progId="PBrush" shapeId="9220" r:id="rId10">
          <objectPr defaultSize="0" autoPict="0" r:id="rId11">
            <anchor moveWithCells="1" sizeWithCells="1">
              <from>
                <xdr:col>2</xdr:col>
                <xdr:colOff>2190750</xdr:colOff>
                <xdr:row>2</xdr:row>
                <xdr:rowOff>76200</xdr:rowOff>
              </from>
              <to>
                <xdr:col>2</xdr:col>
                <xdr:colOff>2667000</xdr:colOff>
                <xdr:row>3</xdr:row>
                <xdr:rowOff>171450</xdr:rowOff>
              </to>
            </anchor>
          </objectPr>
        </oleObject>
      </mc:Choice>
      <mc:Fallback>
        <oleObject progId="PBrush" shapeId="9220" r:id="rId10"/>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V34"/>
  <sheetViews>
    <sheetView rightToLeft="1" view="pageBreakPreview" topLeftCell="A6" zoomScale="60" zoomScaleNormal="85" workbookViewId="0">
      <selection sqref="A1:T27"/>
    </sheetView>
  </sheetViews>
  <sheetFormatPr defaultColWidth="9" defaultRowHeight="21.4"/>
  <cols>
    <col min="1" max="1" width="6" style="1" customWidth="1"/>
    <col min="2" max="2" width="9.3125" style="1" customWidth="1"/>
    <col min="3" max="3" width="33.6875" style="1" customWidth="1"/>
    <col min="4" max="4" width="20.875" style="179" customWidth="1"/>
    <col min="5" max="5" width="12" style="1" customWidth="1"/>
    <col min="6" max="6" width="10.125" style="1" customWidth="1"/>
    <col min="7" max="7" width="12" style="500" customWidth="1"/>
    <col min="8" max="8" width="13.3125" style="500" customWidth="1"/>
    <col min="9" max="9" width="22.125" style="515" bestFit="1" customWidth="1"/>
    <col min="10" max="10" width="14.4375" style="1" customWidth="1"/>
    <col min="11" max="11" width="13.3125" style="1" customWidth="1"/>
    <col min="12" max="12" width="22.125" style="179" bestFit="1" customWidth="1"/>
    <col min="13" max="14" width="10.5625" style="1" customWidth="1"/>
    <col min="15" max="16" width="10.6875" style="1" hidden="1" customWidth="1"/>
    <col min="17" max="17" width="10.6875" style="179" hidden="1" customWidth="1"/>
    <col min="18" max="18" width="15.4375" style="170" hidden="1" customWidth="1"/>
    <col min="19" max="19" width="4.3125" style="170" hidden="1" customWidth="1"/>
    <col min="20" max="20" width="14.875" style="1" customWidth="1"/>
    <col min="21" max="21" width="10.6875" style="1" bestFit="1" customWidth="1"/>
    <col min="22" max="16384" width="9" style="1"/>
  </cols>
  <sheetData>
    <row r="1" spans="1:22" ht="20.100000000000001" customHeight="1">
      <c r="A1" s="27"/>
      <c r="B1" s="27"/>
      <c r="C1" s="27"/>
      <c r="D1" s="134" t="s">
        <v>13</v>
      </c>
      <c r="E1" s="136" t="s">
        <v>435</v>
      </c>
      <c r="F1" s="167"/>
      <c r="G1" s="473"/>
      <c r="H1" s="473"/>
      <c r="I1" s="501"/>
      <c r="J1" s="168"/>
      <c r="K1" s="168"/>
      <c r="L1" s="180"/>
      <c r="M1" s="180"/>
      <c r="N1" s="180"/>
      <c r="O1" s="1187" t="s">
        <v>8</v>
      </c>
      <c r="P1" s="1187"/>
      <c r="Q1" s="1087" t="s">
        <v>439</v>
      </c>
      <c r="R1" s="1087"/>
      <c r="S1" s="1087"/>
      <c r="T1" s="1087"/>
    </row>
    <row r="2" spans="1:22" ht="20.100000000000001" customHeight="1">
      <c r="A2" s="27"/>
      <c r="B2" s="27"/>
      <c r="C2" s="27"/>
      <c r="D2" s="134" t="s">
        <v>14</v>
      </c>
      <c r="E2" s="136" t="s">
        <v>17</v>
      </c>
      <c r="F2" s="167"/>
      <c r="G2" s="473"/>
      <c r="H2" s="473"/>
      <c r="I2" s="501"/>
      <c r="J2" s="168"/>
      <c r="K2" s="168"/>
      <c r="L2" s="180"/>
      <c r="M2" s="180"/>
      <c r="N2" s="180"/>
      <c r="O2" s="1187"/>
      <c r="P2" s="1187"/>
      <c r="Q2" s="1087"/>
      <c r="R2" s="1087"/>
      <c r="S2" s="1087"/>
      <c r="T2" s="1087"/>
    </row>
    <row r="3" spans="1:22" ht="39.950000000000003" customHeight="1">
      <c r="A3" s="27"/>
      <c r="B3" s="27"/>
      <c r="C3" s="27"/>
      <c r="D3" s="134" t="s">
        <v>195</v>
      </c>
      <c r="E3" s="136" t="s">
        <v>443</v>
      </c>
      <c r="F3" s="167"/>
      <c r="G3" s="473"/>
      <c r="H3" s="473"/>
      <c r="I3" s="502"/>
      <c r="J3" s="168"/>
      <c r="K3" s="168"/>
      <c r="L3" s="181"/>
      <c r="M3" s="181"/>
      <c r="N3" s="181"/>
      <c r="O3" s="1187" t="s">
        <v>495</v>
      </c>
      <c r="P3" s="1187"/>
      <c r="Q3" s="1224" t="s">
        <v>442</v>
      </c>
      <c r="R3" s="1224"/>
      <c r="S3" s="1224"/>
      <c r="T3" s="1224"/>
    </row>
    <row r="4" spans="1:22" ht="24.95" customHeight="1">
      <c r="A4" s="27"/>
      <c r="B4" s="27"/>
      <c r="C4" s="27"/>
      <c r="D4" s="134" t="s">
        <v>437</v>
      </c>
      <c r="E4" s="1208" t="str">
        <f>'خلاصه مالي صورت وضعیت'!E4</f>
        <v>قطعی</v>
      </c>
      <c r="F4" s="1208"/>
      <c r="G4" s="1208"/>
      <c r="H4" s="1208"/>
      <c r="I4" s="1208"/>
      <c r="J4" s="1208"/>
      <c r="K4" s="1208"/>
      <c r="L4" s="180"/>
      <c r="M4" s="180"/>
      <c r="N4" s="180"/>
      <c r="O4" s="1187" t="s">
        <v>440</v>
      </c>
      <c r="P4" s="1187"/>
      <c r="Q4" s="1177">
        <f>'خلاصه مالي صورت وضعیت'!H4:H5</f>
        <v>1197477151532</v>
      </c>
      <c r="R4" s="1177"/>
      <c r="T4" s="148"/>
    </row>
    <row r="5" spans="1:22" ht="24.95" customHeight="1">
      <c r="A5" s="27"/>
      <c r="B5" s="27"/>
      <c r="C5" s="27"/>
      <c r="D5" s="140" t="s">
        <v>438</v>
      </c>
      <c r="E5" s="1209" t="str">
        <f>'خلاصه مالي صورت وضعیت'!E5</f>
        <v>1399/06/02</v>
      </c>
      <c r="F5" s="1209"/>
      <c r="G5" s="1209"/>
      <c r="H5" s="1209"/>
      <c r="I5" s="1209"/>
      <c r="J5" s="1209"/>
      <c r="K5" s="1209"/>
      <c r="L5" s="180"/>
      <c r="M5" s="180"/>
      <c r="N5" s="180"/>
      <c r="O5" s="1188"/>
      <c r="P5" s="1188"/>
      <c r="Q5" s="1178"/>
      <c r="R5" s="1178"/>
      <c r="S5" s="177"/>
      <c r="T5" s="148"/>
    </row>
    <row r="6" spans="1:22"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946</v>
      </c>
    </row>
    <row r="7" spans="1:22"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2" s="285" customFormat="1" ht="35.1" customHeight="1">
      <c r="A8" s="18">
        <v>1</v>
      </c>
      <c r="B8" s="188">
        <v>1.5</v>
      </c>
      <c r="C8" s="256" t="s">
        <v>162</v>
      </c>
      <c r="D8" s="266">
        <f>D9+D16+D21+D27</f>
        <v>460789207909</v>
      </c>
      <c r="E8" s="277">
        <f>E9+E16+E21+E27</f>
        <v>0.38479999999957115</v>
      </c>
      <c r="F8" s="283"/>
      <c r="G8" s="546">
        <v>0.27742398720000555</v>
      </c>
      <c r="H8" s="503">
        <v>0.10675275027444314</v>
      </c>
      <c r="I8" s="504">
        <v>127833979316.84712</v>
      </c>
      <c r="J8" s="548">
        <f>L8/D8</f>
        <v>0.2724499193904491</v>
      </c>
      <c r="K8" s="278">
        <f>K9+K16+K21+K27</f>
        <v>0.10483872898132798</v>
      </c>
      <c r="L8" s="279">
        <f>L9+L16+L21+L27</f>
        <v>125541982550.79594</v>
      </c>
      <c r="M8" s="1257"/>
      <c r="N8" s="1258"/>
      <c r="O8" s="280">
        <f>Q8/D8</f>
        <v>0</v>
      </c>
      <c r="P8" s="335">
        <f>P9+P16+P21+P27</f>
        <v>0</v>
      </c>
      <c r="Q8" s="281">
        <f>Q9+Q16+Q21+Q27</f>
        <v>0</v>
      </c>
      <c r="R8" s="1252"/>
      <c r="S8" s="1253"/>
      <c r="T8" s="282"/>
      <c r="U8" s="284"/>
    </row>
    <row r="9" spans="1:22" s="141" customFormat="1" ht="27.95" customHeight="1">
      <c r="A9" s="18">
        <v>2</v>
      </c>
      <c r="B9" s="145" t="s">
        <v>210</v>
      </c>
      <c r="C9" s="289" t="s">
        <v>503</v>
      </c>
      <c r="D9" s="269">
        <f>D10+D13</f>
        <v>215543367784.00006</v>
      </c>
      <c r="E9" s="270">
        <f>E10+E13</f>
        <v>0.17999789600013938</v>
      </c>
      <c r="F9" s="271"/>
      <c r="G9" s="479">
        <v>0.26999999999999996</v>
      </c>
      <c r="H9" s="505">
        <v>4.8599431920037621E-2</v>
      </c>
      <c r="I9" s="506">
        <v>58196709301.680008</v>
      </c>
      <c r="J9" s="309"/>
      <c r="K9" s="267">
        <f>K10+K13</f>
        <v>5.3999368800041803E-2</v>
      </c>
      <c r="L9" s="268">
        <f>L10+L13</f>
        <v>64663010335.200012</v>
      </c>
      <c r="M9" s="1257"/>
      <c r="N9" s="1258"/>
      <c r="O9" s="258">
        <f>Q9/D9</f>
        <v>0</v>
      </c>
      <c r="P9" s="331">
        <f>P10+P13</f>
        <v>0</v>
      </c>
      <c r="Q9" s="259">
        <f>Q10+Q13</f>
        <v>0</v>
      </c>
      <c r="R9" s="1252"/>
      <c r="S9" s="1253"/>
      <c r="T9" s="260"/>
      <c r="V9" s="180"/>
    </row>
    <row r="10" spans="1:22" s="155" customFormat="1" ht="27.95" customHeight="1">
      <c r="A10" s="18">
        <v>3</v>
      </c>
      <c r="B10" s="122" t="s">
        <v>215</v>
      </c>
      <c r="C10" s="290" t="s">
        <v>504</v>
      </c>
      <c r="D10" s="272">
        <f>SUM(D11:D12)</f>
        <v>107771683892.00006</v>
      </c>
      <c r="E10" s="273">
        <f>SUM(E11:E12)</f>
        <v>8.9998948000069703E-2</v>
      </c>
      <c r="F10" s="274"/>
      <c r="G10" s="482">
        <v>0</v>
      </c>
      <c r="H10" s="507">
        <v>4.8599431920037621E-2</v>
      </c>
      <c r="I10" s="508">
        <v>58196709301.680008</v>
      </c>
      <c r="J10" s="310"/>
      <c r="K10" s="275">
        <f>SUM(K11:K12)</f>
        <v>5.3999368800041803E-2</v>
      </c>
      <c r="L10" s="276">
        <f>SUM(L11:L12)</f>
        <v>64663010335.200012</v>
      </c>
      <c r="M10" s="1257"/>
      <c r="N10" s="1258"/>
      <c r="O10" s="263"/>
      <c r="P10" s="332">
        <f>SUM(P11:P15)</f>
        <v>0</v>
      </c>
      <c r="Q10" s="264">
        <f>SUM(Q11:Q12)</f>
        <v>0</v>
      </c>
      <c r="R10" s="1252"/>
      <c r="S10" s="1253"/>
      <c r="T10" s="265"/>
    </row>
    <row r="11" spans="1:22" s="300" customFormat="1" ht="27.95" customHeight="1">
      <c r="A11" s="18">
        <v>4</v>
      </c>
      <c r="B11" s="291" t="s">
        <v>724</v>
      </c>
      <c r="C11" s="292" t="s">
        <v>731</v>
      </c>
      <c r="D11" s="293">
        <f t="shared" ref="D11:D15" si="0">E11*$Q$4</f>
        <v>64663010335.200012</v>
      </c>
      <c r="E11" s="294">
        <f>CBS!D105</f>
        <v>5.3999368800041803E-2</v>
      </c>
      <c r="F11" s="295">
        <v>22</v>
      </c>
      <c r="G11" s="485">
        <v>0.9</v>
      </c>
      <c r="H11" s="509">
        <v>4.8599431920037621E-2</v>
      </c>
      <c r="I11" s="510">
        <v>58196709301.680008</v>
      </c>
      <c r="J11" s="430">
        <v>1</v>
      </c>
      <c r="K11" s="296">
        <f>J11*E11</f>
        <v>5.3999368800041803E-2</v>
      </c>
      <c r="L11" s="297">
        <f>K11*$Q$4</f>
        <v>64663010335.200012</v>
      </c>
      <c r="M11" s="1257" t="s">
        <v>939</v>
      </c>
      <c r="N11" s="1258"/>
      <c r="O11" s="429"/>
      <c r="P11" s="336">
        <f>O11*E11</f>
        <v>0</v>
      </c>
      <c r="Q11" s="298">
        <f>P11*$Q$4</f>
        <v>0</v>
      </c>
      <c r="R11" s="1252"/>
      <c r="S11" s="1253"/>
      <c r="T11" s="299" t="s">
        <v>945</v>
      </c>
    </row>
    <row r="12" spans="1:22" s="300" customFormat="1" ht="27.95" customHeight="1">
      <c r="A12" s="18">
        <v>5</v>
      </c>
      <c r="B12" s="291" t="s">
        <v>725</v>
      </c>
      <c r="C12" s="292" t="s">
        <v>506</v>
      </c>
      <c r="D12" s="293">
        <f t="shared" si="0"/>
        <v>43108673556.800049</v>
      </c>
      <c r="E12" s="294">
        <f>CBS!D106</f>
        <v>3.5999579200027901E-2</v>
      </c>
      <c r="F12" s="295">
        <v>22</v>
      </c>
      <c r="G12" s="485">
        <v>0</v>
      </c>
      <c r="H12" s="509">
        <v>0</v>
      </c>
      <c r="I12" s="510">
        <v>0</v>
      </c>
      <c r="J12" s="430">
        <v>0</v>
      </c>
      <c r="K12" s="296">
        <f>J12*E12</f>
        <v>0</v>
      </c>
      <c r="L12" s="297">
        <f>K12*$Q$4</f>
        <v>0</v>
      </c>
      <c r="M12" s="1257"/>
      <c r="N12" s="1258"/>
      <c r="O12" s="431"/>
      <c r="P12" s="336">
        <f>O12*E12</f>
        <v>0</v>
      </c>
      <c r="Q12" s="298">
        <f>P12*$Q$4</f>
        <v>0</v>
      </c>
      <c r="R12" s="1252"/>
      <c r="S12" s="1253"/>
      <c r="T12" s="299"/>
    </row>
    <row r="13" spans="1:22" s="155" customFormat="1" ht="27.95" customHeight="1">
      <c r="A13" s="18">
        <v>6</v>
      </c>
      <c r="B13" s="122" t="s">
        <v>218</v>
      </c>
      <c r="C13" s="290" t="s">
        <v>507</v>
      </c>
      <c r="D13" s="272">
        <f>SUM(D14:D15)</f>
        <v>107771683892</v>
      </c>
      <c r="E13" s="273">
        <f>SUM(E14:E15)</f>
        <v>8.9998948000069662E-2</v>
      </c>
      <c r="F13" s="274"/>
      <c r="G13" s="482">
        <v>0</v>
      </c>
      <c r="H13" s="507">
        <v>0</v>
      </c>
      <c r="I13" s="508">
        <v>0</v>
      </c>
      <c r="J13" s="310"/>
      <c r="K13" s="275">
        <f>SUM(K14:K15)</f>
        <v>0</v>
      </c>
      <c r="L13" s="276">
        <f>SUM(L14:L15)</f>
        <v>0</v>
      </c>
      <c r="M13" s="1257"/>
      <c r="N13" s="1258"/>
      <c r="O13" s="263"/>
      <c r="P13" s="336"/>
      <c r="Q13" s="298">
        <f>Q14+Q15</f>
        <v>0</v>
      </c>
      <c r="R13" s="1252"/>
      <c r="S13" s="1253"/>
      <c r="T13" s="265"/>
    </row>
    <row r="14" spans="1:22" s="300" customFormat="1" ht="27.95" customHeight="1">
      <c r="A14" s="18">
        <v>7</v>
      </c>
      <c r="B14" s="291" t="s">
        <v>219</v>
      </c>
      <c r="C14" s="292" t="s">
        <v>508</v>
      </c>
      <c r="D14" s="293">
        <f t="shared" si="0"/>
        <v>64663010335.200005</v>
      </c>
      <c r="E14" s="294">
        <f>CBS!D108</f>
        <v>5.3999368800041796E-2</v>
      </c>
      <c r="F14" s="295">
        <v>22</v>
      </c>
      <c r="G14" s="485">
        <v>0</v>
      </c>
      <c r="H14" s="509">
        <v>0</v>
      </c>
      <c r="I14" s="510">
        <v>0</v>
      </c>
      <c r="J14" s="430">
        <v>0</v>
      </c>
      <c r="K14" s="296">
        <f>J14*E14</f>
        <v>0</v>
      </c>
      <c r="L14" s="297">
        <f>K14*$Q$4</f>
        <v>0</v>
      </c>
      <c r="M14" s="1257"/>
      <c r="N14" s="1258"/>
      <c r="O14" s="431"/>
      <c r="P14" s="336">
        <f t="shared" ref="P14:P15" si="1">O14*E14</f>
        <v>0</v>
      </c>
      <c r="Q14" s="298">
        <f>P14*$Q$4</f>
        <v>0</v>
      </c>
      <c r="R14" s="1252"/>
      <c r="S14" s="1253"/>
      <c r="T14" s="299"/>
    </row>
    <row r="15" spans="1:22" s="300" customFormat="1" ht="27.95" customHeight="1">
      <c r="A15" s="18">
        <v>8</v>
      </c>
      <c r="B15" s="291" t="s">
        <v>726</v>
      </c>
      <c r="C15" s="292" t="s">
        <v>510</v>
      </c>
      <c r="D15" s="293">
        <f t="shared" si="0"/>
        <v>43108673556.800003</v>
      </c>
      <c r="E15" s="294">
        <f>CBS!D109</f>
        <v>3.5999579200027866E-2</v>
      </c>
      <c r="F15" s="295">
        <v>22</v>
      </c>
      <c r="G15" s="485">
        <v>0</v>
      </c>
      <c r="H15" s="509">
        <v>0</v>
      </c>
      <c r="I15" s="510">
        <v>0</v>
      </c>
      <c r="J15" s="430">
        <v>0</v>
      </c>
      <c r="K15" s="296">
        <f>J15*E15</f>
        <v>0</v>
      </c>
      <c r="L15" s="297">
        <f>K15*$Q$4</f>
        <v>0</v>
      </c>
      <c r="M15" s="1257"/>
      <c r="N15" s="1258"/>
      <c r="O15" s="431"/>
      <c r="P15" s="336">
        <f t="shared" si="1"/>
        <v>0</v>
      </c>
      <c r="Q15" s="298">
        <f>P15*$Q$4</f>
        <v>0</v>
      </c>
      <c r="R15" s="1252"/>
      <c r="S15" s="1253"/>
      <c r="T15" s="299"/>
    </row>
    <row r="16" spans="1:22" s="141" customFormat="1" ht="27.95" customHeight="1">
      <c r="A16" s="18">
        <v>9</v>
      </c>
      <c r="B16" s="145" t="s">
        <v>211</v>
      </c>
      <c r="C16" s="289" t="s">
        <v>511</v>
      </c>
      <c r="D16" s="269">
        <v>71850861189</v>
      </c>
      <c r="E16" s="270">
        <f>D16/$Q$4</f>
        <v>6.0001863999724042E-2</v>
      </c>
      <c r="F16" s="271"/>
      <c r="G16" s="479">
        <v>0.35000000000000003</v>
      </c>
      <c r="H16" s="505">
        <v>2.1000652399903418E-2</v>
      </c>
      <c r="I16" s="506">
        <v>25147801416.150002</v>
      </c>
      <c r="J16" s="309"/>
      <c r="K16" s="267">
        <f>K17+K18+K19+K20</f>
        <v>2.1000652399903418E-2</v>
      </c>
      <c r="L16" s="268">
        <f>L17+L18+L19+L20</f>
        <v>25147801416.150002</v>
      </c>
      <c r="M16" s="1257"/>
      <c r="N16" s="1258"/>
      <c r="O16" s="344">
        <f>Q16/D16</f>
        <v>0</v>
      </c>
      <c r="P16" s="258">
        <f>P17+P18+P19+P20</f>
        <v>0</v>
      </c>
      <c r="Q16" s="259">
        <f>Q17+Q18+Q19+Q20</f>
        <v>0</v>
      </c>
      <c r="R16" s="1252"/>
      <c r="S16" s="1253"/>
      <c r="T16" s="260"/>
      <c r="V16" s="180"/>
    </row>
    <row r="17" spans="1:22" s="155" customFormat="1" ht="27.95" customHeight="1">
      <c r="A17" s="18">
        <v>10</v>
      </c>
      <c r="B17" s="122" t="s">
        <v>593</v>
      </c>
      <c r="C17" s="290" t="s">
        <v>734</v>
      </c>
      <c r="D17" s="272">
        <f>15%*$D$16</f>
        <v>10777629178.35</v>
      </c>
      <c r="E17" s="345">
        <f t="shared" ref="E17:E20" si="2">D17/$Q$4</f>
        <v>9.000279599958607E-3</v>
      </c>
      <c r="F17" s="346">
        <v>22</v>
      </c>
      <c r="G17" s="511">
        <v>1</v>
      </c>
      <c r="H17" s="507">
        <v>9.000279599958607E-3</v>
      </c>
      <c r="I17" s="512">
        <v>10777629178.35</v>
      </c>
      <c r="J17" s="450">
        <v>1</v>
      </c>
      <c r="K17" s="275">
        <f t="shared" ref="K17:K20" si="3">J17*E17</f>
        <v>9.000279599958607E-3</v>
      </c>
      <c r="L17" s="348">
        <f>J17*D17</f>
        <v>10777629178.35</v>
      </c>
      <c r="M17" s="1257" t="s">
        <v>940</v>
      </c>
      <c r="N17" s="1258"/>
      <c r="O17" s="263"/>
      <c r="P17" s="263">
        <f>O17*E17</f>
        <v>0</v>
      </c>
      <c r="Q17" s="264">
        <f>O17*D17</f>
        <v>0</v>
      </c>
      <c r="R17" s="1252"/>
      <c r="S17" s="1253"/>
      <c r="T17" s="265" t="s">
        <v>947</v>
      </c>
    </row>
    <row r="18" spans="1:22" s="155" customFormat="1" ht="42.75">
      <c r="A18" s="18">
        <v>11</v>
      </c>
      <c r="B18" s="122" t="s">
        <v>727</v>
      </c>
      <c r="C18" s="290" t="s">
        <v>735</v>
      </c>
      <c r="D18" s="272">
        <f>20%*$D$16</f>
        <v>14370172237.800001</v>
      </c>
      <c r="E18" s="345">
        <f t="shared" si="2"/>
        <v>1.2000372799944809E-2</v>
      </c>
      <c r="F18" s="346">
        <v>22</v>
      </c>
      <c r="G18" s="511">
        <v>1</v>
      </c>
      <c r="H18" s="507">
        <v>1.2000372799944809E-2</v>
      </c>
      <c r="I18" s="512">
        <v>14370172237.800001</v>
      </c>
      <c r="J18" s="450">
        <v>1</v>
      </c>
      <c r="K18" s="275">
        <f t="shared" si="3"/>
        <v>1.2000372799944809E-2</v>
      </c>
      <c r="L18" s="348">
        <f t="shared" ref="L18:L20" si="4">J18*D18</f>
        <v>14370172237.800001</v>
      </c>
      <c r="M18" s="1257" t="s">
        <v>940</v>
      </c>
      <c r="N18" s="1258"/>
      <c r="O18" s="263"/>
      <c r="P18" s="263">
        <f t="shared" ref="P18:P20" si="5">O18*E18</f>
        <v>0</v>
      </c>
      <c r="Q18" s="264">
        <f t="shared" ref="Q18:Q20" si="6">O18*D18</f>
        <v>0</v>
      </c>
      <c r="R18" s="1252"/>
      <c r="S18" s="1253"/>
      <c r="T18" s="265" t="s">
        <v>947</v>
      </c>
    </row>
    <row r="19" spans="1:22" s="155" customFormat="1" ht="27.95" customHeight="1">
      <c r="A19" s="18">
        <v>12</v>
      </c>
      <c r="B19" s="122" t="s">
        <v>737</v>
      </c>
      <c r="C19" s="290" t="s">
        <v>736</v>
      </c>
      <c r="D19" s="272">
        <f>35%*$D$16</f>
        <v>25147801416.149998</v>
      </c>
      <c r="E19" s="345">
        <f t="shared" si="2"/>
        <v>2.1000652399903411E-2</v>
      </c>
      <c r="F19" s="346">
        <v>22</v>
      </c>
      <c r="G19" s="511">
        <v>0</v>
      </c>
      <c r="H19" s="507">
        <v>0</v>
      </c>
      <c r="I19" s="512">
        <v>0</v>
      </c>
      <c r="J19" s="450">
        <v>0</v>
      </c>
      <c r="K19" s="275">
        <f t="shared" si="3"/>
        <v>0</v>
      </c>
      <c r="L19" s="348">
        <f t="shared" si="4"/>
        <v>0</v>
      </c>
      <c r="M19" s="1257"/>
      <c r="N19" s="1258"/>
      <c r="O19" s="263"/>
      <c r="P19" s="263">
        <f t="shared" si="5"/>
        <v>0</v>
      </c>
      <c r="Q19" s="264">
        <f t="shared" si="6"/>
        <v>0</v>
      </c>
      <c r="R19" s="1252"/>
      <c r="S19" s="1253"/>
      <c r="T19" s="265"/>
    </row>
    <row r="20" spans="1:22" s="155" customFormat="1" ht="52.5" customHeight="1">
      <c r="A20" s="18">
        <v>13</v>
      </c>
      <c r="B20" s="122" t="s">
        <v>738</v>
      </c>
      <c r="C20" s="290" t="s">
        <v>739</v>
      </c>
      <c r="D20" s="272">
        <f>30%*$D$16</f>
        <v>21555258356.700001</v>
      </c>
      <c r="E20" s="345">
        <f t="shared" si="2"/>
        <v>1.8000559199917214E-2</v>
      </c>
      <c r="F20" s="346">
        <v>22</v>
      </c>
      <c r="G20" s="511">
        <v>0</v>
      </c>
      <c r="H20" s="507">
        <v>0</v>
      </c>
      <c r="I20" s="512">
        <v>0</v>
      </c>
      <c r="J20" s="450">
        <v>0</v>
      </c>
      <c r="K20" s="275">
        <f t="shared" si="3"/>
        <v>0</v>
      </c>
      <c r="L20" s="348">
        <f t="shared" si="4"/>
        <v>0</v>
      </c>
      <c r="M20" s="1257"/>
      <c r="N20" s="1258"/>
      <c r="O20" s="263"/>
      <c r="P20" s="263">
        <f t="shared" si="5"/>
        <v>0</v>
      </c>
      <c r="Q20" s="264">
        <f t="shared" si="6"/>
        <v>0</v>
      </c>
      <c r="R20" s="1252"/>
      <c r="S20" s="1253"/>
      <c r="T20" s="265"/>
    </row>
    <row r="21" spans="1:22" s="141" customFormat="1" ht="27.95" customHeight="1">
      <c r="A21" s="18">
        <v>14</v>
      </c>
      <c r="B21" s="145" t="s">
        <v>212</v>
      </c>
      <c r="C21" s="289" t="s">
        <v>512</v>
      </c>
      <c r="D21" s="269">
        <f>SUM(D22:D26)</f>
        <v>116874574693.99995</v>
      </c>
      <c r="E21" s="270">
        <f>SUM(E22:E26)</f>
        <v>9.7600671999858807E-2</v>
      </c>
      <c r="F21" s="271"/>
      <c r="G21" s="479">
        <v>0.35647999999999996</v>
      </c>
      <c r="H21" s="505">
        <v>3.4792687554509663E-2</v>
      </c>
      <c r="I21" s="506">
        <v>41663448386.917099</v>
      </c>
      <c r="J21" s="309"/>
      <c r="K21" s="267">
        <f>SUM(K22:K26)</f>
        <v>2.9838707781382753E-2</v>
      </c>
      <c r="L21" s="268">
        <f>SUM(L22:L26)</f>
        <v>35731170799.445938</v>
      </c>
      <c r="M21" s="1257"/>
      <c r="N21" s="1258"/>
      <c r="O21" s="258">
        <f>Q21/D21</f>
        <v>0</v>
      </c>
      <c r="P21" s="258">
        <f>O21*E21</f>
        <v>0</v>
      </c>
      <c r="Q21" s="259">
        <f>SUM(Q22:Q26)</f>
        <v>0</v>
      </c>
      <c r="R21" s="1252"/>
      <c r="S21" s="1253"/>
      <c r="T21" s="260"/>
      <c r="V21" s="180"/>
    </row>
    <row r="22" spans="1:22" s="155" customFormat="1" ht="45" customHeight="1">
      <c r="A22" s="18">
        <v>15</v>
      </c>
      <c r="B22" s="122" t="s">
        <v>221</v>
      </c>
      <c r="C22" s="290" t="s">
        <v>513</v>
      </c>
      <c r="D22" s="272">
        <f t="shared" ref="D22:D27" si="7">E22*$Q$4</f>
        <v>5715166702.5365973</v>
      </c>
      <c r="E22" s="273">
        <f>0.0489*CBS!$D$112</f>
        <v>4.7726728607930952E-3</v>
      </c>
      <c r="F22" s="274">
        <v>13</v>
      </c>
      <c r="G22" s="511">
        <v>1</v>
      </c>
      <c r="H22" s="507">
        <v>4.7726728607930952E-3</v>
      </c>
      <c r="I22" s="508">
        <v>5715166702.5365973</v>
      </c>
      <c r="J22" s="450">
        <v>1</v>
      </c>
      <c r="K22" s="275">
        <f t="shared" ref="K22:K27" si="8">J22*E22</f>
        <v>4.7726728607930952E-3</v>
      </c>
      <c r="L22" s="276">
        <f t="shared" ref="L22:L27" si="9">K22*$Q$4</f>
        <v>5715166702.5365973</v>
      </c>
      <c r="M22" s="1259" t="s">
        <v>941</v>
      </c>
      <c r="N22" s="1260"/>
      <c r="O22" s="263"/>
      <c r="P22" s="263">
        <f>O22*E22</f>
        <v>0</v>
      </c>
      <c r="Q22" s="264">
        <f>P22*$Q$4</f>
        <v>0</v>
      </c>
      <c r="R22" s="1252"/>
      <c r="S22" s="1253"/>
      <c r="T22" s="265" t="s">
        <v>949</v>
      </c>
    </row>
    <row r="23" spans="1:22" s="155" customFormat="1" ht="46.5" customHeight="1">
      <c r="A23" s="18">
        <v>16</v>
      </c>
      <c r="B23" s="122" t="s">
        <v>222</v>
      </c>
      <c r="C23" s="290" t="s">
        <v>514</v>
      </c>
      <c r="D23" s="272">
        <f t="shared" si="7"/>
        <v>5715166702.5365973</v>
      </c>
      <c r="E23" s="273">
        <f>E22</f>
        <v>4.7726728607930952E-3</v>
      </c>
      <c r="F23" s="274">
        <v>13</v>
      </c>
      <c r="G23" s="511">
        <v>1</v>
      </c>
      <c r="H23" s="507">
        <v>4.7726728607930952E-3</v>
      </c>
      <c r="I23" s="508">
        <v>5715166702.5365973</v>
      </c>
      <c r="J23" s="450">
        <v>1</v>
      </c>
      <c r="K23" s="275">
        <f t="shared" si="8"/>
        <v>4.7726728607930952E-3</v>
      </c>
      <c r="L23" s="276">
        <f t="shared" si="9"/>
        <v>5715166702.5365973</v>
      </c>
      <c r="M23" s="1261" t="s">
        <v>948</v>
      </c>
      <c r="N23" s="1262"/>
      <c r="O23" s="263"/>
      <c r="P23" s="263">
        <f t="shared" ref="P23:P26" si="10">O23*E23</f>
        <v>0</v>
      </c>
      <c r="Q23" s="264">
        <f t="shared" ref="Q23:Q26" si="11">P23*$Q$4</f>
        <v>0</v>
      </c>
      <c r="R23" s="1252"/>
      <c r="S23" s="1253"/>
      <c r="T23" s="265" t="s">
        <v>949</v>
      </c>
    </row>
    <row r="24" spans="1:22" s="155" customFormat="1" ht="27.95" customHeight="1">
      <c r="A24" s="18">
        <v>17</v>
      </c>
      <c r="B24" s="122" t="s">
        <v>223</v>
      </c>
      <c r="C24" s="290" t="s">
        <v>515</v>
      </c>
      <c r="D24" s="272">
        <f t="shared" si="7"/>
        <v>5715166702.5365973</v>
      </c>
      <c r="E24" s="273">
        <f>E23</f>
        <v>4.7726728607930952E-3</v>
      </c>
      <c r="F24" s="274">
        <v>13</v>
      </c>
      <c r="G24" s="511">
        <v>1</v>
      </c>
      <c r="H24" s="507">
        <v>4.7726728607930952E-3</v>
      </c>
      <c r="I24" s="508">
        <v>5715166702.5365973</v>
      </c>
      <c r="J24" s="450">
        <v>1</v>
      </c>
      <c r="K24" s="275">
        <f t="shared" si="8"/>
        <v>4.7726728607930952E-3</v>
      </c>
      <c r="L24" s="276">
        <f t="shared" si="9"/>
        <v>5715166702.5365973</v>
      </c>
      <c r="M24" s="1257" t="s">
        <v>942</v>
      </c>
      <c r="N24" s="1258"/>
      <c r="O24" s="263"/>
      <c r="P24" s="263">
        <f t="shared" si="10"/>
        <v>0</v>
      </c>
      <c r="Q24" s="264">
        <f t="shared" si="11"/>
        <v>0</v>
      </c>
      <c r="R24" s="1252"/>
      <c r="S24" s="1253"/>
      <c r="T24" s="265" t="s">
        <v>950</v>
      </c>
    </row>
    <row r="25" spans="1:22" s="155" customFormat="1" ht="27.95" customHeight="1">
      <c r="A25" s="18">
        <v>18</v>
      </c>
      <c r="B25" s="122" t="s">
        <v>224</v>
      </c>
      <c r="C25" s="290" t="s">
        <v>525</v>
      </c>
      <c r="D25" s="272">
        <f t="shared" si="7"/>
        <v>5715166702.5365973</v>
      </c>
      <c r="E25" s="273">
        <f>E24</f>
        <v>4.7726728607930952E-3</v>
      </c>
      <c r="F25" s="274">
        <v>13</v>
      </c>
      <c r="G25" s="511">
        <v>1</v>
      </c>
      <c r="H25" s="507">
        <v>4.7726728607930952E-3</v>
      </c>
      <c r="I25" s="508">
        <v>5715166702.5365973</v>
      </c>
      <c r="J25" s="450">
        <v>1</v>
      </c>
      <c r="K25" s="275">
        <f t="shared" si="8"/>
        <v>4.7726728607930952E-3</v>
      </c>
      <c r="L25" s="276">
        <f t="shared" si="9"/>
        <v>5715166702.5365973</v>
      </c>
      <c r="M25" s="1257" t="s">
        <v>942</v>
      </c>
      <c r="N25" s="1258"/>
      <c r="O25" s="263"/>
      <c r="P25" s="263">
        <f t="shared" si="10"/>
        <v>0</v>
      </c>
      <c r="Q25" s="264">
        <f t="shared" si="11"/>
        <v>0</v>
      </c>
      <c r="R25" s="1252"/>
      <c r="S25" s="1253"/>
      <c r="T25" s="265" t="s">
        <v>950</v>
      </c>
    </row>
    <row r="26" spans="1:22" s="155" customFormat="1" ht="68.25" customHeight="1">
      <c r="A26" s="18">
        <v>19</v>
      </c>
      <c r="B26" s="122" t="s">
        <v>225</v>
      </c>
      <c r="C26" s="290" t="s">
        <v>516</v>
      </c>
      <c r="D26" s="272">
        <f t="shared" si="7"/>
        <v>94013907883.853561</v>
      </c>
      <c r="E26" s="273">
        <f>CBS!D112-'خدمات تامین'!E22-'خدمات تامین'!E23-'خدمات تامین'!E24-'خدمات تامین'!E25</f>
        <v>7.8509980556686426E-2</v>
      </c>
      <c r="F26" s="274">
        <v>13</v>
      </c>
      <c r="G26" s="513">
        <v>0.2</v>
      </c>
      <c r="H26" s="507">
        <v>1.5701996111337286E-2</v>
      </c>
      <c r="I26" s="508">
        <v>18802781576.770714</v>
      </c>
      <c r="J26" s="460">
        <v>0.13689999999999999</v>
      </c>
      <c r="K26" s="275">
        <f t="shared" si="8"/>
        <v>1.0748016338210372E-2</v>
      </c>
      <c r="L26" s="276">
        <f t="shared" si="9"/>
        <v>12870503989.299553</v>
      </c>
      <c r="M26" s="1259" t="s">
        <v>951</v>
      </c>
      <c r="N26" s="1260"/>
      <c r="O26" s="263"/>
      <c r="P26" s="263">
        <f t="shared" si="10"/>
        <v>0</v>
      </c>
      <c r="Q26" s="264">
        <f t="shared" si="11"/>
        <v>0</v>
      </c>
      <c r="R26" s="1252"/>
      <c r="S26" s="1253"/>
      <c r="T26" s="265" t="s">
        <v>952</v>
      </c>
    </row>
    <row r="27" spans="1:22" s="141" customFormat="1" ht="45" customHeight="1">
      <c r="A27" s="18">
        <v>20</v>
      </c>
      <c r="B27" s="145" t="s">
        <v>213</v>
      </c>
      <c r="C27" s="289" t="s">
        <v>517</v>
      </c>
      <c r="D27" s="269">
        <f t="shared" si="7"/>
        <v>56520404242</v>
      </c>
      <c r="E27" s="270">
        <f>CBS!D117</f>
        <v>4.7199567999848903E-2</v>
      </c>
      <c r="F27" s="271">
        <v>22</v>
      </c>
      <c r="G27" s="514">
        <v>0.05</v>
      </c>
      <c r="H27" s="505">
        <v>2.3599783999924454E-3</v>
      </c>
      <c r="I27" s="506">
        <v>2826020212.1000004</v>
      </c>
      <c r="J27" s="449">
        <v>0</v>
      </c>
      <c r="K27" s="267">
        <f t="shared" si="8"/>
        <v>0</v>
      </c>
      <c r="L27" s="268">
        <f t="shared" si="9"/>
        <v>0</v>
      </c>
      <c r="M27" s="1254" t="s">
        <v>953</v>
      </c>
      <c r="N27" s="1255"/>
      <c r="O27" s="1255"/>
      <c r="P27" s="1255"/>
      <c r="Q27" s="1255"/>
      <c r="R27" s="1255"/>
      <c r="S27" s="1255"/>
      <c r="T27" s="1256"/>
      <c r="V27" s="180"/>
    </row>
    <row r="28" spans="1:22">
      <c r="Q28" s="179">
        <f>Q26+Q25+Q24+Q23+Q22</f>
        <v>0</v>
      </c>
    </row>
    <row r="29" spans="1:22">
      <c r="D29" s="179">
        <f>+D27/51000</f>
        <v>1108243.2204313725</v>
      </c>
      <c r="Q29" s="179">
        <f>Q28+'خدمات اجرایی '!Q217</f>
        <v>0</v>
      </c>
    </row>
    <row r="30" spans="1:22">
      <c r="D30" s="179">
        <f>+D29/1.6</f>
        <v>692652.01276960783</v>
      </c>
    </row>
    <row r="31" spans="1:22">
      <c r="D31" s="179">
        <f>+D30/2</f>
        <v>346326.00638480391</v>
      </c>
    </row>
    <row r="32" spans="1:22">
      <c r="D32" s="179">
        <f>+D31*3.5</f>
        <v>1212141.0223468137</v>
      </c>
      <c r="E32" s="179">
        <f>+D30*3.5</f>
        <v>2424282.0446936274</v>
      </c>
    </row>
    <row r="33" spans="4:5">
      <c r="D33" s="179">
        <f>+D32*0.85</f>
        <v>1030319.8689947916</v>
      </c>
      <c r="E33" s="179">
        <f>+E32*0.85</f>
        <v>2060639.7379895833</v>
      </c>
    </row>
    <row r="34" spans="4:5">
      <c r="D34" s="179">
        <v>3000000</v>
      </c>
      <c r="E34" s="179">
        <v>3000001</v>
      </c>
    </row>
  </sheetData>
  <mergeCells count="58">
    <mergeCell ref="A6:A7"/>
    <mergeCell ref="B6:B7"/>
    <mergeCell ref="C6:C7"/>
    <mergeCell ref="D7:E7"/>
    <mergeCell ref="F6:F7"/>
    <mergeCell ref="J6:L6"/>
    <mergeCell ref="T6:T7"/>
    <mergeCell ref="O6:Q6"/>
    <mergeCell ref="E4:K4"/>
    <mergeCell ref="E5:K5"/>
    <mergeCell ref="O4:P5"/>
    <mergeCell ref="G6:I6"/>
    <mergeCell ref="M6:N7"/>
    <mergeCell ref="M8:N8"/>
    <mergeCell ref="M9:N9"/>
    <mergeCell ref="Q1:T2"/>
    <mergeCell ref="Q3:T3"/>
    <mergeCell ref="O1:P2"/>
    <mergeCell ref="O3:P3"/>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7:T27"/>
    <mergeCell ref="M25:N25"/>
    <mergeCell ref="M26:N26"/>
    <mergeCell ref="R8:S8"/>
    <mergeCell ref="R9:S9"/>
    <mergeCell ref="R10:S10"/>
    <mergeCell ref="R11:S11"/>
    <mergeCell ref="R12:S12"/>
    <mergeCell ref="R13:S13"/>
    <mergeCell ref="R14:S14"/>
    <mergeCell ref="R15:S15"/>
    <mergeCell ref="R16:S16"/>
    <mergeCell ref="R17:S17"/>
    <mergeCell ref="R18:S18"/>
    <mergeCell ref="R19:S19"/>
    <mergeCell ref="R20:S20"/>
    <mergeCell ref="R26:S26"/>
    <mergeCell ref="Q4:R5"/>
    <mergeCell ref="R21:S21"/>
    <mergeCell ref="R22:S22"/>
    <mergeCell ref="R23:S23"/>
    <mergeCell ref="R24:S24"/>
    <mergeCell ref="R25:S25"/>
    <mergeCell ref="R6:S7"/>
  </mergeCells>
  <printOptions horizontalCentered="1"/>
  <pageMargins left="0.2" right="0.2" top="0.59055118110236204" bottom="0.98425196850393704" header="0" footer="0.39370078740157499"/>
  <pageSetup paperSize="9" scale="52"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rowBreaks count="2" manualBreakCount="2">
    <brk id="15" max="15" man="1"/>
    <brk id="20" max="1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U217"/>
  <sheetViews>
    <sheetView rightToLeft="1" view="pageBreakPreview" topLeftCell="A57" zoomScale="70" zoomScaleNormal="70" zoomScaleSheetLayoutView="70" zoomScalePageLayoutView="75" workbookViewId="0">
      <selection activeCell="L70" sqref="L70"/>
    </sheetView>
  </sheetViews>
  <sheetFormatPr defaultColWidth="9" defaultRowHeight="24.75"/>
  <cols>
    <col min="1" max="1" width="4.875" style="1" customWidth="1"/>
    <col min="2" max="2" width="11" style="1" bestFit="1" customWidth="1"/>
    <col min="3" max="3" width="37.125" style="166" customWidth="1"/>
    <col min="4" max="4" width="20.3125" style="183" customWidth="1"/>
    <col min="5" max="5" width="10.6875" style="123" customWidth="1"/>
    <col min="6" max="6" width="10.125" style="1" customWidth="1"/>
    <col min="7" max="7" width="12" style="500" customWidth="1"/>
    <col min="8" max="8" width="11.4375" style="498" customWidth="1"/>
    <col min="9" max="9" width="22" style="499" customWidth="1"/>
    <col min="10" max="10" width="10" style="124" customWidth="1"/>
    <col min="11" max="11" width="11.4375" style="123" customWidth="1"/>
    <col min="12" max="12" width="22" style="422" customWidth="1"/>
    <col min="13" max="14" width="11.125" style="120" customWidth="1"/>
    <col min="15" max="16" width="10.6875" style="120" customWidth="1"/>
    <col min="17" max="17" width="10.6875" style="183" customWidth="1"/>
    <col min="18" max="19" width="5.3125" style="170" customWidth="1"/>
    <col min="20" max="20" width="14.4375" style="1" bestFit="1" customWidth="1"/>
    <col min="21" max="21" width="14.6875" style="1" customWidth="1"/>
    <col min="22" max="16384" width="9" style="1"/>
  </cols>
  <sheetData>
    <row r="1" spans="1:21" ht="20.100000000000001" customHeight="1">
      <c r="A1" s="27"/>
      <c r="B1" s="27"/>
      <c r="D1" s="134" t="s">
        <v>13</v>
      </c>
      <c r="E1" s="136" t="s">
        <v>435</v>
      </c>
      <c r="F1" s="167"/>
      <c r="G1" s="473"/>
      <c r="H1" s="474"/>
      <c r="I1" s="475"/>
      <c r="J1" s="168"/>
      <c r="K1" s="409"/>
      <c r="L1" s="441"/>
      <c r="M1" s="441"/>
      <c r="N1" s="441"/>
      <c r="O1" s="1187" t="s">
        <v>8</v>
      </c>
      <c r="P1" s="1187"/>
      <c r="Q1" s="1087" t="s">
        <v>439</v>
      </c>
      <c r="R1" s="1087"/>
      <c r="S1" s="1087"/>
      <c r="T1" s="1087"/>
    </row>
    <row r="2" spans="1:21" ht="20.100000000000001" customHeight="1">
      <c r="A2" s="27"/>
      <c r="B2" s="27"/>
      <c r="D2" s="134" t="s">
        <v>14</v>
      </c>
      <c r="E2" s="136" t="s">
        <v>17</v>
      </c>
      <c r="F2" s="167"/>
      <c r="G2" s="473"/>
      <c r="H2" s="474"/>
      <c r="I2" s="475"/>
      <c r="J2" s="168"/>
      <c r="K2" s="409"/>
      <c r="L2" s="441"/>
      <c r="M2" s="441"/>
      <c r="N2" s="441"/>
      <c r="O2" s="1187"/>
      <c r="P2" s="1187"/>
      <c r="Q2" s="1087"/>
      <c r="R2" s="1087"/>
      <c r="S2" s="1087"/>
      <c r="T2" s="1087"/>
    </row>
    <row r="3" spans="1:21" ht="39.950000000000003" customHeight="1">
      <c r="A3" s="27"/>
      <c r="B3" s="27"/>
      <c r="D3" s="134" t="s">
        <v>195</v>
      </c>
      <c r="E3" s="136" t="s">
        <v>443</v>
      </c>
      <c r="F3" s="167"/>
      <c r="G3" s="473"/>
      <c r="H3" s="474"/>
      <c r="I3" s="476"/>
      <c r="J3" s="168"/>
      <c r="K3" s="409"/>
      <c r="L3" s="442"/>
      <c r="M3" s="442"/>
      <c r="N3" s="442"/>
      <c r="O3" s="1187" t="s">
        <v>495</v>
      </c>
      <c r="P3" s="1187"/>
      <c r="Q3" s="1224" t="s">
        <v>442</v>
      </c>
      <c r="R3" s="1224"/>
      <c r="S3" s="1224"/>
      <c r="T3" s="1224"/>
    </row>
    <row r="4" spans="1:21" ht="20.25" customHeight="1">
      <c r="A4" s="27"/>
      <c r="B4" s="27"/>
      <c r="D4" s="134" t="s">
        <v>437</v>
      </c>
      <c r="E4" s="1208" t="str">
        <f>'خلاصه مالي صورت وضعیت'!E4</f>
        <v>قطعی</v>
      </c>
      <c r="F4" s="1208"/>
      <c r="G4" s="1208"/>
      <c r="H4" s="1208"/>
      <c r="I4" s="1208"/>
      <c r="J4" s="1208"/>
      <c r="K4" s="1208"/>
      <c r="L4" s="443"/>
      <c r="M4" s="443"/>
      <c r="N4" s="443"/>
      <c r="O4" s="1187" t="s">
        <v>440</v>
      </c>
      <c r="P4" s="1187"/>
      <c r="Q4" s="1273">
        <v>1197477151532</v>
      </c>
      <c r="R4" s="1273"/>
      <c r="S4" s="177"/>
      <c r="T4" s="148"/>
    </row>
    <row r="5" spans="1:21" ht="20.25" customHeight="1">
      <c r="A5" s="150"/>
      <c r="B5" s="150"/>
      <c r="C5" s="182"/>
      <c r="D5" s="140" t="s">
        <v>438</v>
      </c>
      <c r="E5" s="1209" t="str">
        <f>'خلاصه مالي صورت وضعیت'!E5</f>
        <v>1399/06/02</v>
      </c>
      <c r="F5" s="1209"/>
      <c r="G5" s="1209"/>
      <c r="H5" s="1209"/>
      <c r="I5" s="1209"/>
      <c r="J5" s="1209"/>
      <c r="K5" s="1209"/>
      <c r="L5" s="444"/>
      <c r="M5" s="444"/>
      <c r="N5" s="444"/>
      <c r="O5" s="1188"/>
      <c r="P5" s="1188"/>
      <c r="Q5" s="1274"/>
      <c r="R5" s="1274"/>
      <c r="S5" s="178"/>
      <c r="T5" s="153"/>
    </row>
    <row r="6" spans="1:21"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1"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1" s="285" customFormat="1" ht="39.950000000000003" customHeight="1">
      <c r="A8" s="18">
        <v>1</v>
      </c>
      <c r="B8" s="188">
        <v>1.6</v>
      </c>
      <c r="C8" s="256" t="s">
        <v>163</v>
      </c>
      <c r="D8" s="266">
        <f>D9+D51+D78+D120+D147+D189+D216</f>
        <v>601373025499.36487</v>
      </c>
      <c r="E8" s="277">
        <f>E9+E51+E78+E120+E147+E189+E216</f>
        <v>0.50219999999999532</v>
      </c>
      <c r="F8" s="283"/>
      <c r="G8" s="546">
        <v>0.59583797872660371</v>
      </c>
      <c r="H8" s="477">
        <v>0.29922983291649757</v>
      </c>
      <c r="I8" s="478">
        <v>358320887974.2439</v>
      </c>
      <c r="J8" s="548">
        <f>L8/D8</f>
        <v>0.72811497469654551</v>
      </c>
      <c r="K8" s="410">
        <f>K9+K51+K78+K120+K147+K189+K216</f>
        <v>0.32601169317778234</v>
      </c>
      <c r="L8" s="418">
        <f>L9+L51+L78+L120+L147+L189+L216</f>
        <v>437868705244.65509</v>
      </c>
      <c r="M8" s="1275" t="s">
        <v>956</v>
      </c>
      <c r="N8" s="1276"/>
      <c r="O8" s="280">
        <f>Q8/D8</f>
        <v>0</v>
      </c>
      <c r="P8" s="280">
        <f>P9+P51+P78+P120+P147+P189+P216</f>
        <v>0</v>
      </c>
      <c r="Q8" s="281">
        <f>Q9+Q51+Q78+Q120+Q147+Q189+Q216</f>
        <v>0</v>
      </c>
      <c r="R8" s="1265"/>
      <c r="S8" s="1266"/>
      <c r="T8" s="607" t="s">
        <v>952</v>
      </c>
      <c r="U8" s="397"/>
    </row>
    <row r="9" spans="1:21" s="141" customFormat="1" ht="35.1" customHeight="1">
      <c r="A9" s="18">
        <v>2</v>
      </c>
      <c r="B9" s="145" t="s">
        <v>206</v>
      </c>
      <c r="C9" s="289" t="s">
        <v>450</v>
      </c>
      <c r="D9" s="269">
        <f>D10+D20+D32</f>
        <v>156941355479.84875</v>
      </c>
      <c r="E9" s="270">
        <f>E10+E20+E32</f>
        <v>0.13106000000005416</v>
      </c>
      <c r="F9" s="271"/>
      <c r="G9" s="479">
        <v>0.65410000000035617</v>
      </c>
      <c r="H9" s="480">
        <v>8.5726346000082096E-2</v>
      </c>
      <c r="I9" s="481">
        <v>102655340619.42497</v>
      </c>
      <c r="J9" s="309">
        <f>L9/D9</f>
        <v>0.73784978200010831</v>
      </c>
      <c r="K9" s="411">
        <f>K10+K20+K32</f>
        <v>9.6702592428974166E-2</v>
      </c>
      <c r="L9" s="417">
        <f>L10+L20+L32</f>
        <v>115799144927.60791</v>
      </c>
      <c r="M9" s="1277"/>
      <c r="N9" s="1278"/>
      <c r="O9" s="343">
        <f>Q9/D9</f>
        <v>0</v>
      </c>
      <c r="P9" s="338">
        <f>P10+P20+P32</f>
        <v>0</v>
      </c>
      <c r="Q9" s="339">
        <f>Q10+Q20+Q32</f>
        <v>0</v>
      </c>
      <c r="R9" s="1265"/>
      <c r="S9" s="1266"/>
      <c r="T9" s="282"/>
      <c r="U9" s="328"/>
    </row>
    <row r="10" spans="1:21" s="155" customFormat="1" ht="30" customHeight="1">
      <c r="A10" s="18">
        <v>3</v>
      </c>
      <c r="B10" s="122" t="s">
        <v>226</v>
      </c>
      <c r="C10" s="290" t="s">
        <v>566</v>
      </c>
      <c r="D10" s="272">
        <f>SUM(D11:D19)</f>
        <v>58068301527.520065</v>
      </c>
      <c r="E10" s="273">
        <f>SUM(E11:E19)</f>
        <v>4.8492200000000013E-2</v>
      </c>
      <c r="F10" s="274"/>
      <c r="G10" s="482">
        <v>1</v>
      </c>
      <c r="H10" s="483">
        <v>4.8492200000000013E-2</v>
      </c>
      <c r="I10" s="484">
        <v>58068301527.520065</v>
      </c>
      <c r="J10" s="310">
        <f>L10/D10</f>
        <v>1</v>
      </c>
      <c r="K10" s="412">
        <f>SUM(K11:K19)</f>
        <v>4.8492200000000013E-2</v>
      </c>
      <c r="L10" s="419">
        <f>SUM(L11:L19)</f>
        <v>58068301527.520065</v>
      </c>
      <c r="M10" s="1277"/>
      <c r="N10" s="1278"/>
      <c r="O10" s="343">
        <f>Q10/D10</f>
        <v>0</v>
      </c>
      <c r="P10" s="340">
        <f>SUM(P11:P19)</f>
        <v>0</v>
      </c>
      <c r="Q10" s="341">
        <f>SUM(Q11:Q19)</f>
        <v>0</v>
      </c>
      <c r="R10" s="1265"/>
      <c r="S10" s="1266"/>
      <c r="T10" s="282"/>
    </row>
    <row r="11" spans="1:21" s="300" customFormat="1" ht="27.95" customHeight="1">
      <c r="A11" s="18">
        <v>4</v>
      </c>
      <c r="B11" s="291" t="s">
        <v>227</v>
      </c>
      <c r="C11" s="292" t="s">
        <v>527</v>
      </c>
      <c r="D11" s="293">
        <v>2903415076.3760033</v>
      </c>
      <c r="E11" s="294">
        <f>D11/$Q$4</f>
        <v>2.4246100000000007E-3</v>
      </c>
      <c r="F11" s="295">
        <v>3</v>
      </c>
      <c r="G11" s="485">
        <v>1</v>
      </c>
      <c r="H11" s="486">
        <v>2.4246100000000007E-3</v>
      </c>
      <c r="I11" s="487">
        <v>2903415076.3760033</v>
      </c>
      <c r="J11" s="430">
        <v>1</v>
      </c>
      <c r="K11" s="413">
        <f>J11*E11</f>
        <v>2.4246100000000007E-3</v>
      </c>
      <c r="L11" s="420">
        <f>K11*$Q$4</f>
        <v>2903415076.3760033</v>
      </c>
      <c r="M11" s="1277"/>
      <c r="N11" s="1278"/>
      <c r="O11" s="432"/>
      <c r="P11" s="336">
        <f>O11*E11</f>
        <v>0</v>
      </c>
      <c r="Q11" s="298">
        <f t="shared" ref="Q11:Q18" si="0">P11*$Q$4</f>
        <v>0</v>
      </c>
      <c r="R11" s="1265"/>
      <c r="S11" s="1266"/>
      <c r="T11" s="282"/>
    </row>
    <row r="12" spans="1:21" s="300" customFormat="1" ht="27.95" customHeight="1">
      <c r="A12" s="18">
        <v>5</v>
      </c>
      <c r="B12" s="291" t="s">
        <v>228</v>
      </c>
      <c r="C12" s="292" t="s">
        <v>528</v>
      </c>
      <c r="D12" s="293">
        <v>5806830152.7520065</v>
      </c>
      <c r="E12" s="294">
        <f t="shared" ref="E12:E19" si="1">D12/$Q$4</f>
        <v>4.8492200000000013E-3</v>
      </c>
      <c r="F12" s="295">
        <v>3</v>
      </c>
      <c r="G12" s="485">
        <v>1</v>
      </c>
      <c r="H12" s="486">
        <v>4.8492200000000013E-3</v>
      </c>
      <c r="I12" s="487">
        <v>5806830152.7520065</v>
      </c>
      <c r="J12" s="430">
        <v>1</v>
      </c>
      <c r="K12" s="413">
        <f>J12*E12</f>
        <v>4.8492200000000013E-3</v>
      </c>
      <c r="L12" s="420">
        <f t="shared" ref="L12:L50" si="2">K12*$Q$4</f>
        <v>5806830152.7520065</v>
      </c>
      <c r="M12" s="1277"/>
      <c r="N12" s="1278"/>
      <c r="O12" s="432"/>
      <c r="P12" s="336">
        <f t="shared" ref="P12:P19" si="3">O12*E12</f>
        <v>0</v>
      </c>
      <c r="Q12" s="298">
        <f t="shared" si="0"/>
        <v>0</v>
      </c>
      <c r="R12" s="1265"/>
      <c r="S12" s="1266"/>
      <c r="T12" s="282"/>
    </row>
    <row r="13" spans="1:21" s="300" customFormat="1" ht="27.95" customHeight="1">
      <c r="A13" s="18">
        <v>6</v>
      </c>
      <c r="B13" s="291" t="s">
        <v>229</v>
      </c>
      <c r="C13" s="292" t="s">
        <v>529</v>
      </c>
      <c r="D13" s="293">
        <v>5806830152.7520065</v>
      </c>
      <c r="E13" s="294">
        <f t="shared" si="1"/>
        <v>4.8492200000000013E-3</v>
      </c>
      <c r="F13" s="295">
        <v>3</v>
      </c>
      <c r="G13" s="485">
        <v>1</v>
      </c>
      <c r="H13" s="486">
        <v>4.8492200000000013E-3</v>
      </c>
      <c r="I13" s="487">
        <v>5806830152.7520065</v>
      </c>
      <c r="J13" s="430">
        <v>1</v>
      </c>
      <c r="K13" s="413">
        <f t="shared" ref="K13:K19" si="4">J13*E13</f>
        <v>4.8492200000000013E-3</v>
      </c>
      <c r="L13" s="420">
        <f t="shared" si="2"/>
        <v>5806830152.7520065</v>
      </c>
      <c r="M13" s="1277"/>
      <c r="N13" s="1278"/>
      <c r="O13" s="432"/>
      <c r="P13" s="336">
        <f t="shared" si="3"/>
        <v>0</v>
      </c>
      <c r="Q13" s="298">
        <f t="shared" si="0"/>
        <v>0</v>
      </c>
      <c r="R13" s="1265"/>
      <c r="S13" s="1266"/>
      <c r="T13" s="282"/>
    </row>
    <row r="14" spans="1:21" s="300" customFormat="1" ht="27.95" customHeight="1">
      <c r="A14" s="18">
        <v>7</v>
      </c>
      <c r="B14" s="291" t="s">
        <v>230</v>
      </c>
      <c r="C14" s="292" t="s">
        <v>530</v>
      </c>
      <c r="D14" s="293">
        <v>11613660305.504013</v>
      </c>
      <c r="E14" s="294">
        <f t="shared" si="1"/>
        <v>9.6984400000000026E-3</v>
      </c>
      <c r="F14" s="295">
        <v>14</v>
      </c>
      <c r="G14" s="485">
        <v>1</v>
      </c>
      <c r="H14" s="486">
        <v>9.6984400000000026E-3</v>
      </c>
      <c r="I14" s="487">
        <v>11613660305.504013</v>
      </c>
      <c r="J14" s="430">
        <v>1</v>
      </c>
      <c r="K14" s="413">
        <f t="shared" si="4"/>
        <v>9.6984400000000026E-3</v>
      </c>
      <c r="L14" s="420">
        <f t="shared" si="2"/>
        <v>11613660305.504013</v>
      </c>
      <c r="M14" s="1277"/>
      <c r="N14" s="1278"/>
      <c r="O14" s="432"/>
      <c r="P14" s="336">
        <f t="shared" si="3"/>
        <v>0</v>
      </c>
      <c r="Q14" s="298">
        <f t="shared" si="0"/>
        <v>0</v>
      </c>
      <c r="R14" s="1265"/>
      <c r="S14" s="1266"/>
      <c r="T14" s="282"/>
    </row>
    <row r="15" spans="1:21" s="300" customFormat="1" ht="27.95" customHeight="1">
      <c r="A15" s="18">
        <v>8</v>
      </c>
      <c r="B15" s="291" t="s">
        <v>231</v>
      </c>
      <c r="C15" s="292" t="s">
        <v>531</v>
      </c>
      <c r="D15" s="293">
        <v>8710245229.1280079</v>
      </c>
      <c r="E15" s="294">
        <f t="shared" si="1"/>
        <v>7.2738300000000002E-3</v>
      </c>
      <c r="F15" s="295">
        <v>3</v>
      </c>
      <c r="G15" s="485">
        <v>1</v>
      </c>
      <c r="H15" s="486">
        <v>7.2738300000000002E-3</v>
      </c>
      <c r="I15" s="487">
        <v>8710245229.1280079</v>
      </c>
      <c r="J15" s="430">
        <v>1</v>
      </c>
      <c r="K15" s="413">
        <f t="shared" si="4"/>
        <v>7.2738300000000002E-3</v>
      </c>
      <c r="L15" s="420">
        <f t="shared" si="2"/>
        <v>8710245229.1280079</v>
      </c>
      <c r="M15" s="1277"/>
      <c r="N15" s="1278"/>
      <c r="O15" s="432"/>
      <c r="P15" s="336">
        <f>O15*E15</f>
        <v>0</v>
      </c>
      <c r="Q15" s="298">
        <f t="shared" si="0"/>
        <v>0</v>
      </c>
      <c r="R15" s="1265"/>
      <c r="S15" s="1266"/>
      <c r="T15" s="282"/>
    </row>
    <row r="16" spans="1:21" s="300" customFormat="1" ht="27.95" customHeight="1">
      <c r="A16" s="18">
        <v>9</v>
      </c>
      <c r="B16" s="291" t="s">
        <v>232</v>
      </c>
      <c r="C16" s="292" t="s">
        <v>532</v>
      </c>
      <c r="D16" s="293">
        <v>6677854675.6648073</v>
      </c>
      <c r="E16" s="294">
        <f t="shared" si="1"/>
        <v>5.5766030000000012E-3</v>
      </c>
      <c r="F16" s="295">
        <v>14</v>
      </c>
      <c r="G16" s="485">
        <v>1</v>
      </c>
      <c r="H16" s="486">
        <v>5.5766030000000012E-3</v>
      </c>
      <c r="I16" s="487">
        <v>6677854675.6648073</v>
      </c>
      <c r="J16" s="430">
        <v>1</v>
      </c>
      <c r="K16" s="413">
        <f t="shared" si="4"/>
        <v>5.5766030000000012E-3</v>
      </c>
      <c r="L16" s="420">
        <f t="shared" si="2"/>
        <v>6677854675.6648073</v>
      </c>
      <c r="M16" s="1277"/>
      <c r="N16" s="1278"/>
      <c r="O16" s="432"/>
      <c r="P16" s="336">
        <f t="shared" si="3"/>
        <v>0</v>
      </c>
      <c r="Q16" s="298">
        <f t="shared" si="0"/>
        <v>0</v>
      </c>
      <c r="R16" s="1265"/>
      <c r="S16" s="1266"/>
      <c r="T16" s="282"/>
    </row>
    <row r="17" spans="1:21" s="300" customFormat="1" ht="27.95" customHeight="1">
      <c r="A17" s="18">
        <v>10</v>
      </c>
      <c r="B17" s="291" t="s">
        <v>233</v>
      </c>
      <c r="C17" s="292" t="s">
        <v>533</v>
      </c>
      <c r="D17" s="293">
        <v>4935805629.8392048</v>
      </c>
      <c r="E17" s="294">
        <f t="shared" si="1"/>
        <v>4.1218370000000006E-3</v>
      </c>
      <c r="F17" s="295">
        <v>3</v>
      </c>
      <c r="G17" s="485">
        <v>1</v>
      </c>
      <c r="H17" s="486">
        <v>4.1218370000000006E-3</v>
      </c>
      <c r="I17" s="487">
        <v>4935805629.8392048</v>
      </c>
      <c r="J17" s="430">
        <v>1</v>
      </c>
      <c r="K17" s="413">
        <f t="shared" si="4"/>
        <v>4.1218370000000006E-3</v>
      </c>
      <c r="L17" s="420">
        <f t="shared" si="2"/>
        <v>4935805629.8392048</v>
      </c>
      <c r="M17" s="1277"/>
      <c r="N17" s="1278"/>
      <c r="O17" s="432"/>
      <c r="P17" s="336">
        <f t="shared" si="3"/>
        <v>0</v>
      </c>
      <c r="Q17" s="298">
        <f t="shared" si="0"/>
        <v>0</v>
      </c>
      <c r="R17" s="1265"/>
      <c r="S17" s="1266"/>
      <c r="T17" s="282"/>
    </row>
    <row r="18" spans="1:21" s="300" customFormat="1" ht="27.95" customHeight="1">
      <c r="A18" s="18">
        <v>11</v>
      </c>
      <c r="B18" s="291" t="s">
        <v>234</v>
      </c>
      <c r="C18" s="292" t="s">
        <v>762</v>
      </c>
      <c r="D18" s="293">
        <v>8710245229.1280079</v>
      </c>
      <c r="E18" s="294">
        <f t="shared" si="1"/>
        <v>7.2738300000000002E-3</v>
      </c>
      <c r="F18" s="295">
        <v>14</v>
      </c>
      <c r="G18" s="485">
        <v>1</v>
      </c>
      <c r="H18" s="486">
        <v>7.2738300000000002E-3</v>
      </c>
      <c r="I18" s="487">
        <v>8710245229.1280079</v>
      </c>
      <c r="J18" s="430">
        <v>1</v>
      </c>
      <c r="K18" s="413">
        <f t="shared" si="4"/>
        <v>7.2738300000000002E-3</v>
      </c>
      <c r="L18" s="420">
        <f t="shared" si="2"/>
        <v>8710245229.1280079</v>
      </c>
      <c r="M18" s="1277"/>
      <c r="N18" s="1278"/>
      <c r="O18" s="432"/>
      <c r="P18" s="336">
        <f t="shared" si="3"/>
        <v>0</v>
      </c>
      <c r="Q18" s="298">
        <f t="shared" si="0"/>
        <v>0</v>
      </c>
      <c r="R18" s="1265"/>
      <c r="S18" s="1266"/>
      <c r="T18" s="282"/>
    </row>
    <row r="19" spans="1:21" s="300" customFormat="1" ht="27.95" customHeight="1">
      <c r="A19" s="18">
        <v>12</v>
      </c>
      <c r="B19" s="291" t="s">
        <v>696</v>
      </c>
      <c r="C19" s="292" t="s">
        <v>536</v>
      </c>
      <c r="D19" s="293">
        <v>2903415076.3760033</v>
      </c>
      <c r="E19" s="294">
        <f t="shared" si="1"/>
        <v>2.4246100000000007E-3</v>
      </c>
      <c r="F19" s="295">
        <v>3</v>
      </c>
      <c r="G19" s="485">
        <v>1</v>
      </c>
      <c r="H19" s="486">
        <v>2.4246100000000007E-3</v>
      </c>
      <c r="I19" s="487">
        <v>2903415076.3760033</v>
      </c>
      <c r="J19" s="430">
        <v>1</v>
      </c>
      <c r="K19" s="413">
        <f t="shared" si="4"/>
        <v>2.4246100000000007E-3</v>
      </c>
      <c r="L19" s="420">
        <f t="shared" si="2"/>
        <v>2903415076.3760033</v>
      </c>
      <c r="M19" s="1277"/>
      <c r="N19" s="1278"/>
      <c r="O19" s="433"/>
      <c r="P19" s="336">
        <f t="shared" si="3"/>
        <v>0</v>
      </c>
      <c r="Q19" s="298">
        <f>P19*$Q$4</f>
        <v>0</v>
      </c>
      <c r="R19" s="1265"/>
      <c r="S19" s="1266"/>
      <c r="T19" s="282"/>
    </row>
    <row r="20" spans="1:21" s="155" customFormat="1" ht="27.95" customHeight="1">
      <c r="A20" s="18">
        <v>13</v>
      </c>
      <c r="B20" s="122" t="s">
        <v>236</v>
      </c>
      <c r="C20" s="290" t="s">
        <v>539</v>
      </c>
      <c r="D20" s="272">
        <f>SUM(D21:D30)</f>
        <v>47082406644</v>
      </c>
      <c r="E20" s="273">
        <f>D20/$Q$4</f>
        <v>3.9318000000054136E-2</v>
      </c>
      <c r="F20" s="274"/>
      <c r="G20" s="482">
        <v>0.92522000000081384</v>
      </c>
      <c r="H20" s="483">
        <v>3.6377799960082079E-2</v>
      </c>
      <c r="I20" s="484">
        <v>43561584275.199997</v>
      </c>
      <c r="J20" s="310"/>
      <c r="K20" s="412">
        <f>SUM(K21:K31)</f>
        <v>3.9318000000054136E-2</v>
      </c>
      <c r="L20" s="419">
        <f>SUM(L21:L31)</f>
        <v>47082406644</v>
      </c>
      <c r="M20" s="1277"/>
      <c r="N20" s="1278"/>
      <c r="O20" s="343">
        <f>Q20/D20</f>
        <v>0</v>
      </c>
      <c r="P20" s="340">
        <f>SUM(P21:P31)</f>
        <v>0</v>
      </c>
      <c r="Q20" s="341">
        <f>SUM(Q21:Q31)</f>
        <v>0</v>
      </c>
      <c r="R20" s="1265"/>
      <c r="S20" s="1266"/>
      <c r="T20" s="282"/>
    </row>
    <row r="21" spans="1:21" s="300" customFormat="1" ht="27.95" customHeight="1">
      <c r="A21" s="18">
        <v>14</v>
      </c>
      <c r="B21" s="18" t="s">
        <v>237</v>
      </c>
      <c r="C21" s="45" t="s">
        <v>740</v>
      </c>
      <c r="D21" s="302">
        <v>1600801826</v>
      </c>
      <c r="E21" s="349">
        <f>D21/$Q$4</f>
        <v>1.3368120000886898E-3</v>
      </c>
      <c r="F21" s="305">
        <v>3</v>
      </c>
      <c r="G21" s="488">
        <v>0.96</v>
      </c>
      <c r="H21" s="486">
        <v>1.2833395200851421E-3</v>
      </c>
      <c r="I21" s="487">
        <v>1536769752.96</v>
      </c>
      <c r="J21" s="435">
        <v>1</v>
      </c>
      <c r="K21" s="413">
        <f t="shared" ref="K21:K29" si="5">J21*E21</f>
        <v>1.3368120000886898E-3</v>
      </c>
      <c r="L21" s="420">
        <f t="shared" si="2"/>
        <v>1600801826</v>
      </c>
      <c r="M21" s="1277"/>
      <c r="N21" s="1278"/>
      <c r="O21" s="434"/>
      <c r="P21" s="336">
        <f>O21*E21</f>
        <v>0</v>
      </c>
      <c r="Q21" s="298">
        <f>O21*D21</f>
        <v>0</v>
      </c>
      <c r="R21" s="1265"/>
      <c r="S21" s="1266"/>
      <c r="T21" s="282"/>
      <c r="U21" s="337"/>
    </row>
    <row r="22" spans="1:21" s="300" customFormat="1" ht="27.95" customHeight="1">
      <c r="A22" s="18">
        <v>15</v>
      </c>
      <c r="B22" s="18" t="s">
        <v>238</v>
      </c>
      <c r="C22" s="45" t="s">
        <v>537</v>
      </c>
      <c r="D22" s="302">
        <v>8474833196</v>
      </c>
      <c r="E22" s="349">
        <f t="shared" ref="E22:E30" si="6">D22/$Q$4</f>
        <v>7.077240000076551E-3</v>
      </c>
      <c r="F22" s="305">
        <v>8</v>
      </c>
      <c r="G22" s="488">
        <v>0.98</v>
      </c>
      <c r="H22" s="486">
        <v>6.9356952000750195E-3</v>
      </c>
      <c r="I22" s="487">
        <v>8305336532.0799999</v>
      </c>
      <c r="J22" s="435">
        <v>1</v>
      </c>
      <c r="K22" s="413">
        <f t="shared" si="5"/>
        <v>7.077240000076551E-3</v>
      </c>
      <c r="L22" s="420">
        <f t="shared" si="2"/>
        <v>8474833196</v>
      </c>
      <c r="M22" s="1277"/>
      <c r="N22" s="1278"/>
      <c r="O22" s="434"/>
      <c r="P22" s="336">
        <f t="shared" ref="P22:P30" si="7">O22*E22</f>
        <v>0</v>
      </c>
      <c r="Q22" s="298">
        <f>O22*D22</f>
        <v>0</v>
      </c>
      <c r="R22" s="1265"/>
      <c r="S22" s="1266"/>
      <c r="T22" s="282"/>
      <c r="U22" s="337"/>
    </row>
    <row r="23" spans="1:21" s="300" customFormat="1" ht="27.95" customHeight="1">
      <c r="A23" s="18">
        <v>16</v>
      </c>
      <c r="B23" s="18" t="s">
        <v>239</v>
      </c>
      <c r="C23" s="45" t="s">
        <v>741</v>
      </c>
      <c r="D23" s="302">
        <v>16949666392</v>
      </c>
      <c r="E23" s="349">
        <f t="shared" si="6"/>
        <v>1.4154480000153102E-2</v>
      </c>
      <c r="F23" s="305">
        <v>9</v>
      </c>
      <c r="G23" s="488">
        <v>0.98</v>
      </c>
      <c r="H23" s="486">
        <v>1.3871390400150039E-2</v>
      </c>
      <c r="I23" s="487">
        <v>16610673064.16</v>
      </c>
      <c r="J23" s="435">
        <v>1</v>
      </c>
      <c r="K23" s="413">
        <f t="shared" si="5"/>
        <v>1.4154480000153102E-2</v>
      </c>
      <c r="L23" s="420">
        <f t="shared" si="2"/>
        <v>16949666392</v>
      </c>
      <c r="M23" s="1277"/>
      <c r="N23" s="1278"/>
      <c r="O23" s="434"/>
      <c r="P23" s="336">
        <f t="shared" si="7"/>
        <v>0</v>
      </c>
      <c r="Q23" s="298">
        <f t="shared" ref="Q23:Q30" si="8">O23*D23</f>
        <v>0</v>
      </c>
      <c r="R23" s="1265"/>
      <c r="S23" s="1266"/>
      <c r="T23" s="282"/>
      <c r="U23" s="337"/>
    </row>
    <row r="24" spans="1:21" s="300" customFormat="1" ht="27.95" customHeight="1">
      <c r="A24" s="18">
        <v>17</v>
      </c>
      <c r="B24" s="18" t="s">
        <v>240</v>
      </c>
      <c r="C24" s="45" t="s">
        <v>742</v>
      </c>
      <c r="D24" s="302">
        <v>8474833196</v>
      </c>
      <c r="E24" s="349">
        <f t="shared" si="6"/>
        <v>7.077240000076551E-3</v>
      </c>
      <c r="F24" s="394" t="s">
        <v>877</v>
      </c>
      <c r="G24" s="488">
        <v>0.98</v>
      </c>
      <c r="H24" s="486">
        <v>6.9356952000750195E-3</v>
      </c>
      <c r="I24" s="487">
        <v>8305336532.0799999</v>
      </c>
      <c r="J24" s="435">
        <v>1</v>
      </c>
      <c r="K24" s="413">
        <f t="shared" si="5"/>
        <v>7.077240000076551E-3</v>
      </c>
      <c r="L24" s="420">
        <f t="shared" si="2"/>
        <v>8474833196</v>
      </c>
      <c r="M24" s="1277"/>
      <c r="N24" s="1278"/>
      <c r="O24" s="434"/>
      <c r="P24" s="336">
        <f t="shared" si="7"/>
        <v>0</v>
      </c>
      <c r="Q24" s="298">
        <f t="shared" si="8"/>
        <v>0</v>
      </c>
      <c r="R24" s="1265"/>
      <c r="S24" s="1266"/>
      <c r="T24" s="282"/>
      <c r="U24" s="337"/>
    </row>
    <row r="25" spans="1:21" s="300" customFormat="1" ht="27.95" customHeight="1">
      <c r="A25" s="18">
        <v>18</v>
      </c>
      <c r="B25" s="18" t="s">
        <v>241</v>
      </c>
      <c r="C25" s="408" t="s">
        <v>743</v>
      </c>
      <c r="D25" s="302">
        <v>470824066</v>
      </c>
      <c r="E25" s="349">
        <f t="shared" si="6"/>
        <v>3.9317999963310216E-4</v>
      </c>
      <c r="F25" s="305">
        <v>16</v>
      </c>
      <c r="G25" s="488">
        <v>0.98</v>
      </c>
      <c r="H25" s="486">
        <v>3.8531639964044012E-4</v>
      </c>
      <c r="I25" s="487">
        <v>461407584.68000001</v>
      </c>
      <c r="J25" s="435">
        <v>1</v>
      </c>
      <c r="K25" s="413">
        <f t="shared" si="5"/>
        <v>3.9317999963310216E-4</v>
      </c>
      <c r="L25" s="420">
        <f t="shared" si="2"/>
        <v>470824066</v>
      </c>
      <c r="M25" s="1277"/>
      <c r="N25" s="1278"/>
      <c r="O25" s="434"/>
      <c r="P25" s="336">
        <f t="shared" si="7"/>
        <v>0</v>
      </c>
      <c r="Q25" s="298">
        <f t="shared" si="8"/>
        <v>0</v>
      </c>
      <c r="R25" s="1265"/>
      <c r="S25" s="1266"/>
      <c r="T25" s="282"/>
      <c r="U25" s="337"/>
    </row>
    <row r="26" spans="1:21" s="300" customFormat="1" ht="42" customHeight="1">
      <c r="A26" s="18">
        <v>19</v>
      </c>
      <c r="B26" s="18" t="s">
        <v>242</v>
      </c>
      <c r="C26" s="408" t="s">
        <v>744</v>
      </c>
      <c r="D26" s="302">
        <v>847483320</v>
      </c>
      <c r="E26" s="349">
        <f t="shared" si="6"/>
        <v>7.0772400034169072E-4</v>
      </c>
      <c r="F26" s="305">
        <v>6</v>
      </c>
      <c r="G26" s="488">
        <v>0.93</v>
      </c>
      <c r="H26" s="486">
        <v>6.5818332031777243E-4</v>
      </c>
      <c r="I26" s="487">
        <v>788159487.60000002</v>
      </c>
      <c r="J26" s="435">
        <v>1</v>
      </c>
      <c r="K26" s="413">
        <f t="shared" si="5"/>
        <v>7.0772400034169072E-4</v>
      </c>
      <c r="L26" s="420">
        <f t="shared" si="2"/>
        <v>847483320</v>
      </c>
      <c r="M26" s="1263" t="s">
        <v>954</v>
      </c>
      <c r="N26" s="1264"/>
      <c r="O26" s="434"/>
      <c r="P26" s="336">
        <f t="shared" si="7"/>
        <v>0</v>
      </c>
      <c r="Q26" s="298">
        <f t="shared" si="8"/>
        <v>0</v>
      </c>
      <c r="R26" s="1265"/>
      <c r="S26" s="1266"/>
      <c r="T26" s="282"/>
      <c r="U26" s="337"/>
    </row>
    <row r="27" spans="1:21" s="300" customFormat="1" ht="27.95" customHeight="1">
      <c r="A27" s="18">
        <v>20</v>
      </c>
      <c r="B27" s="18" t="s">
        <v>243</v>
      </c>
      <c r="C27" s="408" t="s">
        <v>745</v>
      </c>
      <c r="D27" s="302">
        <v>2636614772</v>
      </c>
      <c r="E27" s="349">
        <f t="shared" si="6"/>
        <v>2.2018079999495859E-3</v>
      </c>
      <c r="F27" s="305">
        <v>11</v>
      </c>
      <c r="G27" s="488">
        <v>0</v>
      </c>
      <c r="H27" s="486">
        <v>0</v>
      </c>
      <c r="I27" s="487">
        <v>0</v>
      </c>
      <c r="J27" s="435">
        <v>1</v>
      </c>
      <c r="K27" s="413">
        <f t="shared" si="5"/>
        <v>2.2018079999495859E-3</v>
      </c>
      <c r="L27" s="420">
        <f t="shared" si="2"/>
        <v>2636614772</v>
      </c>
      <c r="M27" s="1263"/>
      <c r="N27" s="1264"/>
      <c r="O27" s="434"/>
      <c r="P27" s="336">
        <f t="shared" si="7"/>
        <v>0</v>
      </c>
      <c r="Q27" s="298">
        <f t="shared" si="8"/>
        <v>0</v>
      </c>
      <c r="R27" s="1265"/>
      <c r="S27" s="1266"/>
      <c r="T27" s="282"/>
      <c r="U27" s="337"/>
    </row>
    <row r="28" spans="1:21" s="300" customFormat="1" ht="27.95" customHeight="1">
      <c r="A28" s="18">
        <v>21</v>
      </c>
      <c r="B28" s="18" t="s">
        <v>244</v>
      </c>
      <c r="C28" s="408" t="s">
        <v>746</v>
      </c>
      <c r="D28" s="302">
        <v>3954922158</v>
      </c>
      <c r="E28" s="349">
        <f t="shared" si="6"/>
        <v>3.3027119999243788E-3</v>
      </c>
      <c r="F28" s="305">
        <v>3</v>
      </c>
      <c r="G28" s="488">
        <v>1</v>
      </c>
      <c r="H28" s="486">
        <v>3.3027119999243788E-3</v>
      </c>
      <c r="I28" s="487">
        <v>3954922158</v>
      </c>
      <c r="J28" s="435">
        <v>1</v>
      </c>
      <c r="K28" s="413">
        <f t="shared" si="5"/>
        <v>3.3027119999243788E-3</v>
      </c>
      <c r="L28" s="420">
        <f t="shared" si="2"/>
        <v>3954922158</v>
      </c>
      <c r="M28" s="1263"/>
      <c r="N28" s="1264"/>
      <c r="O28" s="434"/>
      <c r="P28" s="336">
        <f t="shared" si="7"/>
        <v>0</v>
      </c>
      <c r="Q28" s="298">
        <f t="shared" si="8"/>
        <v>0</v>
      </c>
      <c r="R28" s="1265"/>
      <c r="S28" s="1266"/>
      <c r="T28" s="299"/>
      <c r="U28" s="337"/>
    </row>
    <row r="29" spans="1:21" s="300" customFormat="1" ht="27.95" customHeight="1">
      <c r="A29" s="18">
        <v>22</v>
      </c>
      <c r="B29" s="18" t="s">
        <v>609</v>
      </c>
      <c r="C29" s="408" t="s">
        <v>747</v>
      </c>
      <c r="D29" s="302">
        <v>1318307386</v>
      </c>
      <c r="E29" s="349">
        <f t="shared" si="6"/>
        <v>1.1009039999747929E-3</v>
      </c>
      <c r="F29" s="305">
        <v>20</v>
      </c>
      <c r="G29" s="488">
        <v>0.98</v>
      </c>
      <c r="H29" s="486">
        <v>1.078885919975297E-3</v>
      </c>
      <c r="I29" s="487">
        <v>1291941238.28</v>
      </c>
      <c r="J29" s="435">
        <v>1</v>
      </c>
      <c r="K29" s="413">
        <f t="shared" si="5"/>
        <v>1.1009039999747929E-3</v>
      </c>
      <c r="L29" s="420">
        <f t="shared" si="2"/>
        <v>1318307386</v>
      </c>
      <c r="M29" s="1263"/>
      <c r="N29" s="1264"/>
      <c r="O29" s="434"/>
      <c r="P29" s="336">
        <f t="shared" si="7"/>
        <v>0</v>
      </c>
      <c r="Q29" s="298">
        <f t="shared" si="8"/>
        <v>0</v>
      </c>
      <c r="R29" s="1265"/>
      <c r="S29" s="1266"/>
      <c r="T29" s="299" t="s">
        <v>955</v>
      </c>
      <c r="U29" s="337"/>
    </row>
    <row r="30" spans="1:21" s="300" customFormat="1" ht="27.95" customHeight="1">
      <c r="A30" s="18">
        <v>23</v>
      </c>
      <c r="B30" s="18" t="s">
        <v>610</v>
      </c>
      <c r="C30" s="408" t="s">
        <v>536</v>
      </c>
      <c r="D30" s="302">
        <v>2354120332</v>
      </c>
      <c r="E30" s="349">
        <f t="shared" si="6"/>
        <v>1.9658999998356888E-3</v>
      </c>
      <c r="F30" s="305">
        <v>3</v>
      </c>
      <c r="G30" s="488">
        <v>0.98</v>
      </c>
      <c r="H30" s="486">
        <v>1.926581999838975E-3</v>
      </c>
      <c r="I30" s="487">
        <v>2307037925.3600001</v>
      </c>
      <c r="J30" s="435">
        <v>1</v>
      </c>
      <c r="K30" s="413">
        <f>J30*E30</f>
        <v>1.9658999998356888E-3</v>
      </c>
      <c r="L30" s="420">
        <f t="shared" si="2"/>
        <v>2354120332</v>
      </c>
      <c r="M30" s="1263"/>
      <c r="N30" s="1264"/>
      <c r="O30" s="434"/>
      <c r="P30" s="336">
        <f t="shared" si="7"/>
        <v>0</v>
      </c>
      <c r="Q30" s="298">
        <f t="shared" si="8"/>
        <v>0</v>
      </c>
      <c r="R30" s="1265"/>
      <c r="S30" s="1266"/>
      <c r="T30" s="299"/>
      <c r="U30" s="337"/>
    </row>
    <row r="31" spans="1:21" s="308" customFormat="1" ht="27.95" customHeight="1">
      <c r="A31" s="18">
        <v>24</v>
      </c>
      <c r="B31" s="18" t="s">
        <v>611</v>
      </c>
      <c r="C31" s="408" t="s">
        <v>559</v>
      </c>
      <c r="D31" s="303" t="s">
        <v>730</v>
      </c>
      <c r="E31" s="349">
        <v>0</v>
      </c>
      <c r="F31" s="305"/>
      <c r="G31" s="489">
        <v>0</v>
      </c>
      <c r="H31" s="486">
        <v>0</v>
      </c>
      <c r="I31" s="487">
        <v>0</v>
      </c>
      <c r="J31" s="436">
        <v>1</v>
      </c>
      <c r="K31" s="413">
        <f>J31*E31</f>
        <v>0</v>
      </c>
      <c r="L31" s="420">
        <f t="shared" si="2"/>
        <v>0</v>
      </c>
      <c r="M31" s="1263"/>
      <c r="N31" s="1264"/>
      <c r="O31" s="434"/>
      <c r="P31" s="336"/>
      <c r="Q31" s="298"/>
      <c r="R31" s="1265"/>
      <c r="S31" s="1266"/>
      <c r="T31" s="306"/>
      <c r="U31" s="307"/>
    </row>
    <row r="32" spans="1:21" s="155" customFormat="1" ht="27.95" customHeight="1">
      <c r="A32" s="18">
        <v>25</v>
      </c>
      <c r="B32" s="122" t="s">
        <v>245</v>
      </c>
      <c r="C32" s="290" t="s">
        <v>540</v>
      </c>
      <c r="D32" s="272">
        <f>SUM(D33:D50)</f>
        <v>51790647308.328705</v>
      </c>
      <c r="E32" s="273">
        <f>SUM(E33:E50)</f>
        <v>4.3249800000000005E-2</v>
      </c>
      <c r="F32" s="274"/>
      <c r="G32" s="482">
        <v>1.9800000000000002E-2</v>
      </c>
      <c r="H32" s="483">
        <v>8.5634604000000029E-4</v>
      </c>
      <c r="I32" s="484">
        <v>1025454816.7049085</v>
      </c>
      <c r="J32" s="310">
        <f>L32/D32</f>
        <v>0.20560539999999999</v>
      </c>
      <c r="K32" s="412">
        <f>SUM(K33:K50)</f>
        <v>8.8923924289200026E-3</v>
      </c>
      <c r="L32" s="419">
        <f>SUM(L33:L50)</f>
        <v>10648436756.087847</v>
      </c>
      <c r="M32" s="1263"/>
      <c r="N32" s="1264"/>
      <c r="O32" s="343">
        <f>Q32/D32</f>
        <v>0</v>
      </c>
      <c r="P32" s="340">
        <f>SUM(P33:P50)</f>
        <v>0</v>
      </c>
      <c r="Q32" s="341">
        <f>SUM(Q33:Q50)</f>
        <v>0</v>
      </c>
      <c r="R32" s="1265"/>
      <c r="S32" s="1266"/>
      <c r="T32" s="265"/>
      <c r="U32" s="330"/>
    </row>
    <row r="33" spans="1:21" s="300" customFormat="1" ht="27.95" customHeight="1">
      <c r="A33" s="18">
        <v>26</v>
      </c>
      <c r="B33" s="291" t="s">
        <v>246</v>
      </c>
      <c r="C33" s="292" t="s">
        <v>542</v>
      </c>
      <c r="D33" s="293">
        <v>517906473.083287</v>
      </c>
      <c r="E33" s="349">
        <f t="shared" ref="E33:E50" si="9">D33/$Q$4</f>
        <v>4.3249800000000007E-4</v>
      </c>
      <c r="F33" s="295">
        <v>21</v>
      </c>
      <c r="G33" s="485">
        <v>0</v>
      </c>
      <c r="H33" s="486">
        <v>0</v>
      </c>
      <c r="I33" s="487">
        <v>0</v>
      </c>
      <c r="J33" s="430">
        <v>1</v>
      </c>
      <c r="K33" s="413">
        <f t="shared" ref="K33:K50" si="10">J33*E33</f>
        <v>4.3249800000000007E-4</v>
      </c>
      <c r="L33" s="420">
        <f t="shared" si="2"/>
        <v>517906473.083287</v>
      </c>
      <c r="M33" s="1263"/>
      <c r="N33" s="1264"/>
      <c r="O33" s="433"/>
      <c r="P33" s="336">
        <f t="shared" ref="P33:P50" si="11">O33*E33</f>
        <v>0</v>
      </c>
      <c r="Q33" s="298">
        <f t="shared" ref="Q33:Q50" si="12">P33*$Q$4</f>
        <v>0</v>
      </c>
      <c r="R33" s="1265"/>
      <c r="S33" s="1266"/>
      <c r="T33" s="299"/>
    </row>
    <row r="34" spans="1:21" s="300" customFormat="1" ht="27.95" customHeight="1">
      <c r="A34" s="18">
        <v>27</v>
      </c>
      <c r="B34" s="291" t="s">
        <v>247</v>
      </c>
      <c r="C34" s="292" t="s">
        <v>543</v>
      </c>
      <c r="D34" s="293">
        <v>5127274083.5245419</v>
      </c>
      <c r="E34" s="349">
        <f t="shared" si="9"/>
        <v>4.281730200000001E-3</v>
      </c>
      <c r="F34" s="295">
        <v>14</v>
      </c>
      <c r="G34" s="490">
        <v>0.2</v>
      </c>
      <c r="H34" s="486">
        <v>8.5634604000000029E-4</v>
      </c>
      <c r="I34" s="487">
        <v>1025454816.7049085</v>
      </c>
      <c r="J34" s="459">
        <v>0.99860000000000004</v>
      </c>
      <c r="K34" s="413">
        <f t="shared" si="10"/>
        <v>4.2757357777200014E-3</v>
      </c>
      <c r="L34" s="420">
        <f t="shared" si="2"/>
        <v>5120095899.8076077</v>
      </c>
      <c r="M34" s="1263"/>
      <c r="N34" s="1264"/>
      <c r="O34" s="433"/>
      <c r="P34" s="336">
        <f t="shared" si="11"/>
        <v>0</v>
      </c>
      <c r="Q34" s="298">
        <f t="shared" si="12"/>
        <v>0</v>
      </c>
      <c r="R34" s="1265"/>
      <c r="S34" s="1266"/>
      <c r="T34" s="299"/>
    </row>
    <row r="35" spans="1:21" s="300" customFormat="1" ht="27.95" customHeight="1">
      <c r="A35" s="18">
        <v>28</v>
      </c>
      <c r="B35" s="291" t="s">
        <v>248</v>
      </c>
      <c r="C35" s="292" t="s">
        <v>544</v>
      </c>
      <c r="D35" s="293">
        <v>5179064730.8328705</v>
      </c>
      <c r="E35" s="349">
        <f t="shared" si="9"/>
        <v>4.3249800000000008E-3</v>
      </c>
      <c r="F35" s="295">
        <v>14</v>
      </c>
      <c r="G35" s="485">
        <v>0</v>
      </c>
      <c r="H35" s="486">
        <v>0</v>
      </c>
      <c r="I35" s="487">
        <v>0</v>
      </c>
      <c r="J35" s="430">
        <v>0</v>
      </c>
      <c r="K35" s="413">
        <f t="shared" si="10"/>
        <v>0</v>
      </c>
      <c r="L35" s="420">
        <f t="shared" si="2"/>
        <v>0</v>
      </c>
      <c r="M35" s="1263"/>
      <c r="N35" s="1264"/>
      <c r="O35" s="433"/>
      <c r="P35" s="336">
        <f t="shared" si="11"/>
        <v>0</v>
      </c>
      <c r="Q35" s="298">
        <f t="shared" si="12"/>
        <v>0</v>
      </c>
      <c r="R35" s="1265"/>
      <c r="S35" s="1266"/>
      <c r="T35" s="299"/>
    </row>
    <row r="36" spans="1:21" s="300" customFormat="1" ht="27.95" customHeight="1">
      <c r="A36" s="18">
        <v>29</v>
      </c>
      <c r="B36" s="291" t="s">
        <v>249</v>
      </c>
      <c r="C36" s="292" t="s">
        <v>545</v>
      </c>
      <c r="D36" s="293">
        <v>5179064730.8328705</v>
      </c>
      <c r="E36" s="349">
        <f t="shared" si="9"/>
        <v>4.3249800000000008E-3</v>
      </c>
      <c r="F36" s="295">
        <v>14</v>
      </c>
      <c r="G36" s="485">
        <v>0</v>
      </c>
      <c r="H36" s="486">
        <v>0</v>
      </c>
      <c r="I36" s="487">
        <v>0</v>
      </c>
      <c r="J36" s="430">
        <v>0</v>
      </c>
      <c r="K36" s="413">
        <f t="shared" si="10"/>
        <v>0</v>
      </c>
      <c r="L36" s="420">
        <f t="shared" si="2"/>
        <v>0</v>
      </c>
      <c r="M36" s="1263"/>
      <c r="N36" s="1264"/>
      <c r="O36" s="433"/>
      <c r="P36" s="336">
        <f t="shared" si="11"/>
        <v>0</v>
      </c>
      <c r="Q36" s="298">
        <f t="shared" si="12"/>
        <v>0</v>
      </c>
      <c r="R36" s="1265"/>
      <c r="S36" s="1266"/>
      <c r="T36" s="299"/>
    </row>
    <row r="37" spans="1:21" s="300" customFormat="1" ht="27.95" customHeight="1">
      <c r="A37" s="18">
        <v>30</v>
      </c>
      <c r="B37" s="291" t="s">
        <v>250</v>
      </c>
      <c r="C37" s="292" t="s">
        <v>546</v>
      </c>
      <c r="D37" s="293">
        <v>4143251784.666296</v>
      </c>
      <c r="E37" s="349">
        <f t="shared" si="9"/>
        <v>3.4599840000000006E-3</v>
      </c>
      <c r="F37" s="295">
        <v>14</v>
      </c>
      <c r="G37" s="485">
        <v>0</v>
      </c>
      <c r="H37" s="486">
        <v>0</v>
      </c>
      <c r="I37" s="487">
        <v>0</v>
      </c>
      <c r="J37" s="430">
        <v>0</v>
      </c>
      <c r="K37" s="413">
        <f t="shared" si="10"/>
        <v>0</v>
      </c>
      <c r="L37" s="420">
        <f t="shared" si="2"/>
        <v>0</v>
      </c>
      <c r="M37" s="1263"/>
      <c r="N37" s="1264"/>
      <c r="O37" s="433"/>
      <c r="P37" s="336">
        <f t="shared" si="11"/>
        <v>0</v>
      </c>
      <c r="Q37" s="298">
        <f t="shared" si="12"/>
        <v>0</v>
      </c>
      <c r="R37" s="1265"/>
      <c r="S37" s="1266"/>
      <c r="T37" s="299"/>
    </row>
    <row r="38" spans="1:21" s="300" customFormat="1" ht="27.95" customHeight="1">
      <c r="A38" s="18">
        <v>31</v>
      </c>
      <c r="B38" s="291" t="s">
        <v>251</v>
      </c>
      <c r="C38" s="292" t="s">
        <v>547</v>
      </c>
      <c r="D38" s="293">
        <v>2589532365.4164352</v>
      </c>
      <c r="E38" s="349">
        <f t="shared" si="9"/>
        <v>2.1624900000000004E-3</v>
      </c>
      <c r="F38" s="295">
        <v>14</v>
      </c>
      <c r="G38" s="485">
        <v>0</v>
      </c>
      <c r="H38" s="486">
        <v>0</v>
      </c>
      <c r="I38" s="487">
        <v>0</v>
      </c>
      <c r="J38" s="430">
        <v>0</v>
      </c>
      <c r="K38" s="413">
        <f t="shared" si="10"/>
        <v>0</v>
      </c>
      <c r="L38" s="420">
        <f t="shared" si="2"/>
        <v>0</v>
      </c>
      <c r="M38" s="1263"/>
      <c r="N38" s="1264"/>
      <c r="O38" s="433"/>
      <c r="P38" s="336">
        <f t="shared" si="11"/>
        <v>0</v>
      </c>
      <c r="Q38" s="298">
        <f t="shared" si="12"/>
        <v>0</v>
      </c>
      <c r="R38" s="1265"/>
      <c r="S38" s="1266"/>
      <c r="T38" s="299"/>
    </row>
    <row r="39" spans="1:21" s="300" customFormat="1" ht="27.95" customHeight="1">
      <c r="A39" s="18">
        <v>32</v>
      </c>
      <c r="B39" s="291" t="s">
        <v>252</v>
      </c>
      <c r="C39" s="292" t="s">
        <v>548</v>
      </c>
      <c r="D39" s="293">
        <v>2071625892.333148</v>
      </c>
      <c r="E39" s="349">
        <f t="shared" si="9"/>
        <v>1.7299920000000003E-3</v>
      </c>
      <c r="F39" s="295">
        <v>23</v>
      </c>
      <c r="G39" s="490">
        <v>0</v>
      </c>
      <c r="H39" s="486">
        <v>0</v>
      </c>
      <c r="I39" s="487">
        <v>0</v>
      </c>
      <c r="J39" s="459">
        <f>J34</f>
        <v>0.99860000000000004</v>
      </c>
      <c r="K39" s="413">
        <f t="shared" si="10"/>
        <v>1.7275700112000004E-3</v>
      </c>
      <c r="L39" s="420">
        <f t="shared" si="2"/>
        <v>2068725616.0838819</v>
      </c>
      <c r="M39" s="1263"/>
      <c r="N39" s="1264"/>
      <c r="O39" s="433"/>
      <c r="P39" s="336">
        <f t="shared" si="11"/>
        <v>0</v>
      </c>
      <c r="Q39" s="298">
        <f t="shared" si="12"/>
        <v>0</v>
      </c>
      <c r="R39" s="1265"/>
      <c r="S39" s="1266"/>
      <c r="T39" s="299"/>
    </row>
    <row r="40" spans="1:21" s="445" customFormat="1" ht="27.95" customHeight="1">
      <c r="A40" s="18">
        <v>33</v>
      </c>
      <c r="B40" s="291" t="s">
        <v>253</v>
      </c>
      <c r="C40" s="292" t="s">
        <v>549</v>
      </c>
      <c r="D40" s="293">
        <v>1294766182.7082176</v>
      </c>
      <c r="E40" s="349">
        <f t="shared" si="9"/>
        <v>1.0812450000000002E-3</v>
      </c>
      <c r="F40" s="295">
        <v>23</v>
      </c>
      <c r="G40" s="490">
        <v>0</v>
      </c>
      <c r="H40" s="486">
        <v>0</v>
      </c>
      <c r="I40" s="487">
        <v>0</v>
      </c>
      <c r="J40" s="459">
        <v>0.45379999999999998</v>
      </c>
      <c r="K40" s="413">
        <f t="shared" si="10"/>
        <v>4.9066898100000008E-4</v>
      </c>
      <c r="L40" s="420">
        <f t="shared" si="2"/>
        <v>587564893.71298909</v>
      </c>
      <c r="M40" s="1263"/>
      <c r="N40" s="1264"/>
      <c r="O40" s="433"/>
      <c r="P40" s="336">
        <f t="shared" si="11"/>
        <v>0</v>
      </c>
      <c r="Q40" s="298">
        <f t="shared" si="12"/>
        <v>0</v>
      </c>
      <c r="R40" s="1265"/>
      <c r="S40" s="1266"/>
      <c r="T40" s="299"/>
      <c r="U40" s="447"/>
    </row>
    <row r="41" spans="1:21" s="300" customFormat="1" ht="27.95" customHeight="1">
      <c r="A41" s="18">
        <v>34</v>
      </c>
      <c r="B41" s="291" t="s">
        <v>254</v>
      </c>
      <c r="C41" s="292" t="s">
        <v>550</v>
      </c>
      <c r="D41" s="293">
        <v>2589532365.4164352</v>
      </c>
      <c r="E41" s="349">
        <f t="shared" si="9"/>
        <v>2.1624900000000004E-3</v>
      </c>
      <c r="F41" s="295">
        <v>23</v>
      </c>
      <c r="G41" s="490">
        <v>0</v>
      </c>
      <c r="H41" s="486">
        <v>0</v>
      </c>
      <c r="I41" s="487">
        <v>0</v>
      </c>
      <c r="J41" s="459">
        <v>0.45479999999999998</v>
      </c>
      <c r="K41" s="413">
        <f t="shared" si="10"/>
        <v>9.8350045200000014E-4</v>
      </c>
      <c r="L41" s="420">
        <f t="shared" si="2"/>
        <v>1177719319.7913947</v>
      </c>
      <c r="M41" s="1263"/>
      <c r="N41" s="1264"/>
      <c r="O41" s="433"/>
      <c r="P41" s="336">
        <f t="shared" si="11"/>
        <v>0</v>
      </c>
      <c r="Q41" s="298">
        <f t="shared" si="12"/>
        <v>0</v>
      </c>
      <c r="R41" s="1265"/>
      <c r="S41" s="1266"/>
      <c r="T41" s="299"/>
    </row>
    <row r="42" spans="1:21" s="300" customFormat="1" ht="27.95" customHeight="1">
      <c r="A42" s="18">
        <v>35</v>
      </c>
      <c r="B42" s="291" t="s">
        <v>255</v>
      </c>
      <c r="C42" s="292" t="s">
        <v>551</v>
      </c>
      <c r="D42" s="293">
        <v>1294766182.7082176</v>
      </c>
      <c r="E42" s="349">
        <f t="shared" si="9"/>
        <v>1.0812450000000002E-3</v>
      </c>
      <c r="F42" s="295">
        <v>23</v>
      </c>
      <c r="G42" s="490">
        <v>0</v>
      </c>
      <c r="H42" s="486">
        <v>0</v>
      </c>
      <c r="I42" s="487">
        <v>0</v>
      </c>
      <c r="J42" s="459">
        <f>J41</f>
        <v>0.45479999999999998</v>
      </c>
      <c r="K42" s="413">
        <f t="shared" si="10"/>
        <v>4.9175022600000007E-4</v>
      </c>
      <c r="L42" s="420">
        <f t="shared" si="2"/>
        <v>588859659.89569736</v>
      </c>
      <c r="M42" s="1263"/>
      <c r="N42" s="1264"/>
      <c r="O42" s="433"/>
      <c r="P42" s="336">
        <f t="shared" si="11"/>
        <v>0</v>
      </c>
      <c r="Q42" s="298">
        <f t="shared" si="12"/>
        <v>0</v>
      </c>
      <c r="R42" s="1265"/>
      <c r="S42" s="1266"/>
      <c r="T42" s="299"/>
    </row>
    <row r="43" spans="1:21" s="445" customFormat="1" ht="27.95" customHeight="1">
      <c r="A43" s="18">
        <v>36</v>
      </c>
      <c r="B43" s="291" t="s">
        <v>256</v>
      </c>
      <c r="C43" s="292" t="s">
        <v>552</v>
      </c>
      <c r="D43" s="293">
        <v>1294766182.7082176</v>
      </c>
      <c r="E43" s="349">
        <f t="shared" si="9"/>
        <v>1.0812450000000002E-3</v>
      </c>
      <c r="F43" s="295">
        <v>23</v>
      </c>
      <c r="G43" s="490">
        <v>0</v>
      </c>
      <c r="H43" s="486">
        <v>0</v>
      </c>
      <c r="I43" s="487">
        <v>0</v>
      </c>
      <c r="J43" s="459">
        <f>J40</f>
        <v>0.45379999999999998</v>
      </c>
      <c r="K43" s="413">
        <f t="shared" si="10"/>
        <v>4.9066898100000008E-4</v>
      </c>
      <c r="L43" s="420">
        <f t="shared" si="2"/>
        <v>587564893.71298909</v>
      </c>
      <c r="M43" s="1263"/>
      <c r="N43" s="1264"/>
      <c r="O43" s="433"/>
      <c r="P43" s="336">
        <f t="shared" si="11"/>
        <v>0</v>
      </c>
      <c r="Q43" s="298">
        <f t="shared" si="12"/>
        <v>0</v>
      </c>
      <c r="R43" s="1265"/>
      <c r="S43" s="1266"/>
      <c r="T43" s="299"/>
      <c r="U43" s="447"/>
    </row>
    <row r="44" spans="1:21" s="445" customFormat="1" ht="27.95" customHeight="1">
      <c r="A44" s="18">
        <v>37</v>
      </c>
      <c r="B44" s="291" t="s">
        <v>257</v>
      </c>
      <c r="C44" s="292" t="s">
        <v>553</v>
      </c>
      <c r="D44" s="293">
        <v>7768597096.2493048</v>
      </c>
      <c r="E44" s="349">
        <f t="shared" si="9"/>
        <v>6.4874700000000004E-3</v>
      </c>
      <c r="F44" s="295">
        <v>23</v>
      </c>
      <c r="G44" s="485">
        <v>0</v>
      </c>
      <c r="H44" s="486">
        <v>0</v>
      </c>
      <c r="I44" s="487">
        <v>0</v>
      </c>
      <c r="J44" s="430">
        <v>0</v>
      </c>
      <c r="K44" s="413">
        <f t="shared" si="10"/>
        <v>0</v>
      </c>
      <c r="L44" s="420">
        <f t="shared" si="2"/>
        <v>0</v>
      </c>
      <c r="M44" s="1263"/>
      <c r="N44" s="1264"/>
      <c r="O44" s="433"/>
      <c r="P44" s="336">
        <f t="shared" si="11"/>
        <v>0</v>
      </c>
      <c r="Q44" s="298">
        <f t="shared" si="12"/>
        <v>0</v>
      </c>
      <c r="R44" s="1265"/>
      <c r="S44" s="1266"/>
      <c r="T44" s="299"/>
      <c r="U44" s="447"/>
    </row>
    <row r="45" spans="1:21" s="300" customFormat="1" ht="27.95" customHeight="1">
      <c r="A45" s="18">
        <v>38</v>
      </c>
      <c r="B45" s="291" t="s">
        <v>258</v>
      </c>
      <c r="C45" s="292" t="s">
        <v>554</v>
      </c>
      <c r="D45" s="293">
        <v>3107438838.499722</v>
      </c>
      <c r="E45" s="349">
        <f t="shared" si="9"/>
        <v>2.5949880000000003E-3</v>
      </c>
      <c r="F45" s="295">
        <v>23</v>
      </c>
      <c r="G45" s="485">
        <v>0</v>
      </c>
      <c r="H45" s="486">
        <v>0</v>
      </c>
      <c r="I45" s="487">
        <v>0</v>
      </c>
      <c r="J45" s="430">
        <v>0</v>
      </c>
      <c r="K45" s="413">
        <f t="shared" si="10"/>
        <v>0</v>
      </c>
      <c r="L45" s="420">
        <f t="shared" si="2"/>
        <v>0</v>
      </c>
      <c r="M45" s="608"/>
      <c r="N45" s="609"/>
      <c r="O45" s="433"/>
      <c r="P45" s="336">
        <f t="shared" si="11"/>
        <v>0</v>
      </c>
      <c r="Q45" s="298">
        <f t="shared" si="12"/>
        <v>0</v>
      </c>
      <c r="R45" s="1265"/>
      <c r="S45" s="1266"/>
      <c r="T45" s="299"/>
    </row>
    <row r="46" spans="1:21" s="300" customFormat="1" ht="27.95" customHeight="1">
      <c r="A46" s="18">
        <v>39</v>
      </c>
      <c r="B46" s="291" t="s">
        <v>259</v>
      </c>
      <c r="C46" s="292" t="s">
        <v>555</v>
      </c>
      <c r="D46" s="293">
        <v>3107438838.499722</v>
      </c>
      <c r="E46" s="349">
        <f t="shared" si="9"/>
        <v>2.5949880000000003E-3</v>
      </c>
      <c r="F46" s="295">
        <v>23</v>
      </c>
      <c r="G46" s="485">
        <v>0</v>
      </c>
      <c r="H46" s="486">
        <v>0</v>
      </c>
      <c r="I46" s="487">
        <v>0</v>
      </c>
      <c r="J46" s="430">
        <v>0</v>
      </c>
      <c r="K46" s="413">
        <f t="shared" si="10"/>
        <v>0</v>
      </c>
      <c r="L46" s="420">
        <f t="shared" si="2"/>
        <v>0</v>
      </c>
      <c r="M46" s="608"/>
      <c r="N46" s="609"/>
      <c r="O46" s="433"/>
      <c r="P46" s="336">
        <f t="shared" si="11"/>
        <v>0</v>
      </c>
      <c r="Q46" s="298">
        <f t="shared" si="12"/>
        <v>0</v>
      </c>
      <c r="R46" s="1265"/>
      <c r="S46" s="1266"/>
      <c r="T46" s="299"/>
    </row>
    <row r="47" spans="1:21" s="300" customFormat="1" ht="27.95" customHeight="1">
      <c r="A47" s="18">
        <v>40</v>
      </c>
      <c r="B47" s="291" t="s">
        <v>260</v>
      </c>
      <c r="C47" s="292" t="s">
        <v>556</v>
      </c>
      <c r="D47" s="293">
        <v>2071625892.333148</v>
      </c>
      <c r="E47" s="349">
        <f t="shared" si="9"/>
        <v>1.7299920000000003E-3</v>
      </c>
      <c r="F47" s="295">
        <v>23</v>
      </c>
      <c r="G47" s="485">
        <v>0</v>
      </c>
      <c r="H47" s="486">
        <v>0</v>
      </c>
      <c r="I47" s="487">
        <v>0</v>
      </c>
      <c r="J47" s="430">
        <v>0</v>
      </c>
      <c r="K47" s="413">
        <f t="shared" si="10"/>
        <v>0</v>
      </c>
      <c r="L47" s="420">
        <f t="shared" si="2"/>
        <v>0</v>
      </c>
      <c r="M47" s="608"/>
      <c r="N47" s="609"/>
      <c r="O47" s="433"/>
      <c r="P47" s="336">
        <f t="shared" si="11"/>
        <v>0</v>
      </c>
      <c r="Q47" s="298">
        <f t="shared" si="12"/>
        <v>0</v>
      </c>
      <c r="R47" s="1265"/>
      <c r="S47" s="1266"/>
      <c r="T47" s="299"/>
    </row>
    <row r="48" spans="1:21" s="300" customFormat="1" ht="27.95" customHeight="1">
      <c r="A48" s="18">
        <v>41</v>
      </c>
      <c r="B48" s="291" t="s">
        <v>261</v>
      </c>
      <c r="C48" s="292" t="s">
        <v>557</v>
      </c>
      <c r="D48" s="293">
        <v>2071625892.333148</v>
      </c>
      <c r="E48" s="349">
        <f t="shared" si="9"/>
        <v>1.7299920000000003E-3</v>
      </c>
      <c r="F48" s="295">
        <v>23</v>
      </c>
      <c r="G48" s="485">
        <v>0</v>
      </c>
      <c r="H48" s="486">
        <v>0</v>
      </c>
      <c r="I48" s="487">
        <v>0</v>
      </c>
      <c r="J48" s="430">
        <v>0</v>
      </c>
      <c r="K48" s="413">
        <f t="shared" si="10"/>
        <v>0</v>
      </c>
      <c r="L48" s="420">
        <f t="shared" si="2"/>
        <v>0</v>
      </c>
      <c r="M48" s="608"/>
      <c r="N48" s="609"/>
      <c r="O48" s="433"/>
      <c r="P48" s="336">
        <f t="shared" si="11"/>
        <v>0</v>
      </c>
      <c r="Q48" s="298">
        <f t="shared" si="12"/>
        <v>0</v>
      </c>
      <c r="R48" s="1265"/>
      <c r="S48" s="1266"/>
      <c r="T48" s="299"/>
    </row>
    <row r="49" spans="1:21" s="300" customFormat="1" ht="27.95" customHeight="1">
      <c r="A49" s="18">
        <v>42</v>
      </c>
      <c r="B49" s="291" t="s">
        <v>262</v>
      </c>
      <c r="C49" s="292" t="s">
        <v>558</v>
      </c>
      <c r="D49" s="293">
        <v>1294766182.7082176</v>
      </c>
      <c r="E49" s="349">
        <f t="shared" si="9"/>
        <v>1.0812450000000002E-3</v>
      </c>
      <c r="F49" s="295">
        <v>23</v>
      </c>
      <c r="G49" s="485">
        <v>0</v>
      </c>
      <c r="H49" s="486">
        <v>0</v>
      </c>
      <c r="I49" s="487">
        <v>0</v>
      </c>
      <c r="J49" s="430">
        <v>0</v>
      </c>
      <c r="K49" s="413">
        <f t="shared" si="10"/>
        <v>0</v>
      </c>
      <c r="L49" s="420">
        <f t="shared" si="2"/>
        <v>0</v>
      </c>
      <c r="M49" s="608"/>
      <c r="N49" s="609"/>
      <c r="O49" s="433"/>
      <c r="P49" s="336">
        <f t="shared" si="11"/>
        <v>0</v>
      </c>
      <c r="Q49" s="298">
        <f t="shared" si="12"/>
        <v>0</v>
      </c>
      <c r="R49" s="1265"/>
      <c r="S49" s="1266"/>
      <c r="T49" s="299"/>
    </row>
    <row r="50" spans="1:21" s="300" customFormat="1" ht="27.95" customHeight="1">
      <c r="A50" s="18">
        <v>43</v>
      </c>
      <c r="B50" s="291" t="s">
        <v>263</v>
      </c>
      <c r="C50" s="292" t="s">
        <v>560</v>
      </c>
      <c r="D50" s="293">
        <v>1087603593.4749029</v>
      </c>
      <c r="E50" s="349">
        <f t="shared" si="9"/>
        <v>9.0824580000000029E-4</v>
      </c>
      <c r="F50" s="295">
        <v>23</v>
      </c>
      <c r="G50" s="485">
        <v>0</v>
      </c>
      <c r="H50" s="486">
        <v>0</v>
      </c>
      <c r="I50" s="487">
        <v>0</v>
      </c>
      <c r="J50" s="430">
        <v>0</v>
      </c>
      <c r="K50" s="413">
        <f t="shared" si="10"/>
        <v>0</v>
      </c>
      <c r="L50" s="420">
        <f t="shared" si="2"/>
        <v>0</v>
      </c>
      <c r="M50" s="608"/>
      <c r="N50" s="609"/>
      <c r="O50" s="433"/>
      <c r="P50" s="336">
        <f t="shared" si="11"/>
        <v>0</v>
      </c>
      <c r="Q50" s="298">
        <f t="shared" si="12"/>
        <v>0</v>
      </c>
      <c r="R50" s="1265"/>
      <c r="S50" s="1266"/>
      <c r="T50" s="299"/>
    </row>
    <row r="51" spans="1:21" s="141" customFormat="1" ht="35.1" customHeight="1">
      <c r="A51" s="18">
        <v>44</v>
      </c>
      <c r="B51" s="145" t="s">
        <v>207</v>
      </c>
      <c r="C51" s="289" t="s">
        <v>451</v>
      </c>
      <c r="D51" s="269">
        <f>D52+D62</f>
        <v>27645661259.843578</v>
      </c>
      <c r="E51" s="270">
        <f>E52+E62</f>
        <v>2.3086587685180397E-2</v>
      </c>
      <c r="F51" s="271"/>
      <c r="G51" s="479">
        <v>0.57222999999999991</v>
      </c>
      <c r="H51" s="491">
        <v>1.3210838071090778E-2</v>
      </c>
      <c r="I51" s="487">
        <v>15819676742.720289</v>
      </c>
      <c r="J51" s="309"/>
      <c r="K51" s="414">
        <f>K52+K62</f>
        <v>1.435627646413342E-2</v>
      </c>
      <c r="L51" s="420">
        <f>L52+L62</f>
        <v>17191313046.876385</v>
      </c>
      <c r="M51" s="608"/>
      <c r="N51" s="609"/>
      <c r="O51" s="343">
        <f>Q51/D51</f>
        <v>0</v>
      </c>
      <c r="P51" s="336">
        <f>P52+P62</f>
        <v>0</v>
      </c>
      <c r="Q51" s="298">
        <f>Q52+Q62</f>
        <v>0</v>
      </c>
      <c r="R51" s="1265"/>
      <c r="S51" s="1266"/>
      <c r="T51" s="260"/>
    </row>
    <row r="52" spans="1:21" s="155" customFormat="1" ht="27.95" customHeight="1">
      <c r="A52" s="18">
        <v>45</v>
      </c>
      <c r="B52" s="122" t="s">
        <v>264</v>
      </c>
      <c r="C52" s="290" t="s">
        <v>566</v>
      </c>
      <c r="D52" s="272">
        <f>SUM(D53:D61)</f>
        <v>15205113692.913967</v>
      </c>
      <c r="E52" s="273">
        <f>SUM(E53:E61)</f>
        <v>1.2697623226849218E-2</v>
      </c>
      <c r="F52" s="274"/>
      <c r="G52" s="482">
        <v>1</v>
      </c>
      <c r="H52" s="491">
        <v>1.2697623226849218E-2</v>
      </c>
      <c r="I52" s="487">
        <v>15205113692.913967</v>
      </c>
      <c r="J52" s="310"/>
      <c r="K52" s="414">
        <f>SUM(K53:K61)</f>
        <v>1.2697623226849218E-2</v>
      </c>
      <c r="L52" s="420">
        <f>SUM(L53:L61)</f>
        <v>15205113692.913967</v>
      </c>
      <c r="M52" s="608"/>
      <c r="N52" s="609"/>
      <c r="O52" s="343">
        <f>Q52/D52</f>
        <v>0</v>
      </c>
      <c r="P52" s="336">
        <f>SUM(P53:P61)</f>
        <v>0</v>
      </c>
      <c r="Q52" s="298">
        <f>SUM(Q53:Q61)</f>
        <v>0</v>
      </c>
      <c r="R52" s="1265"/>
      <c r="S52" s="1266"/>
      <c r="T52" s="265"/>
      <c r="U52" s="330"/>
    </row>
    <row r="53" spans="1:21" s="300" customFormat="1" ht="27.95" customHeight="1">
      <c r="A53" s="18">
        <v>46</v>
      </c>
      <c r="B53" s="291" t="s">
        <v>265</v>
      </c>
      <c r="C53" s="292" t="s">
        <v>527</v>
      </c>
      <c r="D53" s="293">
        <v>760255684.64569831</v>
      </c>
      <c r="E53" s="349">
        <f t="shared" ref="E53:E77" si="13">D53/$Q$4</f>
        <v>6.3488116134246099E-4</v>
      </c>
      <c r="F53" s="295">
        <v>3</v>
      </c>
      <c r="G53" s="485">
        <v>1</v>
      </c>
      <c r="H53" s="486">
        <v>6.3488116134246099E-4</v>
      </c>
      <c r="I53" s="487">
        <v>760255684.64569831</v>
      </c>
      <c r="J53" s="430">
        <v>1</v>
      </c>
      <c r="K53" s="413">
        <f t="shared" ref="K53:K77" si="14">J53*E53</f>
        <v>6.3488116134246099E-4</v>
      </c>
      <c r="L53" s="420">
        <f t="shared" ref="L53:L77" si="15">K53*$Q$4</f>
        <v>760255684.64569831</v>
      </c>
      <c r="M53" s="608"/>
      <c r="N53" s="609"/>
      <c r="O53" s="432"/>
      <c r="P53" s="336">
        <f t="shared" ref="P53:P61" si="16">O53*E53</f>
        <v>0</v>
      </c>
      <c r="Q53" s="298">
        <f t="shared" ref="Q53:Q61" si="17">P53*$Q$4</f>
        <v>0</v>
      </c>
      <c r="R53" s="1265"/>
      <c r="S53" s="1266"/>
      <c r="T53" s="299"/>
    </row>
    <row r="54" spans="1:21" s="300" customFormat="1" ht="27.95" customHeight="1">
      <c r="A54" s="18">
        <v>47</v>
      </c>
      <c r="B54" s="291" t="s">
        <v>266</v>
      </c>
      <c r="C54" s="292" t="s">
        <v>528</v>
      </c>
      <c r="D54" s="293">
        <v>1520511369.2913966</v>
      </c>
      <c r="E54" s="349">
        <f t="shared" si="13"/>
        <v>1.269762322684922E-3</v>
      </c>
      <c r="F54" s="295">
        <v>3</v>
      </c>
      <c r="G54" s="485">
        <v>1</v>
      </c>
      <c r="H54" s="486">
        <v>1.269762322684922E-3</v>
      </c>
      <c r="I54" s="487">
        <v>1520511369.2913966</v>
      </c>
      <c r="J54" s="430">
        <v>1</v>
      </c>
      <c r="K54" s="413">
        <f t="shared" si="14"/>
        <v>1.269762322684922E-3</v>
      </c>
      <c r="L54" s="420">
        <f t="shared" si="15"/>
        <v>1520511369.2913966</v>
      </c>
      <c r="M54" s="608"/>
      <c r="N54" s="609"/>
      <c r="O54" s="432"/>
      <c r="P54" s="336">
        <f t="shared" si="16"/>
        <v>0</v>
      </c>
      <c r="Q54" s="298">
        <f t="shared" si="17"/>
        <v>0</v>
      </c>
      <c r="R54" s="1265"/>
      <c r="S54" s="1266"/>
      <c r="T54" s="299"/>
    </row>
    <row r="55" spans="1:21" s="300" customFormat="1" ht="27.95" customHeight="1">
      <c r="A55" s="18">
        <v>48</v>
      </c>
      <c r="B55" s="291" t="s">
        <v>267</v>
      </c>
      <c r="C55" s="292" t="s">
        <v>529</v>
      </c>
      <c r="D55" s="293">
        <v>1520511369.2913966</v>
      </c>
      <c r="E55" s="349">
        <f t="shared" si="13"/>
        <v>1.269762322684922E-3</v>
      </c>
      <c r="F55" s="295">
        <v>3</v>
      </c>
      <c r="G55" s="485">
        <v>1</v>
      </c>
      <c r="H55" s="486">
        <v>1.269762322684922E-3</v>
      </c>
      <c r="I55" s="487">
        <v>1520511369.2913966</v>
      </c>
      <c r="J55" s="430">
        <v>1</v>
      </c>
      <c r="K55" s="413">
        <f t="shared" si="14"/>
        <v>1.269762322684922E-3</v>
      </c>
      <c r="L55" s="420">
        <f t="shared" si="15"/>
        <v>1520511369.2913966</v>
      </c>
      <c r="M55" s="608"/>
      <c r="N55" s="609"/>
      <c r="O55" s="432"/>
      <c r="P55" s="336">
        <f t="shared" si="16"/>
        <v>0</v>
      </c>
      <c r="Q55" s="298">
        <f t="shared" si="17"/>
        <v>0</v>
      </c>
      <c r="R55" s="1265"/>
      <c r="S55" s="1266"/>
      <c r="T55" s="299"/>
    </row>
    <row r="56" spans="1:21" s="300" customFormat="1" ht="27.95" customHeight="1">
      <c r="A56" s="18">
        <v>49</v>
      </c>
      <c r="B56" s="291" t="s">
        <v>268</v>
      </c>
      <c r="C56" s="292" t="s">
        <v>530</v>
      </c>
      <c r="D56" s="293">
        <v>3041022738.5827932</v>
      </c>
      <c r="E56" s="349">
        <f t="shared" si="13"/>
        <v>2.539524645369844E-3</v>
      </c>
      <c r="F56" s="295">
        <v>14</v>
      </c>
      <c r="G56" s="485">
        <v>1</v>
      </c>
      <c r="H56" s="486">
        <v>2.539524645369844E-3</v>
      </c>
      <c r="I56" s="487">
        <v>3041022738.5827932</v>
      </c>
      <c r="J56" s="430">
        <v>1</v>
      </c>
      <c r="K56" s="413">
        <f t="shared" si="14"/>
        <v>2.539524645369844E-3</v>
      </c>
      <c r="L56" s="420">
        <f t="shared" si="15"/>
        <v>3041022738.5827932</v>
      </c>
      <c r="M56" s="608"/>
      <c r="N56" s="609"/>
      <c r="O56" s="432"/>
      <c r="P56" s="336">
        <f t="shared" si="16"/>
        <v>0</v>
      </c>
      <c r="Q56" s="298">
        <f t="shared" si="17"/>
        <v>0</v>
      </c>
      <c r="R56" s="1265"/>
      <c r="S56" s="1266"/>
      <c r="T56" s="299"/>
    </row>
    <row r="57" spans="1:21" s="300" customFormat="1" ht="27.95" customHeight="1">
      <c r="A57" s="18">
        <v>50</v>
      </c>
      <c r="B57" s="291" t="s">
        <v>269</v>
      </c>
      <c r="C57" s="292" t="s">
        <v>531</v>
      </c>
      <c r="D57" s="293">
        <v>2280767053.9370942</v>
      </c>
      <c r="E57" s="349">
        <f t="shared" si="13"/>
        <v>1.9046434840273823E-3</v>
      </c>
      <c r="F57" s="295">
        <v>3</v>
      </c>
      <c r="G57" s="485">
        <v>1</v>
      </c>
      <c r="H57" s="486">
        <v>1.9046434840273823E-3</v>
      </c>
      <c r="I57" s="487">
        <v>2280767053.9370942</v>
      </c>
      <c r="J57" s="430">
        <v>1</v>
      </c>
      <c r="K57" s="413">
        <f t="shared" si="14"/>
        <v>1.9046434840273823E-3</v>
      </c>
      <c r="L57" s="420">
        <f t="shared" si="15"/>
        <v>2280767053.9370942</v>
      </c>
      <c r="M57" s="608"/>
      <c r="N57" s="609"/>
      <c r="O57" s="432"/>
      <c r="P57" s="336">
        <f t="shared" si="16"/>
        <v>0</v>
      </c>
      <c r="Q57" s="298">
        <f t="shared" si="17"/>
        <v>0</v>
      </c>
      <c r="R57" s="1265"/>
      <c r="S57" s="1266"/>
      <c r="T57" s="299"/>
    </row>
    <row r="58" spans="1:21" s="300" customFormat="1" ht="27.95" customHeight="1">
      <c r="A58" s="18">
        <v>51</v>
      </c>
      <c r="B58" s="291" t="s">
        <v>270</v>
      </c>
      <c r="C58" s="292" t="s">
        <v>532</v>
      </c>
      <c r="D58" s="293">
        <v>1368460232.3622568</v>
      </c>
      <c r="E58" s="349">
        <f t="shared" si="13"/>
        <v>1.1427860904164296E-3</v>
      </c>
      <c r="F58" s="295">
        <v>14</v>
      </c>
      <c r="G58" s="485">
        <v>1</v>
      </c>
      <c r="H58" s="486">
        <v>1.1427860904164296E-3</v>
      </c>
      <c r="I58" s="487">
        <v>1368460232.3622568</v>
      </c>
      <c r="J58" s="430">
        <v>1</v>
      </c>
      <c r="K58" s="413">
        <f t="shared" si="14"/>
        <v>1.1427860904164296E-3</v>
      </c>
      <c r="L58" s="420">
        <f t="shared" si="15"/>
        <v>1368460232.3622568</v>
      </c>
      <c r="M58" s="608"/>
      <c r="N58" s="609"/>
      <c r="O58" s="432"/>
      <c r="P58" s="336">
        <f t="shared" si="16"/>
        <v>0</v>
      </c>
      <c r="Q58" s="298">
        <f t="shared" si="17"/>
        <v>0</v>
      </c>
      <c r="R58" s="1265"/>
      <c r="S58" s="1266"/>
      <c r="T58" s="299"/>
    </row>
    <row r="59" spans="1:21" s="300" customFormat="1" ht="27.95" customHeight="1">
      <c r="A59" s="18">
        <v>52</v>
      </c>
      <c r="B59" s="291" t="s">
        <v>271</v>
      </c>
      <c r="C59" s="292" t="s">
        <v>533</v>
      </c>
      <c r="D59" s="293">
        <v>912306821.5748378</v>
      </c>
      <c r="E59" s="349">
        <f t="shared" si="13"/>
        <v>7.6185739361095308E-4</v>
      </c>
      <c r="F59" s="295">
        <v>3</v>
      </c>
      <c r="G59" s="485">
        <v>1</v>
      </c>
      <c r="H59" s="486">
        <v>7.6185739361095308E-4</v>
      </c>
      <c r="I59" s="487">
        <v>912306821.5748378</v>
      </c>
      <c r="J59" s="430">
        <v>1</v>
      </c>
      <c r="K59" s="413">
        <f t="shared" si="14"/>
        <v>7.6185739361095308E-4</v>
      </c>
      <c r="L59" s="420">
        <f t="shared" si="15"/>
        <v>912306821.5748378</v>
      </c>
      <c r="M59" s="1271"/>
      <c r="N59" s="1272"/>
      <c r="O59" s="432"/>
      <c r="P59" s="336">
        <f t="shared" si="16"/>
        <v>0</v>
      </c>
      <c r="Q59" s="298">
        <f t="shared" si="17"/>
        <v>0</v>
      </c>
      <c r="R59" s="1265"/>
      <c r="S59" s="1266"/>
      <c r="T59" s="299"/>
    </row>
    <row r="60" spans="1:21" s="300" customFormat="1" ht="27.95" customHeight="1">
      <c r="A60" s="18">
        <v>53</v>
      </c>
      <c r="B60" s="291" t="s">
        <v>272</v>
      </c>
      <c r="C60" s="292" t="s">
        <v>762</v>
      </c>
      <c r="D60" s="293">
        <v>3041022738.5827932</v>
      </c>
      <c r="E60" s="349">
        <f t="shared" si="13"/>
        <v>2.539524645369844E-3</v>
      </c>
      <c r="F60" s="295">
        <v>14</v>
      </c>
      <c r="G60" s="485">
        <v>1</v>
      </c>
      <c r="H60" s="486">
        <v>2.539524645369844E-3</v>
      </c>
      <c r="I60" s="487">
        <v>3041022738.5827932</v>
      </c>
      <c r="J60" s="430">
        <v>1</v>
      </c>
      <c r="K60" s="413">
        <f t="shared" si="14"/>
        <v>2.539524645369844E-3</v>
      </c>
      <c r="L60" s="420">
        <f t="shared" si="15"/>
        <v>3041022738.5827932</v>
      </c>
      <c r="M60" s="1271"/>
      <c r="N60" s="1272"/>
      <c r="O60" s="433"/>
      <c r="P60" s="336">
        <f t="shared" si="16"/>
        <v>0</v>
      </c>
      <c r="Q60" s="298">
        <f t="shared" si="17"/>
        <v>0</v>
      </c>
      <c r="R60" s="1265"/>
      <c r="S60" s="1266"/>
      <c r="T60" s="299"/>
    </row>
    <row r="61" spans="1:21" s="300" customFormat="1" ht="27.95" customHeight="1">
      <c r="A61" s="18">
        <v>54</v>
      </c>
      <c r="B61" s="291" t="s">
        <v>627</v>
      </c>
      <c r="C61" s="292" t="s">
        <v>536</v>
      </c>
      <c r="D61" s="293">
        <v>760255684.64569831</v>
      </c>
      <c r="E61" s="349">
        <f t="shared" si="13"/>
        <v>6.3488116134246099E-4</v>
      </c>
      <c r="F61" s="295">
        <v>3</v>
      </c>
      <c r="G61" s="485">
        <v>1</v>
      </c>
      <c r="H61" s="486">
        <v>6.3488116134246099E-4</v>
      </c>
      <c r="I61" s="487">
        <v>760255684.64569831</v>
      </c>
      <c r="J61" s="430">
        <v>1</v>
      </c>
      <c r="K61" s="413">
        <f t="shared" si="14"/>
        <v>6.3488116134246099E-4</v>
      </c>
      <c r="L61" s="420">
        <f t="shared" si="15"/>
        <v>760255684.64569831</v>
      </c>
      <c r="M61" s="1271"/>
      <c r="N61" s="1272"/>
      <c r="O61" s="433"/>
      <c r="P61" s="336">
        <f t="shared" si="16"/>
        <v>0</v>
      </c>
      <c r="Q61" s="298">
        <f t="shared" si="17"/>
        <v>0</v>
      </c>
      <c r="R61" s="1265"/>
      <c r="S61" s="1266"/>
      <c r="T61" s="299"/>
    </row>
    <row r="62" spans="1:21" s="155" customFormat="1" ht="27.95" customHeight="1">
      <c r="A62" s="18">
        <v>55</v>
      </c>
      <c r="B62" s="122" t="s">
        <v>629</v>
      </c>
      <c r="C62" s="290" t="s">
        <v>562</v>
      </c>
      <c r="D62" s="272">
        <f>SUM(D63:D77)</f>
        <v>12440547566.929611</v>
      </c>
      <c r="E62" s="273">
        <f>SUM(E63:E77)</f>
        <v>1.0388964458331181E-2</v>
      </c>
      <c r="F62" s="274"/>
      <c r="G62" s="482">
        <v>4.9399999999999986E-2</v>
      </c>
      <c r="H62" s="491">
        <v>5.1321484424156024E-4</v>
      </c>
      <c r="I62" s="487">
        <v>614563049.80632257</v>
      </c>
      <c r="J62" s="310"/>
      <c r="K62" s="414">
        <f>SUM(K63:K77)</f>
        <v>1.6586532372842016E-3</v>
      </c>
      <c r="L62" s="420">
        <f t="shared" si="15"/>
        <v>1986199353.9624162</v>
      </c>
      <c r="M62" s="1267"/>
      <c r="N62" s="1268"/>
      <c r="O62" s="343">
        <f>Q62/D62</f>
        <v>0</v>
      </c>
      <c r="P62" s="336">
        <f>SUM(P63:P77)</f>
        <v>0</v>
      </c>
      <c r="Q62" s="298">
        <f>SUM(Q63:Q77)</f>
        <v>0</v>
      </c>
      <c r="R62" s="1265"/>
      <c r="S62" s="1266"/>
      <c r="T62" s="265"/>
    </row>
    <row r="63" spans="1:21" s="300" customFormat="1" ht="27.95" customHeight="1">
      <c r="A63" s="18">
        <v>56</v>
      </c>
      <c r="B63" s="291" t="s">
        <v>631</v>
      </c>
      <c r="C63" s="292" t="s">
        <v>542</v>
      </c>
      <c r="D63" s="293">
        <v>124405475.66929606</v>
      </c>
      <c r="E63" s="349">
        <f t="shared" si="13"/>
        <v>1.0388964458331177E-4</v>
      </c>
      <c r="F63" s="295">
        <v>21</v>
      </c>
      <c r="G63" s="485">
        <v>0</v>
      </c>
      <c r="H63" s="486">
        <v>0</v>
      </c>
      <c r="I63" s="487">
        <v>0</v>
      </c>
      <c r="J63" s="430">
        <v>1</v>
      </c>
      <c r="K63" s="413">
        <f t="shared" si="14"/>
        <v>1.0388964458331177E-4</v>
      </c>
      <c r="L63" s="420">
        <f t="shared" si="15"/>
        <v>124405475.66929606</v>
      </c>
      <c r="M63" s="1267"/>
      <c r="N63" s="1268"/>
      <c r="O63" s="433"/>
      <c r="P63" s="336">
        <f t="shared" ref="P63:P77" si="18">O63*E63</f>
        <v>0</v>
      </c>
      <c r="Q63" s="298">
        <f t="shared" ref="Q63:Q77" si="19">P63*$Q$4</f>
        <v>0</v>
      </c>
      <c r="R63" s="1265"/>
      <c r="S63" s="1266"/>
      <c r="T63" s="299"/>
    </row>
    <row r="64" spans="1:21" s="300" customFormat="1" ht="27.95" customHeight="1">
      <c r="A64" s="18">
        <v>57</v>
      </c>
      <c r="B64" s="291" t="s">
        <v>632</v>
      </c>
      <c r="C64" s="292" t="s">
        <v>602</v>
      </c>
      <c r="D64" s="293">
        <v>3072815249.0316129</v>
      </c>
      <c r="E64" s="349">
        <f t="shared" si="13"/>
        <v>2.566074221207801E-3</v>
      </c>
      <c r="F64" s="295">
        <v>14</v>
      </c>
      <c r="G64" s="485">
        <v>0.2</v>
      </c>
      <c r="H64" s="486">
        <v>5.1321484424156024E-4</v>
      </c>
      <c r="I64" s="487">
        <v>614563049.80632257</v>
      </c>
      <c r="J64" s="430">
        <v>0.33329999999999999</v>
      </c>
      <c r="K64" s="413">
        <f t="shared" si="14"/>
        <v>8.5527253792856001E-4</v>
      </c>
      <c r="L64" s="420">
        <f t="shared" si="15"/>
        <v>1024169322.5022365</v>
      </c>
      <c r="M64" s="1267"/>
      <c r="N64" s="1268"/>
      <c r="O64" s="433"/>
      <c r="P64" s="336">
        <f t="shared" si="18"/>
        <v>0</v>
      </c>
      <c r="Q64" s="298">
        <f t="shared" si="19"/>
        <v>0</v>
      </c>
      <c r="R64" s="1265"/>
      <c r="S64" s="1266"/>
      <c r="T64" s="299"/>
    </row>
    <row r="65" spans="1:21" s="300" customFormat="1" ht="27.95" customHeight="1">
      <c r="A65" s="18">
        <v>58</v>
      </c>
      <c r="B65" s="291" t="s">
        <v>636</v>
      </c>
      <c r="C65" s="292" t="s">
        <v>603</v>
      </c>
      <c r="D65" s="293">
        <v>1169411471.2913828</v>
      </c>
      <c r="E65" s="349">
        <f t="shared" si="13"/>
        <v>9.7656265908313057E-4</v>
      </c>
      <c r="F65" s="295">
        <v>14</v>
      </c>
      <c r="G65" s="485">
        <v>0</v>
      </c>
      <c r="H65" s="486">
        <v>0</v>
      </c>
      <c r="I65" s="487">
        <v>0</v>
      </c>
      <c r="J65" s="430">
        <v>0.33329999999999999</v>
      </c>
      <c r="K65" s="413">
        <f t="shared" si="14"/>
        <v>3.2548833427240741E-4</v>
      </c>
      <c r="L65" s="420">
        <f t="shared" si="15"/>
        <v>389764843.38141787</v>
      </c>
      <c r="M65" s="1267"/>
      <c r="N65" s="1268"/>
      <c r="O65" s="433"/>
      <c r="P65" s="336">
        <f t="shared" si="18"/>
        <v>0</v>
      </c>
      <c r="Q65" s="298">
        <f t="shared" si="19"/>
        <v>0</v>
      </c>
      <c r="R65" s="1265"/>
      <c r="S65" s="1266"/>
      <c r="T65" s="299"/>
    </row>
    <row r="66" spans="1:21" s="300" customFormat="1" ht="27.95" customHeight="1">
      <c r="A66" s="18">
        <v>59</v>
      </c>
      <c r="B66" s="291" t="s">
        <v>642</v>
      </c>
      <c r="C66" s="292" t="s">
        <v>748</v>
      </c>
      <c r="D66" s="293">
        <v>447859712.40946579</v>
      </c>
      <c r="E66" s="349">
        <f t="shared" si="13"/>
        <v>3.7400272049992238E-4</v>
      </c>
      <c r="F66" s="295">
        <v>23</v>
      </c>
      <c r="G66" s="485">
        <v>0</v>
      </c>
      <c r="H66" s="486">
        <v>0</v>
      </c>
      <c r="I66" s="487">
        <v>0</v>
      </c>
      <c r="J66" s="430">
        <v>1</v>
      </c>
      <c r="K66" s="413">
        <f t="shared" si="14"/>
        <v>3.7400272049992238E-4</v>
      </c>
      <c r="L66" s="420">
        <f t="shared" si="15"/>
        <v>447859712.40946579</v>
      </c>
      <c r="M66" s="1267"/>
      <c r="N66" s="1268"/>
      <c r="O66" s="433"/>
      <c r="P66" s="336">
        <f t="shared" si="18"/>
        <v>0</v>
      </c>
      <c r="Q66" s="298">
        <f t="shared" si="19"/>
        <v>0</v>
      </c>
      <c r="R66" s="1265"/>
      <c r="S66" s="1266"/>
      <c r="T66" s="299"/>
    </row>
    <row r="67" spans="1:21" s="300" customFormat="1" ht="27.95" customHeight="1">
      <c r="A67" s="18">
        <v>60</v>
      </c>
      <c r="B67" s="291" t="s">
        <v>644</v>
      </c>
      <c r="C67" s="292" t="s">
        <v>749</v>
      </c>
      <c r="D67" s="293">
        <v>547384092.94490266</v>
      </c>
      <c r="E67" s="349">
        <f t="shared" si="13"/>
        <v>4.5711443616657183E-4</v>
      </c>
      <c r="F67" s="295">
        <v>23</v>
      </c>
      <c r="G67" s="485">
        <v>0</v>
      </c>
      <c r="H67" s="486">
        <v>0</v>
      </c>
      <c r="I67" s="487">
        <v>0</v>
      </c>
      <c r="J67" s="430">
        <v>0</v>
      </c>
      <c r="K67" s="413">
        <f t="shared" si="14"/>
        <v>0</v>
      </c>
      <c r="L67" s="420">
        <f t="shared" si="15"/>
        <v>0</v>
      </c>
      <c r="M67" s="1267"/>
      <c r="N67" s="1268"/>
      <c r="O67" s="433"/>
      <c r="P67" s="336">
        <f t="shared" si="18"/>
        <v>0</v>
      </c>
      <c r="Q67" s="298">
        <f t="shared" si="19"/>
        <v>0</v>
      </c>
      <c r="R67" s="1265"/>
      <c r="S67" s="1266"/>
      <c r="T67" s="299"/>
    </row>
    <row r="68" spans="1:21" s="445" customFormat="1" ht="36" customHeight="1">
      <c r="A68" s="18">
        <v>61</v>
      </c>
      <c r="B68" s="291" t="s">
        <v>646</v>
      </c>
      <c r="C68" s="292" t="s">
        <v>750</v>
      </c>
      <c r="D68" s="293">
        <v>634467925.91340983</v>
      </c>
      <c r="E68" s="349">
        <f t="shared" si="13"/>
        <v>5.2983718737489003E-4</v>
      </c>
      <c r="F68" s="295">
        <v>23</v>
      </c>
      <c r="G68" s="485">
        <v>0</v>
      </c>
      <c r="H68" s="486">
        <v>0</v>
      </c>
      <c r="I68" s="487">
        <v>0</v>
      </c>
      <c r="J68" s="430">
        <v>0</v>
      </c>
      <c r="K68" s="413">
        <f t="shared" si="14"/>
        <v>0</v>
      </c>
      <c r="L68" s="420">
        <f t="shared" si="15"/>
        <v>0</v>
      </c>
      <c r="M68" s="1267"/>
      <c r="N68" s="1268"/>
      <c r="O68" s="433"/>
      <c r="P68" s="336">
        <f t="shared" si="18"/>
        <v>0</v>
      </c>
      <c r="Q68" s="298">
        <f t="shared" si="19"/>
        <v>0</v>
      </c>
      <c r="R68" s="1265"/>
      <c r="S68" s="1266"/>
      <c r="T68" s="299"/>
    </row>
    <row r="69" spans="1:21" s="300" customFormat="1" ht="27.95" customHeight="1">
      <c r="A69" s="18">
        <v>62</v>
      </c>
      <c r="B69" s="291" t="s">
        <v>697</v>
      </c>
      <c r="C69" s="292" t="s">
        <v>751</v>
      </c>
      <c r="D69" s="293">
        <v>298573141.60631049</v>
      </c>
      <c r="E69" s="349">
        <f t="shared" si="13"/>
        <v>2.4933514699994824E-4</v>
      </c>
      <c r="F69" s="295">
        <v>23</v>
      </c>
      <c r="G69" s="485">
        <v>0</v>
      </c>
      <c r="H69" s="486">
        <v>0</v>
      </c>
      <c r="I69" s="487">
        <v>0</v>
      </c>
      <c r="J69" s="430">
        <v>0</v>
      </c>
      <c r="K69" s="413">
        <f t="shared" si="14"/>
        <v>0</v>
      </c>
      <c r="L69" s="420">
        <f t="shared" si="15"/>
        <v>0</v>
      </c>
      <c r="M69" s="1267"/>
      <c r="N69" s="1268"/>
      <c r="O69" s="433"/>
      <c r="P69" s="336">
        <f t="shared" si="18"/>
        <v>0</v>
      </c>
      <c r="Q69" s="298">
        <f t="shared" si="19"/>
        <v>0</v>
      </c>
      <c r="R69" s="1265"/>
      <c r="S69" s="1266"/>
      <c r="T69" s="299"/>
    </row>
    <row r="70" spans="1:21" s="300" customFormat="1" ht="27.95" customHeight="1">
      <c r="A70" s="18">
        <v>63</v>
      </c>
      <c r="B70" s="291" t="s">
        <v>698</v>
      </c>
      <c r="C70" s="292" t="s">
        <v>652</v>
      </c>
      <c r="D70" s="293">
        <v>2861325940.3938093</v>
      </c>
      <c r="E70" s="349">
        <f t="shared" si="13"/>
        <v>2.389461825416171E-3</v>
      </c>
      <c r="F70" s="295">
        <v>23</v>
      </c>
      <c r="G70" s="485">
        <v>0</v>
      </c>
      <c r="H70" s="486">
        <v>0</v>
      </c>
      <c r="I70" s="487">
        <v>0</v>
      </c>
      <c r="J70" s="430">
        <v>0</v>
      </c>
      <c r="K70" s="413">
        <f t="shared" si="14"/>
        <v>0</v>
      </c>
      <c r="L70" s="420">
        <f t="shared" si="15"/>
        <v>0</v>
      </c>
      <c r="M70" s="1267"/>
      <c r="N70" s="1268"/>
      <c r="O70" s="433"/>
      <c r="P70" s="336">
        <f t="shared" si="18"/>
        <v>0</v>
      </c>
      <c r="Q70" s="298">
        <f t="shared" si="19"/>
        <v>0</v>
      </c>
      <c r="R70" s="1265"/>
      <c r="S70" s="1266"/>
      <c r="T70" s="299"/>
    </row>
    <row r="71" spans="1:21" s="300" customFormat="1" ht="27.95" customHeight="1">
      <c r="A71" s="18">
        <v>64</v>
      </c>
      <c r="B71" s="291" t="s">
        <v>699</v>
      </c>
      <c r="C71" s="292" t="s">
        <v>615</v>
      </c>
      <c r="D71" s="293">
        <v>273692046.47245133</v>
      </c>
      <c r="E71" s="349">
        <f t="shared" si="13"/>
        <v>2.2855721808328591E-4</v>
      </c>
      <c r="F71" s="295">
        <v>23</v>
      </c>
      <c r="G71" s="485">
        <v>0</v>
      </c>
      <c r="H71" s="486">
        <v>0</v>
      </c>
      <c r="I71" s="487">
        <v>0</v>
      </c>
      <c r="J71" s="430">
        <v>0</v>
      </c>
      <c r="K71" s="413">
        <f t="shared" si="14"/>
        <v>0</v>
      </c>
      <c r="L71" s="420">
        <f t="shared" si="15"/>
        <v>0</v>
      </c>
      <c r="M71" s="1267"/>
      <c r="N71" s="1268"/>
      <c r="O71" s="433"/>
      <c r="P71" s="336">
        <f t="shared" si="18"/>
        <v>0</v>
      </c>
      <c r="Q71" s="298">
        <f t="shared" si="19"/>
        <v>0</v>
      </c>
      <c r="R71" s="1265"/>
      <c r="S71" s="1266"/>
      <c r="T71" s="299"/>
    </row>
    <row r="72" spans="1:21" s="300" customFormat="1" ht="27.95" customHeight="1">
      <c r="A72" s="18">
        <v>65</v>
      </c>
      <c r="B72" s="291" t="s">
        <v>700</v>
      </c>
      <c r="C72" s="292" t="s">
        <v>554</v>
      </c>
      <c r="D72" s="293">
        <v>733992306.4488467</v>
      </c>
      <c r="E72" s="349">
        <f t="shared" si="13"/>
        <v>6.1294890304153943E-4</v>
      </c>
      <c r="F72" s="295">
        <v>23</v>
      </c>
      <c r="G72" s="485">
        <v>0</v>
      </c>
      <c r="H72" s="486">
        <v>0</v>
      </c>
      <c r="I72" s="487">
        <v>0</v>
      </c>
      <c r="J72" s="430">
        <v>0</v>
      </c>
      <c r="K72" s="413">
        <f t="shared" si="14"/>
        <v>0</v>
      </c>
      <c r="L72" s="420">
        <f t="shared" si="15"/>
        <v>0</v>
      </c>
      <c r="M72" s="1267"/>
      <c r="N72" s="1268"/>
      <c r="O72" s="433"/>
      <c r="P72" s="336">
        <f t="shared" si="18"/>
        <v>0</v>
      </c>
      <c r="Q72" s="298">
        <f t="shared" si="19"/>
        <v>0</v>
      </c>
      <c r="R72" s="1265"/>
      <c r="S72" s="1266"/>
      <c r="T72" s="299"/>
    </row>
    <row r="73" spans="1:21" s="300" customFormat="1" ht="27.95" customHeight="1">
      <c r="A73" s="18">
        <v>66</v>
      </c>
      <c r="B73" s="291" t="s">
        <v>701</v>
      </c>
      <c r="C73" s="292" t="s">
        <v>555</v>
      </c>
      <c r="D73" s="293">
        <v>733992306.4488467</v>
      </c>
      <c r="E73" s="349">
        <f t="shared" si="13"/>
        <v>6.1294890304153943E-4</v>
      </c>
      <c r="F73" s="295">
        <v>23</v>
      </c>
      <c r="G73" s="485">
        <v>0</v>
      </c>
      <c r="H73" s="486">
        <v>0</v>
      </c>
      <c r="I73" s="487">
        <v>0</v>
      </c>
      <c r="J73" s="430">
        <v>0</v>
      </c>
      <c r="K73" s="413">
        <f t="shared" si="14"/>
        <v>0</v>
      </c>
      <c r="L73" s="420">
        <f t="shared" si="15"/>
        <v>0</v>
      </c>
      <c r="M73" s="1267"/>
      <c r="N73" s="1268"/>
      <c r="O73" s="433"/>
      <c r="P73" s="336">
        <f t="shared" si="18"/>
        <v>0</v>
      </c>
      <c r="Q73" s="298">
        <f t="shared" si="19"/>
        <v>0</v>
      </c>
      <c r="R73" s="1265"/>
      <c r="S73" s="1266"/>
      <c r="T73" s="299"/>
    </row>
    <row r="74" spans="1:21" s="300" customFormat="1" ht="27.95" customHeight="1">
      <c r="A74" s="18">
        <v>67</v>
      </c>
      <c r="B74" s="291" t="s">
        <v>702</v>
      </c>
      <c r="C74" s="292" t="s">
        <v>556</v>
      </c>
      <c r="D74" s="293">
        <v>497621902.67718422</v>
      </c>
      <c r="E74" s="349">
        <f t="shared" si="13"/>
        <v>4.1555857833324708E-4</v>
      </c>
      <c r="F74" s="295">
        <v>23</v>
      </c>
      <c r="G74" s="485">
        <v>0</v>
      </c>
      <c r="H74" s="486">
        <v>0</v>
      </c>
      <c r="I74" s="487">
        <v>0</v>
      </c>
      <c r="J74" s="430">
        <v>0</v>
      </c>
      <c r="K74" s="413">
        <f t="shared" si="14"/>
        <v>0</v>
      </c>
      <c r="L74" s="420">
        <f t="shared" si="15"/>
        <v>0</v>
      </c>
      <c r="M74" s="1267"/>
      <c r="N74" s="1268"/>
      <c r="O74" s="433"/>
      <c r="P74" s="336">
        <f t="shared" si="18"/>
        <v>0</v>
      </c>
      <c r="Q74" s="298">
        <f t="shared" si="19"/>
        <v>0</v>
      </c>
      <c r="R74" s="1265"/>
      <c r="S74" s="1266"/>
      <c r="T74" s="299"/>
    </row>
    <row r="75" spans="1:21" s="300" customFormat="1" ht="27.95" customHeight="1">
      <c r="A75" s="18">
        <v>68</v>
      </c>
      <c r="B75" s="291" t="s">
        <v>703</v>
      </c>
      <c r="C75" s="292" t="s">
        <v>557</v>
      </c>
      <c r="D75" s="293">
        <v>497621902.67718422</v>
      </c>
      <c r="E75" s="349">
        <f t="shared" si="13"/>
        <v>4.1555857833324708E-4</v>
      </c>
      <c r="F75" s="295">
        <v>23</v>
      </c>
      <c r="G75" s="485">
        <v>0</v>
      </c>
      <c r="H75" s="486">
        <v>0</v>
      </c>
      <c r="I75" s="487">
        <v>0</v>
      </c>
      <c r="J75" s="430">
        <v>0</v>
      </c>
      <c r="K75" s="413">
        <f t="shared" si="14"/>
        <v>0</v>
      </c>
      <c r="L75" s="420">
        <f t="shared" si="15"/>
        <v>0</v>
      </c>
      <c r="M75" s="1267"/>
      <c r="N75" s="1268"/>
      <c r="O75" s="433"/>
      <c r="P75" s="336">
        <f t="shared" si="18"/>
        <v>0</v>
      </c>
      <c r="Q75" s="298">
        <f t="shared" si="19"/>
        <v>0</v>
      </c>
      <c r="R75" s="1265"/>
      <c r="S75" s="1266"/>
      <c r="T75" s="299"/>
    </row>
    <row r="76" spans="1:21" s="300" customFormat="1" ht="27.95" customHeight="1">
      <c r="A76" s="18">
        <v>69</v>
      </c>
      <c r="B76" s="291" t="s">
        <v>704</v>
      </c>
      <c r="C76" s="292" t="s">
        <v>558</v>
      </c>
      <c r="D76" s="293">
        <v>273692046.47245133</v>
      </c>
      <c r="E76" s="349">
        <f t="shared" si="13"/>
        <v>2.2855721808328591E-4</v>
      </c>
      <c r="F76" s="295">
        <v>23</v>
      </c>
      <c r="G76" s="485">
        <v>0</v>
      </c>
      <c r="H76" s="486">
        <v>0</v>
      </c>
      <c r="I76" s="487">
        <v>0</v>
      </c>
      <c r="J76" s="430">
        <v>0</v>
      </c>
      <c r="K76" s="413">
        <f t="shared" si="14"/>
        <v>0</v>
      </c>
      <c r="L76" s="420">
        <f t="shared" si="15"/>
        <v>0</v>
      </c>
      <c r="M76" s="1267"/>
      <c r="N76" s="1268"/>
      <c r="O76" s="433"/>
      <c r="P76" s="336">
        <f t="shared" si="18"/>
        <v>0</v>
      </c>
      <c r="Q76" s="298">
        <f t="shared" si="19"/>
        <v>0</v>
      </c>
      <c r="R76" s="1265"/>
      <c r="S76" s="1266"/>
      <c r="T76" s="299"/>
    </row>
    <row r="77" spans="1:21" s="300" customFormat="1" ht="27.95" customHeight="1">
      <c r="A77" s="18">
        <v>70</v>
      </c>
      <c r="B77" s="291" t="s">
        <v>705</v>
      </c>
      <c r="C77" s="292" t="s">
        <v>560</v>
      </c>
      <c r="D77" s="293">
        <v>273692046.47245133</v>
      </c>
      <c r="E77" s="349">
        <f t="shared" si="13"/>
        <v>2.2855721808328591E-4</v>
      </c>
      <c r="F77" s="295">
        <v>23</v>
      </c>
      <c r="G77" s="485">
        <v>0</v>
      </c>
      <c r="H77" s="486">
        <v>0</v>
      </c>
      <c r="I77" s="487">
        <v>0</v>
      </c>
      <c r="J77" s="430">
        <v>0</v>
      </c>
      <c r="K77" s="413">
        <f t="shared" si="14"/>
        <v>0</v>
      </c>
      <c r="L77" s="420">
        <f t="shared" si="15"/>
        <v>0</v>
      </c>
      <c r="M77" s="1267"/>
      <c r="N77" s="1268"/>
      <c r="O77" s="433"/>
      <c r="P77" s="336">
        <f t="shared" si="18"/>
        <v>0</v>
      </c>
      <c r="Q77" s="298">
        <f t="shared" si="19"/>
        <v>0</v>
      </c>
      <c r="R77" s="1265"/>
      <c r="S77" s="1266"/>
      <c r="T77" s="299"/>
    </row>
    <row r="78" spans="1:21" s="141" customFormat="1" ht="35.1" customHeight="1">
      <c r="A78" s="18">
        <v>71</v>
      </c>
      <c r="B78" s="145" t="s">
        <v>208</v>
      </c>
      <c r="C78" s="289" t="s">
        <v>563</v>
      </c>
      <c r="D78" s="269">
        <f>D79+D89+D101</f>
        <v>156941355479.54877</v>
      </c>
      <c r="E78" s="270">
        <f>E79+E89+E101</f>
        <v>0.13105999999980361</v>
      </c>
      <c r="F78" s="271"/>
      <c r="G78" s="479">
        <v>0.66477899999981194</v>
      </c>
      <c r="H78" s="480">
        <v>8.7125935739844826E-2</v>
      </c>
      <c r="I78" s="481">
        <v>104331317354.30943</v>
      </c>
      <c r="J78" s="309"/>
      <c r="K78" s="411">
        <f>K79+K89+K101</f>
        <v>9.392678133990362E-2</v>
      </c>
      <c r="L78" s="417">
        <f>L79+L89+L101</f>
        <v>112475174571.47679</v>
      </c>
      <c r="M78" s="1267"/>
      <c r="N78" s="1268"/>
      <c r="O78" s="343">
        <f>Q78/D78</f>
        <v>0</v>
      </c>
      <c r="P78" s="338">
        <f>P79+P89+P101</f>
        <v>0</v>
      </c>
      <c r="Q78" s="339">
        <f>Q79+Q89+Q101</f>
        <v>0</v>
      </c>
      <c r="R78" s="1265"/>
      <c r="S78" s="1266"/>
      <c r="T78" s="260"/>
      <c r="U78" s="328"/>
    </row>
    <row r="79" spans="1:21" s="155" customFormat="1" ht="27.95" customHeight="1">
      <c r="A79" s="18">
        <v>72</v>
      </c>
      <c r="B79" s="122" t="s">
        <v>293</v>
      </c>
      <c r="C79" s="290" t="s">
        <v>526</v>
      </c>
      <c r="D79" s="272">
        <f>SUM(D80:D88)</f>
        <v>58068301527.620056</v>
      </c>
      <c r="E79" s="273">
        <f>SUM(E80:E88)</f>
        <v>4.8492200000083516E-2</v>
      </c>
      <c r="F79" s="274"/>
      <c r="G79" s="482">
        <v>0.99749999999991823</v>
      </c>
      <c r="H79" s="483">
        <v>4.8370969500079346E-2</v>
      </c>
      <c r="I79" s="484">
        <v>57923130773.796257</v>
      </c>
      <c r="J79" s="310"/>
      <c r="K79" s="412">
        <f>SUM(K80:K88)</f>
        <v>4.8492200000083516E-2</v>
      </c>
      <c r="L79" s="419">
        <f>SUM(L80:L88)</f>
        <v>58068301527.620056</v>
      </c>
      <c r="M79" s="1267"/>
      <c r="N79" s="1268"/>
      <c r="O79" s="343">
        <f>Q79/D79</f>
        <v>0</v>
      </c>
      <c r="P79" s="340">
        <f>SUM(P80:P88)</f>
        <v>0</v>
      </c>
      <c r="Q79" s="341">
        <f>SUM(Q80:Q88)</f>
        <v>0</v>
      </c>
      <c r="R79" s="1265"/>
      <c r="S79" s="1266"/>
      <c r="T79" s="265"/>
    </row>
    <row r="80" spans="1:21" s="300" customFormat="1" ht="27.95" customHeight="1">
      <c r="A80" s="18">
        <v>73</v>
      </c>
      <c r="B80" s="291" t="s">
        <v>294</v>
      </c>
      <c r="C80" s="292" t="s">
        <v>527</v>
      </c>
      <c r="D80" s="293">
        <v>2903415076.3760033</v>
      </c>
      <c r="E80" s="349">
        <f t="shared" ref="E80:E88" si="20">D80/$Q$4</f>
        <v>2.4246100000000007E-3</v>
      </c>
      <c r="F80" s="295">
        <v>3</v>
      </c>
      <c r="G80" s="485">
        <v>1</v>
      </c>
      <c r="H80" s="486">
        <v>2.4246100000000007E-3</v>
      </c>
      <c r="I80" s="487">
        <v>2903415076.3760033</v>
      </c>
      <c r="J80" s="430">
        <v>1</v>
      </c>
      <c r="K80" s="413">
        <f t="shared" ref="K80:K88" si="21">J80*E80</f>
        <v>2.4246100000000007E-3</v>
      </c>
      <c r="L80" s="420">
        <f t="shared" ref="L80:L89" si="22">K80*$Q$4</f>
        <v>2903415076.3760033</v>
      </c>
      <c r="M80" s="1267"/>
      <c r="N80" s="1268"/>
      <c r="O80" s="432"/>
      <c r="P80" s="336">
        <f t="shared" ref="P80:P88" si="23">O80*E80</f>
        <v>0</v>
      </c>
      <c r="Q80" s="298">
        <f t="shared" ref="Q80:Q89" si="24">P80*$Q$4</f>
        <v>0</v>
      </c>
      <c r="R80" s="1265"/>
      <c r="S80" s="1266"/>
      <c r="T80" s="299"/>
      <c r="U80" s="327"/>
    </row>
    <row r="81" spans="1:21" s="300" customFormat="1" ht="27.95" customHeight="1">
      <c r="A81" s="18">
        <v>74</v>
      </c>
      <c r="B81" s="291" t="s">
        <v>295</v>
      </c>
      <c r="C81" s="292" t="s">
        <v>528</v>
      </c>
      <c r="D81" s="293">
        <v>5806830152.7520065</v>
      </c>
      <c r="E81" s="349">
        <f t="shared" si="20"/>
        <v>4.8492200000000013E-3</v>
      </c>
      <c r="F81" s="295">
        <v>3</v>
      </c>
      <c r="G81" s="485">
        <v>1</v>
      </c>
      <c r="H81" s="486">
        <v>4.8492200000000013E-3</v>
      </c>
      <c r="I81" s="487">
        <v>5806830152.7520065</v>
      </c>
      <c r="J81" s="430">
        <v>1</v>
      </c>
      <c r="K81" s="413">
        <f t="shared" si="21"/>
        <v>4.8492200000000013E-3</v>
      </c>
      <c r="L81" s="420">
        <f t="shared" si="22"/>
        <v>5806830152.7520065</v>
      </c>
      <c r="M81" s="1267"/>
      <c r="N81" s="1268"/>
      <c r="O81" s="432"/>
      <c r="P81" s="336">
        <f t="shared" si="23"/>
        <v>0</v>
      </c>
      <c r="Q81" s="298">
        <f t="shared" si="24"/>
        <v>0</v>
      </c>
      <c r="R81" s="1265"/>
      <c r="S81" s="1266"/>
      <c r="T81" s="299"/>
    </row>
    <row r="82" spans="1:21" s="300" customFormat="1" ht="27.95" customHeight="1">
      <c r="A82" s="18">
        <v>75</v>
      </c>
      <c r="B82" s="291" t="s">
        <v>296</v>
      </c>
      <c r="C82" s="292" t="s">
        <v>529</v>
      </c>
      <c r="D82" s="293">
        <v>5806830152.7520065</v>
      </c>
      <c r="E82" s="349">
        <f t="shared" si="20"/>
        <v>4.8492200000000013E-3</v>
      </c>
      <c r="F82" s="295">
        <v>3</v>
      </c>
      <c r="G82" s="485">
        <v>1</v>
      </c>
      <c r="H82" s="486">
        <v>4.8492200000000013E-3</v>
      </c>
      <c r="I82" s="487">
        <v>5806830152.7520065</v>
      </c>
      <c r="J82" s="430">
        <v>1</v>
      </c>
      <c r="K82" s="413">
        <f t="shared" si="21"/>
        <v>4.8492200000000013E-3</v>
      </c>
      <c r="L82" s="420">
        <f t="shared" si="22"/>
        <v>5806830152.7520065</v>
      </c>
      <c r="M82" s="1267"/>
      <c r="N82" s="1268"/>
      <c r="O82" s="432"/>
      <c r="P82" s="336">
        <f t="shared" si="23"/>
        <v>0</v>
      </c>
      <c r="Q82" s="298">
        <f t="shared" si="24"/>
        <v>0</v>
      </c>
      <c r="R82" s="1265"/>
      <c r="S82" s="1266"/>
      <c r="T82" s="299"/>
    </row>
    <row r="83" spans="1:21" s="300" customFormat="1" ht="27.95" customHeight="1">
      <c r="A83" s="18">
        <v>76</v>
      </c>
      <c r="B83" s="291" t="s">
        <v>297</v>
      </c>
      <c r="C83" s="292" t="s">
        <v>530</v>
      </c>
      <c r="D83" s="293">
        <v>11613660305.504013</v>
      </c>
      <c r="E83" s="349">
        <f t="shared" si="20"/>
        <v>9.6984400000000026E-3</v>
      </c>
      <c r="F83" s="295">
        <v>14</v>
      </c>
      <c r="G83" s="485">
        <v>1</v>
      </c>
      <c r="H83" s="486">
        <v>9.6984400000000026E-3</v>
      </c>
      <c r="I83" s="487">
        <v>11613660305.504013</v>
      </c>
      <c r="J83" s="430">
        <v>1</v>
      </c>
      <c r="K83" s="413">
        <f t="shared" si="21"/>
        <v>9.6984400000000026E-3</v>
      </c>
      <c r="L83" s="420">
        <f t="shared" si="22"/>
        <v>11613660305.504013</v>
      </c>
      <c r="M83" s="1267"/>
      <c r="N83" s="1268"/>
      <c r="O83" s="432"/>
      <c r="P83" s="336">
        <f t="shared" si="23"/>
        <v>0</v>
      </c>
      <c r="Q83" s="298">
        <f t="shared" si="24"/>
        <v>0</v>
      </c>
      <c r="R83" s="1265"/>
      <c r="S83" s="1266"/>
      <c r="T83" s="299"/>
    </row>
    <row r="84" spans="1:21" s="300" customFormat="1" ht="27.95" customHeight="1">
      <c r="A84" s="18">
        <v>77</v>
      </c>
      <c r="B84" s="291" t="s">
        <v>298</v>
      </c>
      <c r="C84" s="292" t="s">
        <v>531</v>
      </c>
      <c r="D84" s="293">
        <v>8710245229.1280079</v>
      </c>
      <c r="E84" s="349">
        <f t="shared" si="20"/>
        <v>7.2738300000000002E-3</v>
      </c>
      <c r="F84" s="295">
        <v>3</v>
      </c>
      <c r="G84" s="485">
        <v>1</v>
      </c>
      <c r="H84" s="486">
        <v>7.2738300000000002E-3</v>
      </c>
      <c r="I84" s="487">
        <v>8710245229.1280079</v>
      </c>
      <c r="J84" s="430">
        <v>1</v>
      </c>
      <c r="K84" s="413">
        <f t="shared" si="21"/>
        <v>7.2738300000000002E-3</v>
      </c>
      <c r="L84" s="420">
        <f t="shared" si="22"/>
        <v>8710245229.1280079</v>
      </c>
      <c r="M84" s="1267"/>
      <c r="N84" s="1268"/>
      <c r="O84" s="432"/>
      <c r="P84" s="336">
        <f t="shared" si="23"/>
        <v>0</v>
      </c>
      <c r="Q84" s="298">
        <f t="shared" si="24"/>
        <v>0</v>
      </c>
      <c r="R84" s="1265"/>
      <c r="S84" s="1266"/>
      <c r="T84" s="299"/>
    </row>
    <row r="85" spans="1:21" s="300" customFormat="1" ht="27.95" customHeight="1">
      <c r="A85" s="18">
        <v>78</v>
      </c>
      <c r="B85" s="291" t="s">
        <v>299</v>
      </c>
      <c r="C85" s="292" t="s">
        <v>532</v>
      </c>
      <c r="D85" s="293">
        <v>6677854675.6648073</v>
      </c>
      <c r="E85" s="349">
        <f t="shared" si="20"/>
        <v>5.5766030000000012E-3</v>
      </c>
      <c r="F85" s="295">
        <v>14</v>
      </c>
      <c r="G85" s="485">
        <v>1</v>
      </c>
      <c r="H85" s="486">
        <v>5.5766030000000012E-3</v>
      </c>
      <c r="I85" s="487">
        <v>6677854675.6648073</v>
      </c>
      <c r="J85" s="430">
        <v>1</v>
      </c>
      <c r="K85" s="413">
        <f t="shared" si="21"/>
        <v>5.5766030000000012E-3</v>
      </c>
      <c r="L85" s="420">
        <f t="shared" si="22"/>
        <v>6677854675.6648073</v>
      </c>
      <c r="M85" s="1267"/>
      <c r="N85" s="1268"/>
      <c r="O85" s="432"/>
      <c r="P85" s="336">
        <f t="shared" si="23"/>
        <v>0</v>
      </c>
      <c r="Q85" s="298">
        <f t="shared" si="24"/>
        <v>0</v>
      </c>
      <c r="R85" s="1265"/>
      <c r="S85" s="1266"/>
      <c r="T85" s="299"/>
    </row>
    <row r="86" spans="1:21" s="300" customFormat="1" ht="27.95" customHeight="1">
      <c r="A86" s="18">
        <v>79</v>
      </c>
      <c r="B86" s="291" t="s">
        <v>300</v>
      </c>
      <c r="C86" s="292" t="s">
        <v>533</v>
      </c>
      <c r="D86" s="293">
        <v>4935805629.8392048</v>
      </c>
      <c r="E86" s="349">
        <f t="shared" si="20"/>
        <v>4.1218370000000006E-3</v>
      </c>
      <c r="F86" s="295">
        <v>3</v>
      </c>
      <c r="G86" s="485">
        <v>1</v>
      </c>
      <c r="H86" s="486">
        <v>4.1218370000000006E-3</v>
      </c>
      <c r="I86" s="487">
        <v>4935805629.8392048</v>
      </c>
      <c r="J86" s="430">
        <v>1</v>
      </c>
      <c r="K86" s="413">
        <f t="shared" si="21"/>
        <v>4.1218370000000006E-3</v>
      </c>
      <c r="L86" s="420">
        <f t="shared" si="22"/>
        <v>4935805629.8392048</v>
      </c>
      <c r="M86" s="1267"/>
      <c r="N86" s="1268"/>
      <c r="O86" s="432"/>
      <c r="P86" s="336">
        <f t="shared" si="23"/>
        <v>0</v>
      </c>
      <c r="Q86" s="298">
        <f t="shared" si="24"/>
        <v>0</v>
      </c>
      <c r="R86" s="1265"/>
      <c r="S86" s="1266"/>
      <c r="T86" s="299"/>
    </row>
    <row r="87" spans="1:21" s="300" customFormat="1" ht="27.95" customHeight="1">
      <c r="A87" s="18">
        <v>80</v>
      </c>
      <c r="B87" s="291" t="s">
        <v>301</v>
      </c>
      <c r="C87" s="292" t="s">
        <v>752</v>
      </c>
      <c r="D87" s="293">
        <v>8710245229.1280079</v>
      </c>
      <c r="E87" s="349">
        <f t="shared" si="20"/>
        <v>7.2738300000000002E-3</v>
      </c>
      <c r="F87" s="295">
        <v>14</v>
      </c>
      <c r="G87" s="485">
        <v>1</v>
      </c>
      <c r="H87" s="486">
        <v>7.2738300000000002E-3</v>
      </c>
      <c r="I87" s="487">
        <v>8710245229.1280079</v>
      </c>
      <c r="J87" s="430">
        <v>1</v>
      </c>
      <c r="K87" s="413">
        <f t="shared" si="21"/>
        <v>7.2738300000000002E-3</v>
      </c>
      <c r="L87" s="420">
        <f t="shared" si="22"/>
        <v>8710245229.1280079</v>
      </c>
      <c r="M87" s="1267"/>
      <c r="N87" s="1268"/>
      <c r="O87" s="432"/>
      <c r="P87" s="336">
        <f t="shared" si="23"/>
        <v>0</v>
      </c>
      <c r="Q87" s="298">
        <f t="shared" si="24"/>
        <v>0</v>
      </c>
      <c r="R87" s="1265"/>
      <c r="S87" s="1266"/>
      <c r="T87" s="299"/>
    </row>
    <row r="88" spans="1:21" s="300" customFormat="1" ht="27.95" customHeight="1">
      <c r="A88" s="18">
        <v>81</v>
      </c>
      <c r="B88" s="291" t="s">
        <v>650</v>
      </c>
      <c r="C88" s="292" t="s">
        <v>536</v>
      </c>
      <c r="D88" s="293">
        <v>2903415076.4759998</v>
      </c>
      <c r="E88" s="349">
        <f t="shared" si="20"/>
        <v>2.4246100000835068E-3</v>
      </c>
      <c r="F88" s="295">
        <v>3</v>
      </c>
      <c r="G88" s="485">
        <v>0.95</v>
      </c>
      <c r="H88" s="486">
        <v>2.3033795000793312E-3</v>
      </c>
      <c r="I88" s="487">
        <v>2758244322.6521997</v>
      </c>
      <c r="J88" s="430">
        <v>1</v>
      </c>
      <c r="K88" s="413">
        <f t="shared" si="21"/>
        <v>2.4246100000835068E-3</v>
      </c>
      <c r="L88" s="420">
        <f t="shared" si="22"/>
        <v>2903415076.4759998</v>
      </c>
      <c r="M88" s="1267"/>
      <c r="N88" s="1268"/>
      <c r="O88" s="433"/>
      <c r="P88" s="336">
        <f t="shared" si="23"/>
        <v>0</v>
      </c>
      <c r="Q88" s="298">
        <f t="shared" si="24"/>
        <v>0</v>
      </c>
      <c r="R88" s="1265"/>
      <c r="S88" s="1266"/>
      <c r="T88" s="299"/>
    </row>
    <row r="89" spans="1:21" s="155" customFormat="1" ht="27.95" customHeight="1">
      <c r="A89" s="18">
        <v>82</v>
      </c>
      <c r="B89" s="122" t="s">
        <v>303</v>
      </c>
      <c r="C89" s="290" t="s">
        <v>539</v>
      </c>
      <c r="D89" s="272">
        <f>SUM(D90:D99)</f>
        <v>47082406643.599998</v>
      </c>
      <c r="E89" s="350">
        <f>SUM(E90:E99)</f>
        <v>3.9317999999720105E-2</v>
      </c>
      <c r="F89" s="274"/>
      <c r="G89" s="482">
        <v>0</v>
      </c>
      <c r="H89" s="492">
        <v>3.7336372799765476E-2</v>
      </c>
      <c r="I89" s="484">
        <v>44709453348.800003</v>
      </c>
      <c r="J89" s="310"/>
      <c r="K89" s="415">
        <f>SUM(K90:K99)</f>
        <v>3.9317999999720105E-2</v>
      </c>
      <c r="L89" s="419">
        <f t="shared" si="22"/>
        <v>47082406643.600006</v>
      </c>
      <c r="M89" s="1267"/>
      <c r="N89" s="1268"/>
      <c r="O89" s="343"/>
      <c r="P89" s="351">
        <f>SUM(P90:P99)</f>
        <v>0</v>
      </c>
      <c r="Q89" s="341">
        <f t="shared" si="24"/>
        <v>0</v>
      </c>
      <c r="R89" s="1265"/>
      <c r="S89" s="1266"/>
      <c r="T89" s="265"/>
    </row>
    <row r="90" spans="1:21" s="300" customFormat="1" ht="27.95" customHeight="1">
      <c r="A90" s="18">
        <v>83</v>
      </c>
      <c r="B90" s="291" t="s">
        <v>304</v>
      </c>
      <c r="C90" s="292" t="s">
        <v>740</v>
      </c>
      <c r="D90" s="293">
        <v>1600801826</v>
      </c>
      <c r="E90" s="294">
        <f>D90/$Q$4</f>
        <v>1.3368120000886898E-3</v>
      </c>
      <c r="F90" s="305">
        <v>3</v>
      </c>
      <c r="G90" s="485">
        <v>1</v>
      </c>
      <c r="H90" s="486">
        <v>1.3368120000886898E-3</v>
      </c>
      <c r="I90" s="487">
        <v>1600801826</v>
      </c>
      <c r="J90" s="430">
        <v>1</v>
      </c>
      <c r="K90" s="413">
        <f t="shared" ref="K90:K100" si="25">J90*E90</f>
        <v>1.3368120000886898E-3</v>
      </c>
      <c r="L90" s="420">
        <f t="shared" ref="L90:L100" si="26">K90*$Q$4</f>
        <v>1600801826</v>
      </c>
      <c r="M90" s="1267"/>
      <c r="N90" s="1268"/>
      <c r="O90" s="434"/>
      <c r="P90" s="336">
        <f>O90*E90</f>
        <v>0</v>
      </c>
      <c r="Q90" s="298">
        <f>O90*D90</f>
        <v>0</v>
      </c>
      <c r="R90" s="1265"/>
      <c r="S90" s="1266"/>
      <c r="T90" s="299"/>
      <c r="U90" s="327"/>
    </row>
    <row r="91" spans="1:21" s="300" customFormat="1" ht="27.95" customHeight="1">
      <c r="A91" s="18">
        <v>84</v>
      </c>
      <c r="B91" s="291" t="s">
        <v>753</v>
      </c>
      <c r="C91" s="292" t="s">
        <v>537</v>
      </c>
      <c r="D91" s="293">
        <v>8474833196</v>
      </c>
      <c r="E91" s="294">
        <f t="shared" ref="E91:E99" si="27">D91/$Q$4</f>
        <v>7.077240000076551E-3</v>
      </c>
      <c r="F91" s="305">
        <v>8</v>
      </c>
      <c r="G91" s="485">
        <v>1</v>
      </c>
      <c r="H91" s="486">
        <v>7.077240000076551E-3</v>
      </c>
      <c r="I91" s="487">
        <v>8474833196</v>
      </c>
      <c r="J91" s="430">
        <v>1</v>
      </c>
      <c r="K91" s="413">
        <f t="shared" si="25"/>
        <v>7.077240000076551E-3</v>
      </c>
      <c r="L91" s="420">
        <f t="shared" si="26"/>
        <v>8474833196</v>
      </c>
      <c r="M91" s="1267"/>
      <c r="N91" s="1268"/>
      <c r="O91" s="434"/>
      <c r="P91" s="336">
        <f t="shared" ref="P91:P100" si="28">O91*E91</f>
        <v>0</v>
      </c>
      <c r="Q91" s="298">
        <f t="shared" ref="Q91:Q100" si="29">O91*D91</f>
        <v>0</v>
      </c>
      <c r="R91" s="1265"/>
      <c r="S91" s="1266"/>
      <c r="T91" s="299"/>
      <c r="U91" s="327"/>
    </row>
    <row r="92" spans="1:21" s="300" customFormat="1" ht="27.95" customHeight="1">
      <c r="A92" s="18">
        <v>85</v>
      </c>
      <c r="B92" s="291" t="s">
        <v>706</v>
      </c>
      <c r="C92" s="292" t="s">
        <v>741</v>
      </c>
      <c r="D92" s="293">
        <v>16949666392</v>
      </c>
      <c r="E92" s="294">
        <f t="shared" si="27"/>
        <v>1.4154480000153102E-2</v>
      </c>
      <c r="F92" s="305">
        <v>9</v>
      </c>
      <c r="G92" s="485">
        <v>1</v>
      </c>
      <c r="H92" s="486">
        <v>1.4154480000153102E-2</v>
      </c>
      <c r="I92" s="487">
        <v>16949666392</v>
      </c>
      <c r="J92" s="430">
        <v>1</v>
      </c>
      <c r="K92" s="413">
        <f t="shared" si="25"/>
        <v>1.4154480000153102E-2</v>
      </c>
      <c r="L92" s="420">
        <f t="shared" si="26"/>
        <v>16949666392</v>
      </c>
      <c r="M92" s="1267"/>
      <c r="N92" s="1268"/>
      <c r="O92" s="434"/>
      <c r="P92" s="336">
        <f t="shared" si="28"/>
        <v>0</v>
      </c>
      <c r="Q92" s="298">
        <f t="shared" si="29"/>
        <v>0</v>
      </c>
      <c r="R92" s="1265"/>
      <c r="S92" s="1266"/>
      <c r="T92" s="299"/>
      <c r="U92" s="327"/>
    </row>
    <row r="93" spans="1:21" s="300" customFormat="1" ht="27.95" customHeight="1">
      <c r="A93" s="18">
        <v>86</v>
      </c>
      <c r="B93" s="291" t="s">
        <v>754</v>
      </c>
      <c r="C93" s="292" t="s">
        <v>742</v>
      </c>
      <c r="D93" s="293">
        <v>8474833196</v>
      </c>
      <c r="E93" s="294">
        <f t="shared" si="27"/>
        <v>7.077240000076551E-3</v>
      </c>
      <c r="F93" s="394" t="s">
        <v>877</v>
      </c>
      <c r="G93" s="485">
        <v>1</v>
      </c>
      <c r="H93" s="486">
        <v>7.077240000076551E-3</v>
      </c>
      <c r="I93" s="487">
        <v>8474833196</v>
      </c>
      <c r="J93" s="430">
        <v>1</v>
      </c>
      <c r="K93" s="413">
        <f t="shared" si="25"/>
        <v>7.077240000076551E-3</v>
      </c>
      <c r="L93" s="420">
        <f t="shared" si="26"/>
        <v>8474833196</v>
      </c>
      <c r="M93" s="1267"/>
      <c r="N93" s="1268"/>
      <c r="O93" s="434"/>
      <c r="P93" s="336">
        <f t="shared" si="28"/>
        <v>0</v>
      </c>
      <c r="Q93" s="298">
        <f t="shared" si="29"/>
        <v>0</v>
      </c>
      <c r="R93" s="1265"/>
      <c r="S93" s="1266"/>
      <c r="T93" s="299"/>
      <c r="U93" s="327"/>
    </row>
    <row r="94" spans="1:21" s="300" customFormat="1" ht="27.95" customHeight="1">
      <c r="A94" s="18">
        <v>87</v>
      </c>
      <c r="B94" s="291" t="s">
        <v>755</v>
      </c>
      <c r="C94" s="292" t="s">
        <v>743</v>
      </c>
      <c r="D94" s="293">
        <v>470824066</v>
      </c>
      <c r="E94" s="294">
        <f t="shared" si="27"/>
        <v>3.9317999963310216E-4</v>
      </c>
      <c r="F94" s="305">
        <v>16</v>
      </c>
      <c r="G94" s="485">
        <v>1</v>
      </c>
      <c r="H94" s="486">
        <v>3.9317999963310216E-4</v>
      </c>
      <c r="I94" s="487">
        <v>470824066</v>
      </c>
      <c r="J94" s="430">
        <v>1</v>
      </c>
      <c r="K94" s="413">
        <f t="shared" si="25"/>
        <v>3.9317999963310216E-4</v>
      </c>
      <c r="L94" s="420">
        <f t="shared" si="26"/>
        <v>470824066</v>
      </c>
      <c r="M94" s="1267"/>
      <c r="N94" s="1268"/>
      <c r="O94" s="434"/>
      <c r="P94" s="336">
        <f t="shared" si="28"/>
        <v>0</v>
      </c>
      <c r="Q94" s="298">
        <f t="shared" si="29"/>
        <v>0</v>
      </c>
      <c r="R94" s="1265"/>
      <c r="S94" s="1266"/>
      <c r="T94" s="299"/>
      <c r="U94" s="327"/>
    </row>
    <row r="95" spans="1:21" s="300" customFormat="1" ht="38.25">
      <c r="A95" s="18">
        <v>88</v>
      </c>
      <c r="B95" s="291" t="s">
        <v>756</v>
      </c>
      <c r="C95" s="292" t="s">
        <v>744</v>
      </c>
      <c r="D95" s="293">
        <v>847483320</v>
      </c>
      <c r="E95" s="294">
        <f t="shared" si="27"/>
        <v>7.0772400034169072E-4</v>
      </c>
      <c r="F95" s="305">
        <v>6</v>
      </c>
      <c r="G95" s="485">
        <v>1</v>
      </c>
      <c r="H95" s="486">
        <v>7.0772400034169072E-4</v>
      </c>
      <c r="I95" s="487">
        <v>847483320</v>
      </c>
      <c r="J95" s="430">
        <v>1</v>
      </c>
      <c r="K95" s="413">
        <f t="shared" si="25"/>
        <v>7.0772400034169072E-4</v>
      </c>
      <c r="L95" s="420">
        <f t="shared" si="26"/>
        <v>847483320</v>
      </c>
      <c r="M95" s="1267"/>
      <c r="N95" s="1268"/>
      <c r="O95" s="434"/>
      <c r="P95" s="336">
        <f t="shared" si="28"/>
        <v>0</v>
      </c>
      <c r="Q95" s="298">
        <f t="shared" si="29"/>
        <v>0</v>
      </c>
      <c r="R95" s="1265"/>
      <c r="S95" s="1266"/>
      <c r="T95" s="299"/>
      <c r="U95" s="327"/>
    </row>
    <row r="96" spans="1:21" s="300" customFormat="1" ht="27.95" customHeight="1">
      <c r="A96" s="18">
        <v>89</v>
      </c>
      <c r="B96" s="291" t="s">
        <v>757</v>
      </c>
      <c r="C96" s="292" t="s">
        <v>745</v>
      </c>
      <c r="D96" s="293">
        <v>2636614772</v>
      </c>
      <c r="E96" s="294">
        <f t="shared" si="27"/>
        <v>2.2018079999495859E-3</v>
      </c>
      <c r="F96" s="305">
        <v>11</v>
      </c>
      <c r="G96" s="485">
        <v>0.1</v>
      </c>
      <c r="H96" s="486">
        <v>2.2018079999495859E-4</v>
      </c>
      <c r="I96" s="487">
        <v>263661477.20000002</v>
      </c>
      <c r="J96" s="430">
        <v>1</v>
      </c>
      <c r="K96" s="413">
        <f t="shared" si="25"/>
        <v>2.2018079999495859E-3</v>
      </c>
      <c r="L96" s="420">
        <f t="shared" si="26"/>
        <v>2636614772</v>
      </c>
      <c r="M96" s="1267"/>
      <c r="N96" s="1268"/>
      <c r="O96" s="434"/>
      <c r="P96" s="336">
        <f t="shared" si="28"/>
        <v>0</v>
      </c>
      <c r="Q96" s="298">
        <f t="shared" si="29"/>
        <v>0</v>
      </c>
      <c r="R96" s="1265"/>
      <c r="S96" s="1266"/>
      <c r="T96" s="299"/>
      <c r="U96" s="327"/>
    </row>
    <row r="97" spans="1:21" s="300" customFormat="1" ht="27.95" customHeight="1">
      <c r="A97" s="18">
        <v>90</v>
      </c>
      <c r="B97" s="291" t="s">
        <v>758</v>
      </c>
      <c r="C97" s="292" t="s">
        <v>746</v>
      </c>
      <c r="D97" s="293">
        <v>3954922158</v>
      </c>
      <c r="E97" s="294">
        <f t="shared" si="27"/>
        <v>3.3027119999243788E-3</v>
      </c>
      <c r="F97" s="305">
        <v>3</v>
      </c>
      <c r="G97" s="485">
        <v>1</v>
      </c>
      <c r="H97" s="486">
        <v>3.3027119999243788E-3</v>
      </c>
      <c r="I97" s="487">
        <v>3954922158</v>
      </c>
      <c r="J97" s="430">
        <v>1</v>
      </c>
      <c r="K97" s="413">
        <f t="shared" si="25"/>
        <v>3.3027119999243788E-3</v>
      </c>
      <c r="L97" s="420">
        <f t="shared" si="26"/>
        <v>3954922158</v>
      </c>
      <c r="M97" s="1267"/>
      <c r="N97" s="1268"/>
      <c r="O97" s="434"/>
      <c r="P97" s="336">
        <f t="shared" si="28"/>
        <v>0</v>
      </c>
      <c r="Q97" s="298">
        <f t="shared" si="29"/>
        <v>0</v>
      </c>
      <c r="R97" s="1265"/>
      <c r="S97" s="1266"/>
      <c r="T97" s="299"/>
      <c r="U97" s="327"/>
    </row>
    <row r="98" spans="1:21" s="300" customFormat="1" ht="27.95" customHeight="1">
      <c r="A98" s="18">
        <v>91</v>
      </c>
      <c r="B98" s="291" t="s">
        <v>759</v>
      </c>
      <c r="C98" s="292" t="s">
        <v>747</v>
      </c>
      <c r="D98" s="293">
        <v>1318307386</v>
      </c>
      <c r="E98" s="294">
        <f t="shared" si="27"/>
        <v>1.1009039999747929E-3</v>
      </c>
      <c r="F98" s="305">
        <v>20</v>
      </c>
      <c r="G98" s="485">
        <v>1</v>
      </c>
      <c r="H98" s="486">
        <v>1.1009039999747929E-3</v>
      </c>
      <c r="I98" s="487">
        <v>1318307386</v>
      </c>
      <c r="J98" s="430">
        <v>1</v>
      </c>
      <c r="K98" s="413">
        <f t="shared" si="25"/>
        <v>1.1009039999747929E-3</v>
      </c>
      <c r="L98" s="420">
        <f t="shared" si="26"/>
        <v>1318307386</v>
      </c>
      <c r="M98" s="1267"/>
      <c r="N98" s="1268"/>
      <c r="O98" s="434"/>
      <c r="P98" s="336">
        <f t="shared" si="28"/>
        <v>0</v>
      </c>
      <c r="Q98" s="298">
        <f t="shared" si="29"/>
        <v>0</v>
      </c>
      <c r="R98" s="1265"/>
      <c r="S98" s="1266"/>
      <c r="T98" s="299"/>
      <c r="U98" s="327"/>
    </row>
    <row r="99" spans="1:21" s="300" customFormat="1" ht="27.95" customHeight="1">
      <c r="A99" s="18">
        <v>92</v>
      </c>
      <c r="B99" s="291" t="s">
        <v>760</v>
      </c>
      <c r="C99" s="292" t="s">
        <v>536</v>
      </c>
      <c r="D99" s="293">
        <v>2354120331.5999999</v>
      </c>
      <c r="E99" s="294">
        <f t="shared" si="27"/>
        <v>1.965899999501653E-3</v>
      </c>
      <c r="F99" s="305">
        <v>3</v>
      </c>
      <c r="G99" s="485">
        <v>1</v>
      </c>
      <c r="H99" s="486">
        <v>1.965899999501653E-3</v>
      </c>
      <c r="I99" s="487">
        <v>2354120331.5999999</v>
      </c>
      <c r="J99" s="430">
        <v>1</v>
      </c>
      <c r="K99" s="413">
        <f t="shared" si="25"/>
        <v>1.965899999501653E-3</v>
      </c>
      <c r="L99" s="420">
        <f t="shared" si="26"/>
        <v>2354120331.5999994</v>
      </c>
      <c r="M99" s="1267"/>
      <c r="N99" s="1268"/>
      <c r="O99" s="434"/>
      <c r="P99" s="336">
        <f t="shared" si="28"/>
        <v>0</v>
      </c>
      <c r="Q99" s="298">
        <f t="shared" si="29"/>
        <v>0</v>
      </c>
      <c r="R99" s="1265"/>
      <c r="S99" s="1266"/>
      <c r="T99" s="299"/>
      <c r="U99" s="327"/>
    </row>
    <row r="100" spans="1:21" s="300" customFormat="1" ht="27.95" customHeight="1">
      <c r="A100" s="18">
        <v>93</v>
      </c>
      <c r="B100" s="291" t="s">
        <v>761</v>
      </c>
      <c r="C100" s="292" t="s">
        <v>559</v>
      </c>
      <c r="D100" s="293"/>
      <c r="E100" s="294"/>
      <c r="F100" s="305"/>
      <c r="G100" s="485">
        <v>0</v>
      </c>
      <c r="H100" s="486">
        <v>0</v>
      </c>
      <c r="I100" s="487">
        <v>0</v>
      </c>
      <c r="J100" s="430"/>
      <c r="K100" s="413">
        <f t="shared" si="25"/>
        <v>0</v>
      </c>
      <c r="L100" s="420">
        <f t="shared" si="26"/>
        <v>0</v>
      </c>
      <c r="M100" s="1267"/>
      <c r="N100" s="1268"/>
      <c r="O100" s="434"/>
      <c r="P100" s="336">
        <f t="shared" si="28"/>
        <v>0</v>
      </c>
      <c r="Q100" s="298">
        <f t="shared" si="29"/>
        <v>0</v>
      </c>
      <c r="R100" s="1265"/>
      <c r="S100" s="1266"/>
      <c r="T100" s="299"/>
    </row>
    <row r="101" spans="1:21" s="446" customFormat="1" ht="27.95" customHeight="1">
      <c r="A101" s="145">
        <v>94</v>
      </c>
      <c r="B101" s="145" t="s">
        <v>311</v>
      </c>
      <c r="C101" s="451" t="s">
        <v>540</v>
      </c>
      <c r="D101" s="269">
        <f>SUM(D102:D119)</f>
        <v>51790647308.328705</v>
      </c>
      <c r="E101" s="270">
        <f>SUM(E102:E119)</f>
        <v>4.3249800000000005E-2</v>
      </c>
      <c r="F101" s="271"/>
      <c r="G101" s="479">
        <v>3.2800000000000003E-2</v>
      </c>
      <c r="H101" s="493">
        <v>1.4185934400000003E-3</v>
      </c>
      <c r="I101" s="494">
        <v>1698733231.7131815</v>
      </c>
      <c r="J101" s="309"/>
      <c r="K101" s="452">
        <f>SUM(K102:K119)</f>
        <v>6.1165813401000014E-3</v>
      </c>
      <c r="L101" s="453">
        <f>SUM(L102:L119)</f>
        <v>7324466400.2567339</v>
      </c>
      <c r="M101" s="1267"/>
      <c r="N101" s="1268"/>
      <c r="O101" s="454">
        <f>Q101/D101</f>
        <v>0</v>
      </c>
      <c r="P101" s="331">
        <f>SUM(P102:P119)</f>
        <v>0</v>
      </c>
      <c r="Q101" s="259">
        <f>SUM(Q102:Q119)</f>
        <v>0</v>
      </c>
      <c r="R101" s="1265"/>
      <c r="S101" s="1266"/>
      <c r="T101" s="260"/>
    </row>
    <row r="102" spans="1:21" s="300" customFormat="1" ht="27.95" customHeight="1">
      <c r="A102" s="18">
        <v>95</v>
      </c>
      <c r="B102" s="291" t="s">
        <v>312</v>
      </c>
      <c r="C102" s="292" t="s">
        <v>542</v>
      </c>
      <c r="D102" s="293">
        <v>517906473.083287</v>
      </c>
      <c r="E102" s="294">
        <f t="shared" ref="E102:E119" si="30">D102/$Q$4</f>
        <v>4.3249800000000007E-4</v>
      </c>
      <c r="F102" s="295">
        <v>21</v>
      </c>
      <c r="G102" s="485">
        <v>0.01</v>
      </c>
      <c r="H102" s="486">
        <v>4.3249800000000012E-6</v>
      </c>
      <c r="I102" s="487">
        <v>5179064.730832871</v>
      </c>
      <c r="J102" s="430">
        <v>1</v>
      </c>
      <c r="K102" s="413">
        <f t="shared" ref="K102:K119" si="31">J102*E102</f>
        <v>4.3249800000000007E-4</v>
      </c>
      <c r="L102" s="420">
        <f t="shared" ref="L102:L119" si="32">K102*$Q$4</f>
        <v>517906473.083287</v>
      </c>
      <c r="M102" s="1267"/>
      <c r="N102" s="1268"/>
      <c r="O102" s="433"/>
      <c r="P102" s="336">
        <f t="shared" ref="P102:P119" si="33">O102*E102</f>
        <v>0</v>
      </c>
      <c r="Q102" s="298">
        <f t="shared" ref="Q102:Q119" si="34">P102*$Q$4</f>
        <v>0</v>
      </c>
      <c r="R102" s="1265"/>
      <c r="S102" s="1266"/>
      <c r="T102" s="299"/>
    </row>
    <row r="103" spans="1:21" s="300" customFormat="1" ht="27.95" customHeight="1">
      <c r="A103" s="18">
        <v>96</v>
      </c>
      <c r="B103" s="291" t="s">
        <v>313</v>
      </c>
      <c r="C103" s="292" t="s">
        <v>543</v>
      </c>
      <c r="D103" s="293">
        <v>5127274083.5245419</v>
      </c>
      <c r="E103" s="294">
        <f t="shared" si="30"/>
        <v>4.281730200000001E-3</v>
      </c>
      <c r="F103" s="295">
        <v>14</v>
      </c>
      <c r="G103" s="490">
        <v>0.3</v>
      </c>
      <c r="H103" s="486">
        <v>1.2845190600000002E-3</v>
      </c>
      <c r="I103" s="487">
        <v>1538182225.0573626</v>
      </c>
      <c r="J103" s="459">
        <v>0.94550000000000001</v>
      </c>
      <c r="K103" s="413">
        <f t="shared" si="31"/>
        <v>4.0483759041000014E-3</v>
      </c>
      <c r="L103" s="420">
        <f t="shared" si="32"/>
        <v>4847837645.972455</v>
      </c>
      <c r="M103" s="1267"/>
      <c r="N103" s="1268"/>
      <c r="O103" s="433"/>
      <c r="P103" s="336">
        <f t="shared" si="33"/>
        <v>0</v>
      </c>
      <c r="Q103" s="298">
        <f t="shared" si="34"/>
        <v>0</v>
      </c>
      <c r="R103" s="1265"/>
      <c r="S103" s="1266"/>
      <c r="T103" s="299"/>
    </row>
    <row r="104" spans="1:21" s="300" customFormat="1" ht="27.95" customHeight="1">
      <c r="A104" s="18">
        <v>97</v>
      </c>
      <c r="B104" s="291" t="s">
        <v>314</v>
      </c>
      <c r="C104" s="292" t="s">
        <v>544</v>
      </c>
      <c r="D104" s="293">
        <v>5179064730.8328705</v>
      </c>
      <c r="E104" s="294">
        <f t="shared" si="30"/>
        <v>4.3249800000000008E-3</v>
      </c>
      <c r="F104" s="295">
        <v>14</v>
      </c>
      <c r="G104" s="485">
        <v>0</v>
      </c>
      <c r="H104" s="486">
        <v>0</v>
      </c>
      <c r="I104" s="487">
        <v>0</v>
      </c>
      <c r="J104" s="430">
        <v>0</v>
      </c>
      <c r="K104" s="413">
        <f t="shared" si="31"/>
        <v>0</v>
      </c>
      <c r="L104" s="420">
        <f t="shared" si="32"/>
        <v>0</v>
      </c>
      <c r="M104" s="1267"/>
      <c r="N104" s="1268"/>
      <c r="O104" s="433"/>
      <c r="P104" s="336">
        <f t="shared" si="33"/>
        <v>0</v>
      </c>
      <c r="Q104" s="298">
        <f t="shared" si="34"/>
        <v>0</v>
      </c>
      <c r="R104" s="1265"/>
      <c r="S104" s="1266"/>
      <c r="T104" s="299"/>
    </row>
    <row r="105" spans="1:21" s="300" customFormat="1" ht="27.95" customHeight="1">
      <c r="A105" s="18">
        <v>98</v>
      </c>
      <c r="B105" s="291" t="s">
        <v>315</v>
      </c>
      <c r="C105" s="292" t="s">
        <v>545</v>
      </c>
      <c r="D105" s="293">
        <v>5179064730.8328705</v>
      </c>
      <c r="E105" s="294">
        <f t="shared" si="30"/>
        <v>4.3249800000000008E-3</v>
      </c>
      <c r="F105" s="295">
        <v>14</v>
      </c>
      <c r="G105" s="485">
        <v>0</v>
      </c>
      <c r="H105" s="486">
        <v>0</v>
      </c>
      <c r="I105" s="487">
        <v>0</v>
      </c>
      <c r="J105" s="430">
        <v>0</v>
      </c>
      <c r="K105" s="413">
        <f t="shared" si="31"/>
        <v>0</v>
      </c>
      <c r="L105" s="420">
        <f t="shared" si="32"/>
        <v>0</v>
      </c>
      <c r="M105" s="1267"/>
      <c r="N105" s="1268"/>
      <c r="O105" s="433"/>
      <c r="P105" s="336">
        <f t="shared" si="33"/>
        <v>0</v>
      </c>
      <c r="Q105" s="298">
        <f t="shared" si="34"/>
        <v>0</v>
      </c>
      <c r="R105" s="1265"/>
      <c r="S105" s="1266"/>
      <c r="T105" s="299"/>
    </row>
    <row r="106" spans="1:21" s="300" customFormat="1" ht="27.95" customHeight="1">
      <c r="A106" s="18">
        <v>99</v>
      </c>
      <c r="B106" s="291" t="s">
        <v>316</v>
      </c>
      <c r="C106" s="292" t="s">
        <v>546</v>
      </c>
      <c r="D106" s="293">
        <v>4143251784.666296</v>
      </c>
      <c r="E106" s="294">
        <f t="shared" si="30"/>
        <v>3.4599840000000006E-3</v>
      </c>
      <c r="F106" s="295">
        <v>14</v>
      </c>
      <c r="G106" s="485">
        <v>0</v>
      </c>
      <c r="H106" s="486">
        <v>0</v>
      </c>
      <c r="I106" s="487">
        <v>0</v>
      </c>
      <c r="J106" s="430">
        <v>0</v>
      </c>
      <c r="K106" s="413">
        <f t="shared" si="31"/>
        <v>0</v>
      </c>
      <c r="L106" s="420">
        <f t="shared" si="32"/>
        <v>0</v>
      </c>
      <c r="M106" s="1267"/>
      <c r="N106" s="1268"/>
      <c r="O106" s="433"/>
      <c r="P106" s="336">
        <f t="shared" si="33"/>
        <v>0</v>
      </c>
      <c r="Q106" s="298">
        <f t="shared" si="34"/>
        <v>0</v>
      </c>
      <c r="R106" s="1265"/>
      <c r="S106" s="1266"/>
      <c r="T106" s="299"/>
    </row>
    <row r="107" spans="1:21" s="300" customFormat="1" ht="27.95" customHeight="1">
      <c r="A107" s="18">
        <v>100</v>
      </c>
      <c r="B107" s="291" t="s">
        <v>317</v>
      </c>
      <c r="C107" s="292" t="s">
        <v>547</v>
      </c>
      <c r="D107" s="293">
        <v>2589532365.4164352</v>
      </c>
      <c r="E107" s="294">
        <f t="shared" si="30"/>
        <v>2.1624900000000004E-3</v>
      </c>
      <c r="F107" s="295">
        <v>14</v>
      </c>
      <c r="G107" s="485">
        <v>0</v>
      </c>
      <c r="H107" s="486">
        <v>0</v>
      </c>
      <c r="I107" s="487">
        <v>0</v>
      </c>
      <c r="J107" s="430">
        <v>0</v>
      </c>
      <c r="K107" s="413">
        <f t="shared" si="31"/>
        <v>0</v>
      </c>
      <c r="L107" s="420">
        <f t="shared" si="32"/>
        <v>0</v>
      </c>
      <c r="M107" s="1267"/>
      <c r="N107" s="1268"/>
      <c r="O107" s="433"/>
      <c r="P107" s="336">
        <f t="shared" si="33"/>
        <v>0</v>
      </c>
      <c r="Q107" s="298">
        <f t="shared" si="34"/>
        <v>0</v>
      </c>
      <c r="R107" s="1265"/>
      <c r="S107" s="1266"/>
      <c r="T107" s="299"/>
    </row>
    <row r="108" spans="1:21" s="300" customFormat="1" ht="27.95" customHeight="1">
      <c r="A108" s="18">
        <v>101</v>
      </c>
      <c r="B108" s="291" t="s">
        <v>318</v>
      </c>
      <c r="C108" s="292" t="s">
        <v>548</v>
      </c>
      <c r="D108" s="293">
        <v>2071625892.333148</v>
      </c>
      <c r="E108" s="294">
        <f t="shared" si="30"/>
        <v>1.7299920000000003E-3</v>
      </c>
      <c r="F108" s="295">
        <v>23</v>
      </c>
      <c r="G108" s="490">
        <v>0.05</v>
      </c>
      <c r="H108" s="486">
        <v>8.6499600000000015E-5</v>
      </c>
      <c r="I108" s="487">
        <v>103581294.61665741</v>
      </c>
      <c r="J108" s="459">
        <f>J103</f>
        <v>0.94550000000000001</v>
      </c>
      <c r="K108" s="413">
        <f t="shared" si="31"/>
        <v>1.6357074360000003E-3</v>
      </c>
      <c r="L108" s="420">
        <f t="shared" si="32"/>
        <v>1958722281.2009916</v>
      </c>
      <c r="M108" s="1267"/>
      <c r="N108" s="1268"/>
      <c r="O108" s="433"/>
      <c r="P108" s="336">
        <f t="shared" si="33"/>
        <v>0</v>
      </c>
      <c r="Q108" s="298">
        <f t="shared" si="34"/>
        <v>0</v>
      </c>
      <c r="R108" s="1265"/>
      <c r="S108" s="1266"/>
      <c r="T108" s="299"/>
    </row>
    <row r="109" spans="1:21" s="445" customFormat="1" ht="27.95" customHeight="1">
      <c r="A109" s="18">
        <v>102</v>
      </c>
      <c r="B109" s="291" t="s">
        <v>319</v>
      </c>
      <c r="C109" s="292" t="s">
        <v>549</v>
      </c>
      <c r="D109" s="293">
        <v>1294766182.7082176</v>
      </c>
      <c r="E109" s="294">
        <f t="shared" si="30"/>
        <v>1.0812450000000002E-3</v>
      </c>
      <c r="F109" s="295">
        <v>23</v>
      </c>
      <c r="G109" s="485">
        <v>0</v>
      </c>
      <c r="H109" s="486">
        <v>0</v>
      </c>
      <c r="I109" s="487">
        <v>0</v>
      </c>
      <c r="J109" s="430">
        <v>0</v>
      </c>
      <c r="K109" s="413">
        <f t="shared" si="31"/>
        <v>0</v>
      </c>
      <c r="L109" s="420">
        <f t="shared" si="32"/>
        <v>0</v>
      </c>
      <c r="M109" s="1267"/>
      <c r="N109" s="1268"/>
      <c r="O109" s="433"/>
      <c r="P109" s="336">
        <f t="shared" si="33"/>
        <v>0</v>
      </c>
      <c r="Q109" s="298">
        <f t="shared" si="34"/>
        <v>0</v>
      </c>
      <c r="R109" s="1265"/>
      <c r="S109" s="1266"/>
      <c r="T109" s="299"/>
      <c r="U109" s="447"/>
    </row>
    <row r="110" spans="1:21" s="300" customFormat="1" ht="27.95" customHeight="1">
      <c r="A110" s="18">
        <v>103</v>
      </c>
      <c r="B110" s="291" t="s">
        <v>320</v>
      </c>
      <c r="C110" s="292" t="s">
        <v>550</v>
      </c>
      <c r="D110" s="293">
        <v>2589532365.4164352</v>
      </c>
      <c r="E110" s="294">
        <f t="shared" si="30"/>
        <v>2.1624900000000004E-3</v>
      </c>
      <c r="F110" s="295">
        <v>23</v>
      </c>
      <c r="G110" s="485">
        <v>0.02</v>
      </c>
      <c r="H110" s="486">
        <v>4.3249800000000007E-5</v>
      </c>
      <c r="I110" s="487">
        <v>51790647.308328703</v>
      </c>
      <c r="J110" s="430">
        <v>0</v>
      </c>
      <c r="K110" s="413">
        <f t="shared" si="31"/>
        <v>0</v>
      </c>
      <c r="L110" s="420">
        <f t="shared" si="32"/>
        <v>0</v>
      </c>
      <c r="M110" s="1267"/>
      <c r="N110" s="1268"/>
      <c r="O110" s="433"/>
      <c r="P110" s="336">
        <f t="shared" si="33"/>
        <v>0</v>
      </c>
      <c r="Q110" s="298">
        <f t="shared" si="34"/>
        <v>0</v>
      </c>
      <c r="R110" s="1265"/>
      <c r="S110" s="1266"/>
      <c r="T110" s="299"/>
    </row>
    <row r="111" spans="1:21" s="300" customFormat="1" ht="27.95" customHeight="1">
      <c r="A111" s="18">
        <v>104</v>
      </c>
      <c r="B111" s="291" t="s">
        <v>321</v>
      </c>
      <c r="C111" s="292" t="s">
        <v>551</v>
      </c>
      <c r="D111" s="293">
        <v>1294766182.7082176</v>
      </c>
      <c r="E111" s="294">
        <f t="shared" si="30"/>
        <v>1.0812450000000002E-3</v>
      </c>
      <c r="F111" s="295">
        <v>23</v>
      </c>
      <c r="G111" s="485">
        <v>0</v>
      </c>
      <c r="H111" s="486">
        <v>0</v>
      </c>
      <c r="I111" s="487">
        <v>0</v>
      </c>
      <c r="J111" s="430">
        <v>0</v>
      </c>
      <c r="K111" s="413">
        <f t="shared" si="31"/>
        <v>0</v>
      </c>
      <c r="L111" s="420">
        <f t="shared" si="32"/>
        <v>0</v>
      </c>
      <c r="M111" s="1267"/>
      <c r="N111" s="1268"/>
      <c r="O111" s="433"/>
      <c r="P111" s="336">
        <f t="shared" si="33"/>
        <v>0</v>
      </c>
      <c r="Q111" s="298">
        <f t="shared" si="34"/>
        <v>0</v>
      </c>
      <c r="R111" s="1265"/>
      <c r="S111" s="1266"/>
      <c r="T111" s="299"/>
    </row>
    <row r="112" spans="1:21" s="445" customFormat="1" ht="27.95" customHeight="1">
      <c r="A112" s="18">
        <v>105</v>
      </c>
      <c r="B112" s="291" t="s">
        <v>322</v>
      </c>
      <c r="C112" s="292" t="s">
        <v>552</v>
      </c>
      <c r="D112" s="293">
        <v>1294766182.7082176</v>
      </c>
      <c r="E112" s="294">
        <f t="shared" si="30"/>
        <v>1.0812450000000002E-3</v>
      </c>
      <c r="F112" s="295">
        <v>23</v>
      </c>
      <c r="G112" s="485">
        <v>0</v>
      </c>
      <c r="H112" s="486">
        <v>0</v>
      </c>
      <c r="I112" s="487">
        <v>0</v>
      </c>
      <c r="J112" s="430">
        <v>0</v>
      </c>
      <c r="K112" s="413">
        <f t="shared" si="31"/>
        <v>0</v>
      </c>
      <c r="L112" s="420">
        <f t="shared" si="32"/>
        <v>0</v>
      </c>
      <c r="M112" s="1267"/>
      <c r="N112" s="1268"/>
      <c r="O112" s="433"/>
      <c r="P112" s="336">
        <f t="shared" si="33"/>
        <v>0</v>
      </c>
      <c r="Q112" s="298">
        <f t="shared" si="34"/>
        <v>0</v>
      </c>
      <c r="R112" s="1265"/>
      <c r="S112" s="1266"/>
      <c r="T112" s="299"/>
      <c r="U112" s="447"/>
    </row>
    <row r="113" spans="1:21" s="445" customFormat="1" ht="27.95" customHeight="1">
      <c r="A113" s="18">
        <v>106</v>
      </c>
      <c r="B113" s="291" t="s">
        <v>323</v>
      </c>
      <c r="C113" s="292" t="s">
        <v>553</v>
      </c>
      <c r="D113" s="293">
        <v>7768597096.2493048</v>
      </c>
      <c r="E113" s="294">
        <f t="shared" si="30"/>
        <v>6.4874700000000004E-3</v>
      </c>
      <c r="F113" s="295">
        <v>23</v>
      </c>
      <c r="G113" s="485">
        <v>0</v>
      </c>
      <c r="H113" s="486">
        <v>0</v>
      </c>
      <c r="I113" s="487">
        <v>0</v>
      </c>
      <c r="J113" s="430">
        <v>0</v>
      </c>
      <c r="K113" s="413">
        <f t="shared" si="31"/>
        <v>0</v>
      </c>
      <c r="L113" s="420">
        <f t="shared" si="32"/>
        <v>0</v>
      </c>
      <c r="M113" s="1267"/>
      <c r="N113" s="1268"/>
      <c r="O113" s="433"/>
      <c r="P113" s="336">
        <f t="shared" si="33"/>
        <v>0</v>
      </c>
      <c r="Q113" s="298">
        <f t="shared" si="34"/>
        <v>0</v>
      </c>
      <c r="R113" s="1265"/>
      <c r="S113" s="1266"/>
      <c r="T113" s="299"/>
      <c r="U113" s="447"/>
    </row>
    <row r="114" spans="1:21" s="300" customFormat="1" ht="27.95" customHeight="1">
      <c r="A114" s="18">
        <v>107</v>
      </c>
      <c r="B114" s="291" t="s">
        <v>324</v>
      </c>
      <c r="C114" s="292" t="s">
        <v>554</v>
      </c>
      <c r="D114" s="293">
        <v>3107438838.499722</v>
      </c>
      <c r="E114" s="294">
        <f t="shared" si="30"/>
        <v>2.5949880000000003E-3</v>
      </c>
      <c r="F114" s="295">
        <v>23</v>
      </c>
      <c r="G114" s="485">
        <v>0</v>
      </c>
      <c r="H114" s="486">
        <v>0</v>
      </c>
      <c r="I114" s="487">
        <v>0</v>
      </c>
      <c r="J114" s="430">
        <v>0</v>
      </c>
      <c r="K114" s="413">
        <f t="shared" si="31"/>
        <v>0</v>
      </c>
      <c r="L114" s="420">
        <f t="shared" si="32"/>
        <v>0</v>
      </c>
      <c r="M114" s="1267"/>
      <c r="N114" s="1268"/>
      <c r="O114" s="433"/>
      <c r="P114" s="336">
        <f t="shared" si="33"/>
        <v>0</v>
      </c>
      <c r="Q114" s="298">
        <f t="shared" si="34"/>
        <v>0</v>
      </c>
      <c r="R114" s="1265"/>
      <c r="S114" s="1266"/>
      <c r="T114" s="299"/>
    </row>
    <row r="115" spans="1:21" s="300" customFormat="1" ht="27.95" customHeight="1">
      <c r="A115" s="18">
        <v>108</v>
      </c>
      <c r="B115" s="291" t="s">
        <v>325</v>
      </c>
      <c r="C115" s="292" t="s">
        <v>555</v>
      </c>
      <c r="D115" s="293">
        <v>3107438838.499722</v>
      </c>
      <c r="E115" s="294">
        <f t="shared" si="30"/>
        <v>2.5949880000000003E-3</v>
      </c>
      <c r="F115" s="295">
        <v>23</v>
      </c>
      <c r="G115" s="485">
        <v>0</v>
      </c>
      <c r="H115" s="486">
        <v>0</v>
      </c>
      <c r="I115" s="487">
        <v>0</v>
      </c>
      <c r="J115" s="430">
        <v>0</v>
      </c>
      <c r="K115" s="413">
        <f t="shared" si="31"/>
        <v>0</v>
      </c>
      <c r="L115" s="420">
        <f t="shared" si="32"/>
        <v>0</v>
      </c>
      <c r="M115" s="1267"/>
      <c r="N115" s="1268"/>
      <c r="O115" s="433"/>
      <c r="P115" s="336">
        <f t="shared" si="33"/>
        <v>0</v>
      </c>
      <c r="Q115" s="298">
        <f t="shared" si="34"/>
        <v>0</v>
      </c>
      <c r="R115" s="1265"/>
      <c r="S115" s="1266"/>
      <c r="T115" s="299"/>
    </row>
    <row r="116" spans="1:21" s="300" customFormat="1" ht="27.95" customHeight="1">
      <c r="A116" s="18">
        <v>109</v>
      </c>
      <c r="B116" s="291" t="s">
        <v>326</v>
      </c>
      <c r="C116" s="292" t="s">
        <v>556</v>
      </c>
      <c r="D116" s="293">
        <v>2071625892.333148</v>
      </c>
      <c r="E116" s="294">
        <f t="shared" si="30"/>
        <v>1.7299920000000003E-3</v>
      </c>
      <c r="F116" s="295">
        <v>23</v>
      </c>
      <c r="G116" s="485">
        <v>0</v>
      </c>
      <c r="H116" s="486">
        <v>0</v>
      </c>
      <c r="I116" s="487">
        <v>0</v>
      </c>
      <c r="J116" s="430">
        <v>0</v>
      </c>
      <c r="K116" s="413">
        <f t="shared" si="31"/>
        <v>0</v>
      </c>
      <c r="L116" s="420">
        <f t="shared" si="32"/>
        <v>0</v>
      </c>
      <c r="M116" s="1267"/>
      <c r="N116" s="1268"/>
      <c r="O116" s="433"/>
      <c r="P116" s="336">
        <f t="shared" si="33"/>
        <v>0</v>
      </c>
      <c r="Q116" s="298">
        <f t="shared" si="34"/>
        <v>0</v>
      </c>
      <c r="R116" s="1265"/>
      <c r="S116" s="1266"/>
      <c r="T116" s="299"/>
    </row>
    <row r="117" spans="1:21" s="300" customFormat="1" ht="27.95" customHeight="1">
      <c r="A117" s="18">
        <v>110</v>
      </c>
      <c r="B117" s="291" t="s">
        <v>327</v>
      </c>
      <c r="C117" s="292" t="s">
        <v>557</v>
      </c>
      <c r="D117" s="293">
        <v>2071625892.333148</v>
      </c>
      <c r="E117" s="294">
        <f t="shared" si="30"/>
        <v>1.7299920000000003E-3</v>
      </c>
      <c r="F117" s="295">
        <v>23</v>
      </c>
      <c r="G117" s="485">
        <v>0</v>
      </c>
      <c r="H117" s="486">
        <v>0</v>
      </c>
      <c r="I117" s="487">
        <v>0</v>
      </c>
      <c r="J117" s="430">
        <v>0</v>
      </c>
      <c r="K117" s="413">
        <f t="shared" si="31"/>
        <v>0</v>
      </c>
      <c r="L117" s="420">
        <f t="shared" si="32"/>
        <v>0</v>
      </c>
      <c r="M117" s="1267"/>
      <c r="N117" s="1268"/>
      <c r="O117" s="433"/>
      <c r="P117" s="336">
        <f t="shared" si="33"/>
        <v>0</v>
      </c>
      <c r="Q117" s="298">
        <f t="shared" si="34"/>
        <v>0</v>
      </c>
      <c r="R117" s="1265"/>
      <c r="S117" s="1266"/>
      <c r="T117" s="299"/>
    </row>
    <row r="118" spans="1:21" s="300" customFormat="1" ht="27.95" customHeight="1">
      <c r="A118" s="18">
        <v>111</v>
      </c>
      <c r="B118" s="291" t="s">
        <v>328</v>
      </c>
      <c r="C118" s="292" t="s">
        <v>558</v>
      </c>
      <c r="D118" s="293">
        <v>1294766182.7082176</v>
      </c>
      <c r="E118" s="294">
        <f t="shared" si="30"/>
        <v>1.0812450000000002E-3</v>
      </c>
      <c r="F118" s="295">
        <v>23</v>
      </c>
      <c r="G118" s="485">
        <v>0</v>
      </c>
      <c r="H118" s="486">
        <v>0</v>
      </c>
      <c r="I118" s="487">
        <v>0</v>
      </c>
      <c r="J118" s="430">
        <v>0</v>
      </c>
      <c r="K118" s="413">
        <f t="shared" si="31"/>
        <v>0</v>
      </c>
      <c r="L118" s="420">
        <f t="shared" si="32"/>
        <v>0</v>
      </c>
      <c r="M118" s="1267"/>
      <c r="N118" s="1268"/>
      <c r="O118" s="433"/>
      <c r="P118" s="336">
        <f t="shared" si="33"/>
        <v>0</v>
      </c>
      <c r="Q118" s="298">
        <f t="shared" si="34"/>
        <v>0</v>
      </c>
      <c r="R118" s="1265"/>
      <c r="S118" s="1266"/>
      <c r="T118" s="299"/>
    </row>
    <row r="119" spans="1:21" s="300" customFormat="1" ht="27.95" customHeight="1">
      <c r="A119" s="18">
        <v>112</v>
      </c>
      <c r="B119" s="291" t="s">
        <v>329</v>
      </c>
      <c r="C119" s="292" t="s">
        <v>560</v>
      </c>
      <c r="D119" s="293">
        <v>1087603593.4749029</v>
      </c>
      <c r="E119" s="294">
        <f t="shared" si="30"/>
        <v>9.0824580000000029E-4</v>
      </c>
      <c r="F119" s="295">
        <v>23</v>
      </c>
      <c r="G119" s="485">
        <v>0</v>
      </c>
      <c r="H119" s="486">
        <v>0</v>
      </c>
      <c r="I119" s="487">
        <v>0</v>
      </c>
      <c r="J119" s="430">
        <v>0</v>
      </c>
      <c r="K119" s="413">
        <f t="shared" si="31"/>
        <v>0</v>
      </c>
      <c r="L119" s="420">
        <f t="shared" si="32"/>
        <v>0</v>
      </c>
      <c r="M119" s="1267"/>
      <c r="N119" s="1268"/>
      <c r="O119" s="433"/>
      <c r="P119" s="336">
        <f t="shared" si="33"/>
        <v>0</v>
      </c>
      <c r="Q119" s="298">
        <f t="shared" si="34"/>
        <v>0</v>
      </c>
      <c r="R119" s="1265"/>
      <c r="S119" s="1266"/>
      <c r="T119" s="299"/>
    </row>
    <row r="120" spans="1:21" s="141" customFormat="1" ht="35.1" customHeight="1">
      <c r="A120" s="18">
        <v>113</v>
      </c>
      <c r="B120" s="145" t="s">
        <v>209</v>
      </c>
      <c r="C120" s="289" t="s">
        <v>452</v>
      </c>
      <c r="D120" s="269">
        <f>D121+D131</f>
        <v>27702849792.653996</v>
      </c>
      <c r="E120" s="270">
        <f>E121+E131</f>
        <v>2.3134345199999996E-2</v>
      </c>
      <c r="F120" s="271"/>
      <c r="G120" s="479">
        <v>0.57204373343326698</v>
      </c>
      <c r="H120" s="491">
        <v>1.3233857198741979E-2</v>
      </c>
      <c r="I120" s="487">
        <v>15847241622.130798</v>
      </c>
      <c r="J120" s="309"/>
      <c r="K120" s="414">
        <f>K121+K131</f>
        <v>1.4738580163063345E-2</v>
      </c>
      <c r="L120" s="420">
        <f>L121+L131</f>
        <v>17649112991.291138</v>
      </c>
      <c r="M120" s="1267"/>
      <c r="N120" s="1268"/>
      <c r="O120" s="343">
        <f>Q120/D120</f>
        <v>0</v>
      </c>
      <c r="P120" s="336">
        <f>P121+P131</f>
        <v>0</v>
      </c>
      <c r="Q120" s="298">
        <f>Q121+Q131</f>
        <v>0</v>
      </c>
      <c r="R120" s="1265"/>
      <c r="S120" s="1266"/>
      <c r="T120" s="260"/>
      <c r="U120" s="352"/>
    </row>
    <row r="121" spans="1:21" s="155" customFormat="1" ht="27.95" customHeight="1">
      <c r="A121" s="18">
        <v>114</v>
      </c>
      <c r="B121" s="122" t="s">
        <v>330</v>
      </c>
      <c r="C121" s="290" t="s">
        <v>526</v>
      </c>
      <c r="D121" s="272">
        <f>SUM(D122:D130)</f>
        <v>15231849332</v>
      </c>
      <c r="E121" s="273">
        <f>SUM(E122:E130)</f>
        <v>1.2719949865025011E-2</v>
      </c>
      <c r="F121" s="274"/>
      <c r="G121" s="482">
        <v>1</v>
      </c>
      <c r="H121" s="491">
        <v>1.2719949865025011E-2</v>
      </c>
      <c r="I121" s="487">
        <v>15231849332</v>
      </c>
      <c r="J121" s="310"/>
      <c r="K121" s="414">
        <f>SUM(K122:K130)</f>
        <v>1.2719949865025011E-2</v>
      </c>
      <c r="L121" s="420">
        <f>SUM(L122:L130)</f>
        <v>15231849332</v>
      </c>
      <c r="M121" s="1267"/>
      <c r="N121" s="1268"/>
      <c r="O121" s="343">
        <f>Q121/D121</f>
        <v>0</v>
      </c>
      <c r="P121" s="336">
        <f>SUM(P122:P130)</f>
        <v>0</v>
      </c>
      <c r="Q121" s="298">
        <f>SUM(Q122:Q130)</f>
        <v>0</v>
      </c>
      <c r="R121" s="1265"/>
      <c r="S121" s="1266"/>
      <c r="T121" s="265"/>
      <c r="U121" s="353"/>
    </row>
    <row r="122" spans="1:21" s="300" customFormat="1" ht="27.95" customHeight="1">
      <c r="A122" s="18">
        <v>115</v>
      </c>
      <c r="B122" s="291" t="s">
        <v>331</v>
      </c>
      <c r="C122" s="292" t="s">
        <v>527</v>
      </c>
      <c r="D122" s="293">
        <v>761828369</v>
      </c>
      <c r="E122" s="294">
        <f t="shared" ref="E122:E130" si="35">D122/$Q$4</f>
        <v>6.3619449275115604E-4</v>
      </c>
      <c r="F122" s="295">
        <v>3</v>
      </c>
      <c r="G122" s="485">
        <v>1</v>
      </c>
      <c r="H122" s="486">
        <v>6.3619449275115604E-4</v>
      </c>
      <c r="I122" s="487">
        <v>761828369</v>
      </c>
      <c r="J122" s="430">
        <v>1</v>
      </c>
      <c r="K122" s="413">
        <f t="shared" ref="K122:K130" si="36">J122*E122</f>
        <v>6.3619449275115604E-4</v>
      </c>
      <c r="L122" s="420">
        <f t="shared" ref="L122:L130" si="37">K122*$Q$4</f>
        <v>761828369</v>
      </c>
      <c r="M122" s="1267"/>
      <c r="N122" s="1268"/>
      <c r="O122" s="432"/>
      <c r="P122" s="336">
        <f t="shared" ref="P122:P130" si="38">O122*E122</f>
        <v>0</v>
      </c>
      <c r="Q122" s="298">
        <f t="shared" ref="Q122:Q130" si="39">P122*$Q$4</f>
        <v>0</v>
      </c>
      <c r="R122" s="1265"/>
      <c r="S122" s="1266"/>
      <c r="T122" s="299"/>
    </row>
    <row r="123" spans="1:21" s="300" customFormat="1" ht="27.95" customHeight="1">
      <c r="A123" s="18">
        <v>116</v>
      </c>
      <c r="B123" s="291" t="s">
        <v>332</v>
      </c>
      <c r="C123" s="292" t="s">
        <v>528</v>
      </c>
      <c r="D123" s="293">
        <v>1523656739</v>
      </c>
      <c r="E123" s="294">
        <f t="shared" si="35"/>
        <v>1.2723889863374012E-3</v>
      </c>
      <c r="F123" s="295">
        <v>3</v>
      </c>
      <c r="G123" s="485">
        <v>1</v>
      </c>
      <c r="H123" s="486">
        <v>1.2723889863374012E-3</v>
      </c>
      <c r="I123" s="487">
        <v>1523656739</v>
      </c>
      <c r="J123" s="430">
        <v>1</v>
      </c>
      <c r="K123" s="413">
        <f t="shared" si="36"/>
        <v>1.2723889863374012E-3</v>
      </c>
      <c r="L123" s="420">
        <f t="shared" si="37"/>
        <v>1523656739</v>
      </c>
      <c r="M123" s="1267"/>
      <c r="N123" s="1268"/>
      <c r="O123" s="432"/>
      <c r="P123" s="336">
        <f t="shared" si="38"/>
        <v>0</v>
      </c>
      <c r="Q123" s="298">
        <f t="shared" si="39"/>
        <v>0</v>
      </c>
      <c r="R123" s="1265"/>
      <c r="S123" s="1266"/>
      <c r="T123" s="299"/>
    </row>
    <row r="124" spans="1:21" s="300" customFormat="1" ht="27.95" customHeight="1">
      <c r="A124" s="18">
        <v>117</v>
      </c>
      <c r="B124" s="291" t="s">
        <v>333</v>
      </c>
      <c r="C124" s="292" t="s">
        <v>529</v>
      </c>
      <c r="D124" s="293">
        <v>1523656739</v>
      </c>
      <c r="E124" s="294">
        <f t="shared" si="35"/>
        <v>1.2723889863374012E-3</v>
      </c>
      <c r="F124" s="295">
        <v>3</v>
      </c>
      <c r="G124" s="485">
        <v>1</v>
      </c>
      <c r="H124" s="486">
        <v>1.2723889863374012E-3</v>
      </c>
      <c r="I124" s="487">
        <v>1523656739</v>
      </c>
      <c r="J124" s="430">
        <v>1</v>
      </c>
      <c r="K124" s="413">
        <f t="shared" si="36"/>
        <v>1.2723889863374012E-3</v>
      </c>
      <c r="L124" s="420">
        <f t="shared" si="37"/>
        <v>1523656739</v>
      </c>
      <c r="M124" s="1267"/>
      <c r="N124" s="1268"/>
      <c r="O124" s="432"/>
      <c r="P124" s="336">
        <f t="shared" si="38"/>
        <v>0</v>
      </c>
      <c r="Q124" s="298">
        <f t="shared" si="39"/>
        <v>0</v>
      </c>
      <c r="R124" s="1265"/>
      <c r="S124" s="1266"/>
      <c r="T124" s="299"/>
    </row>
    <row r="125" spans="1:21" s="300" customFormat="1" ht="27.95" customHeight="1">
      <c r="A125" s="18">
        <v>118</v>
      </c>
      <c r="B125" s="291" t="s">
        <v>334</v>
      </c>
      <c r="C125" s="292" t="s">
        <v>530</v>
      </c>
      <c r="D125" s="293">
        <v>3047313477</v>
      </c>
      <c r="E125" s="294">
        <f t="shared" si="35"/>
        <v>2.5447779718397131E-3</v>
      </c>
      <c r="F125" s="295">
        <v>14</v>
      </c>
      <c r="G125" s="485">
        <v>1</v>
      </c>
      <c r="H125" s="486">
        <v>2.5447779718397131E-3</v>
      </c>
      <c r="I125" s="487">
        <v>3047313477</v>
      </c>
      <c r="J125" s="430">
        <v>1</v>
      </c>
      <c r="K125" s="413">
        <f t="shared" si="36"/>
        <v>2.5447779718397131E-3</v>
      </c>
      <c r="L125" s="420">
        <f t="shared" si="37"/>
        <v>3047313477</v>
      </c>
      <c r="M125" s="1267"/>
      <c r="N125" s="1268"/>
      <c r="O125" s="432"/>
      <c r="P125" s="336">
        <f t="shared" si="38"/>
        <v>0</v>
      </c>
      <c r="Q125" s="298">
        <f t="shared" si="39"/>
        <v>0</v>
      </c>
      <c r="R125" s="1265"/>
      <c r="S125" s="1266"/>
      <c r="T125" s="299"/>
    </row>
    <row r="126" spans="1:21" s="300" customFormat="1" ht="27.95" customHeight="1">
      <c r="A126" s="18">
        <v>119</v>
      </c>
      <c r="B126" s="291" t="s">
        <v>335</v>
      </c>
      <c r="C126" s="292" t="s">
        <v>531</v>
      </c>
      <c r="D126" s="293">
        <v>2285485108</v>
      </c>
      <c r="E126" s="294">
        <f t="shared" si="35"/>
        <v>1.9085834790885572E-3</v>
      </c>
      <c r="F126" s="295">
        <v>3</v>
      </c>
      <c r="G126" s="485">
        <v>1</v>
      </c>
      <c r="H126" s="486">
        <v>1.9085834790885572E-3</v>
      </c>
      <c r="I126" s="487">
        <v>2285485108</v>
      </c>
      <c r="J126" s="430">
        <v>1</v>
      </c>
      <c r="K126" s="413">
        <f t="shared" si="36"/>
        <v>1.9085834790885572E-3</v>
      </c>
      <c r="L126" s="420">
        <f t="shared" si="37"/>
        <v>2285485108</v>
      </c>
      <c r="M126" s="1267"/>
      <c r="N126" s="1268"/>
      <c r="O126" s="432"/>
      <c r="P126" s="336">
        <f t="shared" si="38"/>
        <v>0</v>
      </c>
      <c r="Q126" s="298">
        <f t="shared" si="39"/>
        <v>0</v>
      </c>
      <c r="R126" s="1265"/>
      <c r="S126" s="1266"/>
      <c r="T126" s="299"/>
    </row>
    <row r="127" spans="1:21" s="300" customFormat="1" ht="27.95" customHeight="1">
      <c r="A127" s="18">
        <v>120</v>
      </c>
      <c r="B127" s="291" t="s">
        <v>336</v>
      </c>
      <c r="C127" s="292" t="s">
        <v>532</v>
      </c>
      <c r="D127" s="293">
        <v>1368460232</v>
      </c>
      <c r="E127" s="294">
        <f t="shared" si="35"/>
        <v>1.1427860901139131E-3</v>
      </c>
      <c r="F127" s="295">
        <v>14</v>
      </c>
      <c r="G127" s="485">
        <v>1</v>
      </c>
      <c r="H127" s="486">
        <v>1.1427860901139131E-3</v>
      </c>
      <c r="I127" s="487">
        <v>1368460232</v>
      </c>
      <c r="J127" s="430">
        <v>1</v>
      </c>
      <c r="K127" s="413">
        <f t="shared" si="36"/>
        <v>1.1427860901139131E-3</v>
      </c>
      <c r="L127" s="420">
        <f t="shared" si="37"/>
        <v>1368460232</v>
      </c>
      <c r="M127" s="1267"/>
      <c r="N127" s="1268"/>
      <c r="O127" s="432"/>
      <c r="P127" s="336">
        <f t="shared" si="38"/>
        <v>0</v>
      </c>
      <c r="Q127" s="298">
        <f t="shared" si="39"/>
        <v>0</v>
      </c>
      <c r="R127" s="1265"/>
      <c r="S127" s="1266"/>
      <c r="T127" s="299"/>
    </row>
    <row r="128" spans="1:21" s="300" customFormat="1" ht="27.95" customHeight="1">
      <c r="A128" s="18">
        <v>121</v>
      </c>
      <c r="B128" s="291" t="s">
        <v>337</v>
      </c>
      <c r="C128" s="292" t="s">
        <v>533</v>
      </c>
      <c r="D128" s="293">
        <v>912306822</v>
      </c>
      <c r="E128" s="294">
        <f t="shared" si="35"/>
        <v>7.6185739396600132E-4</v>
      </c>
      <c r="F128" s="295">
        <v>3</v>
      </c>
      <c r="G128" s="485">
        <v>1</v>
      </c>
      <c r="H128" s="486">
        <v>7.6185739396600132E-4</v>
      </c>
      <c r="I128" s="487">
        <v>912306822</v>
      </c>
      <c r="J128" s="430">
        <v>1</v>
      </c>
      <c r="K128" s="413">
        <f t="shared" si="36"/>
        <v>7.6185739396600132E-4</v>
      </c>
      <c r="L128" s="420">
        <f t="shared" si="37"/>
        <v>912306822</v>
      </c>
      <c r="M128" s="1267"/>
      <c r="N128" s="1268"/>
      <c r="O128" s="432"/>
      <c r="P128" s="336">
        <f t="shared" si="38"/>
        <v>0</v>
      </c>
      <c r="Q128" s="298">
        <f t="shared" si="39"/>
        <v>0</v>
      </c>
      <c r="R128" s="1265"/>
      <c r="S128" s="1266"/>
      <c r="T128" s="299"/>
    </row>
    <row r="129" spans="1:20" s="300" customFormat="1" ht="27.95" customHeight="1">
      <c r="A129" s="18">
        <v>122</v>
      </c>
      <c r="B129" s="291" t="s">
        <v>338</v>
      </c>
      <c r="C129" s="292" t="s">
        <v>762</v>
      </c>
      <c r="D129" s="293">
        <v>3047313477</v>
      </c>
      <c r="E129" s="294">
        <f t="shared" si="35"/>
        <v>2.5447779718397131E-3</v>
      </c>
      <c r="F129" s="295">
        <v>14</v>
      </c>
      <c r="G129" s="485">
        <v>1</v>
      </c>
      <c r="H129" s="486">
        <v>2.5447779718397131E-3</v>
      </c>
      <c r="I129" s="487">
        <v>3047313477</v>
      </c>
      <c r="J129" s="430">
        <v>1</v>
      </c>
      <c r="K129" s="413">
        <f t="shared" si="36"/>
        <v>2.5447779718397131E-3</v>
      </c>
      <c r="L129" s="420">
        <f t="shared" si="37"/>
        <v>3047313477</v>
      </c>
      <c r="M129" s="1267"/>
      <c r="N129" s="1268"/>
      <c r="O129" s="432"/>
      <c r="P129" s="336">
        <f t="shared" si="38"/>
        <v>0</v>
      </c>
      <c r="Q129" s="298">
        <f t="shared" si="39"/>
        <v>0</v>
      </c>
      <c r="R129" s="1265"/>
      <c r="S129" s="1266"/>
      <c r="T129" s="299"/>
    </row>
    <row r="130" spans="1:20" s="300" customFormat="1" ht="27.95" customHeight="1">
      <c r="A130" s="18">
        <v>123</v>
      </c>
      <c r="B130" s="291" t="s">
        <v>662</v>
      </c>
      <c r="C130" s="292" t="s">
        <v>536</v>
      </c>
      <c r="D130" s="293">
        <v>761828369</v>
      </c>
      <c r="E130" s="294">
        <f t="shared" si="35"/>
        <v>6.3619449275115604E-4</v>
      </c>
      <c r="F130" s="295">
        <v>3</v>
      </c>
      <c r="G130" s="485">
        <v>1</v>
      </c>
      <c r="H130" s="486">
        <v>6.3619449275115604E-4</v>
      </c>
      <c r="I130" s="487">
        <v>761828369</v>
      </c>
      <c r="J130" s="430">
        <v>1</v>
      </c>
      <c r="K130" s="413">
        <f t="shared" si="36"/>
        <v>6.3619449275115604E-4</v>
      </c>
      <c r="L130" s="420">
        <f t="shared" si="37"/>
        <v>761828369</v>
      </c>
      <c r="M130" s="1267"/>
      <c r="N130" s="1268"/>
      <c r="O130" s="433"/>
      <c r="P130" s="336">
        <f t="shared" si="38"/>
        <v>0</v>
      </c>
      <c r="Q130" s="298">
        <f t="shared" si="39"/>
        <v>0</v>
      </c>
      <c r="R130" s="1265"/>
      <c r="S130" s="1266"/>
      <c r="T130" s="299"/>
    </row>
    <row r="131" spans="1:20" s="155" customFormat="1" ht="27.95" customHeight="1">
      <c r="A131" s="18">
        <v>124</v>
      </c>
      <c r="B131" s="122" t="s">
        <v>663</v>
      </c>
      <c r="C131" s="290" t="s">
        <v>562</v>
      </c>
      <c r="D131" s="272">
        <f>SUM(D132:D146)</f>
        <v>12471000460.653996</v>
      </c>
      <c r="E131" s="273">
        <f>SUM(E132:E146)</f>
        <v>1.0414395334974987E-2</v>
      </c>
      <c r="F131" s="274"/>
      <c r="G131" s="482">
        <v>4.9345863795961009E-2</v>
      </c>
      <c r="H131" s="491">
        <v>5.1390733371696744E-4</v>
      </c>
      <c r="I131" s="495">
        <v>615392290.13079906</v>
      </c>
      <c r="J131" s="310"/>
      <c r="K131" s="414">
        <f>SUM(K132:K146)</f>
        <v>2.018630298038334E-3</v>
      </c>
      <c r="L131" s="421">
        <f>SUM(L132:L146)</f>
        <v>2417263659.2911363</v>
      </c>
      <c r="M131" s="1267"/>
      <c r="N131" s="1268"/>
      <c r="O131" s="343">
        <f>Q131/D131</f>
        <v>0</v>
      </c>
      <c r="P131" s="336">
        <f>SUM(P132:P146)</f>
        <v>0</v>
      </c>
      <c r="Q131" s="298">
        <f>SUM(Q132:Q146)</f>
        <v>0</v>
      </c>
      <c r="R131" s="1265"/>
      <c r="S131" s="1266"/>
      <c r="T131" s="265"/>
    </row>
    <row r="132" spans="1:20" s="300" customFormat="1" ht="27.95" customHeight="1">
      <c r="A132" s="18">
        <v>125</v>
      </c>
      <c r="B132" s="291" t="s">
        <v>664</v>
      </c>
      <c r="C132" s="292" t="s">
        <v>542</v>
      </c>
      <c r="D132" s="293">
        <v>124754834</v>
      </c>
      <c r="E132" s="294">
        <f>D132/$Q$4</f>
        <v>1.0418138988321749E-4</v>
      </c>
      <c r="F132" s="295">
        <v>21</v>
      </c>
      <c r="G132" s="485">
        <v>0</v>
      </c>
      <c r="H132" s="486">
        <v>0</v>
      </c>
      <c r="I132" s="487">
        <v>0</v>
      </c>
      <c r="J132" s="430">
        <v>1</v>
      </c>
      <c r="K132" s="413">
        <f t="shared" ref="K132:K146" si="40">J132*E132</f>
        <v>1.0418138988321749E-4</v>
      </c>
      <c r="L132" s="420">
        <f t="shared" ref="L132:L146" si="41">K132*$Q$4</f>
        <v>124754834</v>
      </c>
      <c r="M132" s="1267"/>
      <c r="N132" s="1268"/>
      <c r="O132" s="433"/>
      <c r="P132" s="336">
        <f t="shared" ref="P132:P146" si="42">O132*E132</f>
        <v>0</v>
      </c>
      <c r="Q132" s="298">
        <f t="shared" ref="Q132:Q146" si="43">P132*$Q$4</f>
        <v>0</v>
      </c>
      <c r="R132" s="1265"/>
      <c r="S132" s="1266"/>
      <c r="T132" s="299"/>
    </row>
    <row r="133" spans="1:20" s="300" customFormat="1" ht="27.95" customHeight="1">
      <c r="A133" s="18">
        <v>126</v>
      </c>
      <c r="B133" s="291" t="s">
        <v>665</v>
      </c>
      <c r="C133" s="292" t="s">
        <v>602</v>
      </c>
      <c r="D133" s="293">
        <v>3076961450.6539955</v>
      </c>
      <c r="E133" s="294">
        <f t="shared" ref="E133:E146" si="44">D133/$Q$4</f>
        <v>2.5695366685848371E-3</v>
      </c>
      <c r="F133" s="295">
        <v>14</v>
      </c>
      <c r="G133" s="490">
        <v>0.2</v>
      </c>
      <c r="H133" s="486">
        <v>5.1390733371696744E-4</v>
      </c>
      <c r="I133" s="487">
        <v>615392290.13079906</v>
      </c>
      <c r="J133" s="459">
        <v>0.33329999999999999</v>
      </c>
      <c r="K133" s="413">
        <f t="shared" si="40"/>
        <v>8.5642657163932613E-4</v>
      </c>
      <c r="L133" s="420">
        <f t="shared" si="41"/>
        <v>1025551251.5029765</v>
      </c>
      <c r="M133" s="1267"/>
      <c r="N133" s="1268"/>
      <c r="O133" s="433"/>
      <c r="P133" s="336">
        <f t="shared" si="42"/>
        <v>0</v>
      </c>
      <c r="Q133" s="298">
        <f t="shared" si="43"/>
        <v>0</v>
      </c>
      <c r="R133" s="1265"/>
      <c r="S133" s="1266"/>
      <c r="T133" s="299"/>
    </row>
    <row r="134" spans="1:20" s="300" customFormat="1" ht="27.95" customHeight="1">
      <c r="A134" s="18">
        <v>127</v>
      </c>
      <c r="B134" s="291" t="s">
        <v>667</v>
      </c>
      <c r="C134" s="292" t="s">
        <v>603</v>
      </c>
      <c r="D134" s="293">
        <v>1172695441</v>
      </c>
      <c r="E134" s="294">
        <f t="shared" si="44"/>
        <v>9.7930506607136905E-4</v>
      </c>
      <c r="F134" s="295">
        <v>14</v>
      </c>
      <c r="G134" s="490">
        <v>0</v>
      </c>
      <c r="H134" s="486">
        <v>0</v>
      </c>
      <c r="I134" s="487">
        <v>0</v>
      </c>
      <c r="J134" s="459">
        <v>0.33329999999999999</v>
      </c>
      <c r="K134" s="413">
        <f t="shared" si="40"/>
        <v>3.2640237852158728E-4</v>
      </c>
      <c r="L134" s="420">
        <f t="shared" si="41"/>
        <v>390859390.4853</v>
      </c>
      <c r="M134" s="1267"/>
      <c r="N134" s="1268"/>
      <c r="O134" s="433"/>
      <c r="P134" s="336">
        <f t="shared" si="42"/>
        <v>0</v>
      </c>
      <c r="Q134" s="298">
        <f t="shared" si="43"/>
        <v>0</v>
      </c>
      <c r="R134" s="1265"/>
      <c r="S134" s="1266"/>
      <c r="T134" s="299"/>
    </row>
    <row r="135" spans="1:20" s="300" customFormat="1" ht="27.95" customHeight="1">
      <c r="A135" s="18">
        <v>128</v>
      </c>
      <c r="B135" s="291" t="s">
        <v>670</v>
      </c>
      <c r="C135" s="292" t="s">
        <v>748</v>
      </c>
      <c r="D135" s="293">
        <v>449117403</v>
      </c>
      <c r="E135" s="294">
        <f t="shared" si="44"/>
        <v>3.7505300408063636E-4</v>
      </c>
      <c r="F135" s="295">
        <v>23</v>
      </c>
      <c r="G135" s="485">
        <v>0</v>
      </c>
      <c r="H135" s="486">
        <v>0</v>
      </c>
      <c r="I135" s="487">
        <v>0</v>
      </c>
      <c r="J135" s="430">
        <v>1</v>
      </c>
      <c r="K135" s="413">
        <f t="shared" si="40"/>
        <v>3.7505300408063636E-4</v>
      </c>
      <c r="L135" s="420">
        <f t="shared" si="41"/>
        <v>449117403</v>
      </c>
      <c r="M135" s="1267"/>
      <c r="N135" s="1268"/>
      <c r="O135" s="433"/>
      <c r="P135" s="336">
        <f t="shared" si="42"/>
        <v>0</v>
      </c>
      <c r="Q135" s="298">
        <f t="shared" si="43"/>
        <v>0</v>
      </c>
      <c r="R135" s="1265"/>
      <c r="S135" s="1266"/>
      <c r="T135" s="299"/>
    </row>
    <row r="136" spans="1:20" s="300" customFormat="1" ht="27.95" customHeight="1">
      <c r="A136" s="18">
        <v>129</v>
      </c>
      <c r="B136" s="291" t="s">
        <v>671</v>
      </c>
      <c r="C136" s="292" t="s">
        <v>749</v>
      </c>
      <c r="D136" s="293">
        <v>548921270</v>
      </c>
      <c r="E136" s="294">
        <f t="shared" si="44"/>
        <v>4.5839811582019257E-4</v>
      </c>
      <c r="F136" s="295">
        <v>22</v>
      </c>
      <c r="G136" s="485">
        <v>0</v>
      </c>
      <c r="H136" s="486">
        <v>0</v>
      </c>
      <c r="I136" s="487">
        <v>0</v>
      </c>
      <c r="J136" s="430">
        <v>0</v>
      </c>
      <c r="K136" s="413">
        <f t="shared" si="40"/>
        <v>0</v>
      </c>
      <c r="L136" s="420">
        <f t="shared" si="41"/>
        <v>0</v>
      </c>
      <c r="M136" s="1267"/>
      <c r="N136" s="1268"/>
      <c r="O136" s="433"/>
      <c r="P136" s="336">
        <f t="shared" si="42"/>
        <v>0</v>
      </c>
      <c r="Q136" s="298">
        <f t="shared" si="43"/>
        <v>0</v>
      </c>
      <c r="R136" s="1265"/>
      <c r="S136" s="1266"/>
      <c r="T136" s="299"/>
    </row>
    <row r="137" spans="1:20" s="300" customFormat="1" ht="36" customHeight="1">
      <c r="A137" s="18">
        <v>130</v>
      </c>
      <c r="B137" s="291" t="s">
        <v>672</v>
      </c>
      <c r="C137" s="292" t="s">
        <v>750</v>
      </c>
      <c r="D137" s="293">
        <v>636249654</v>
      </c>
      <c r="E137" s="294">
        <f t="shared" si="44"/>
        <v>5.3132508890546255E-4</v>
      </c>
      <c r="F137" s="295">
        <v>22</v>
      </c>
      <c r="G137" s="490">
        <v>0</v>
      </c>
      <c r="H137" s="486">
        <v>0</v>
      </c>
      <c r="I137" s="487">
        <v>0</v>
      </c>
      <c r="J137" s="459">
        <f>95.87%*0.7</f>
        <v>0.67108999999999996</v>
      </c>
      <c r="K137" s="413">
        <f t="shared" si="40"/>
        <v>3.5656695391356684E-4</v>
      </c>
      <c r="L137" s="420">
        <f t="shared" si="41"/>
        <v>426980780.30285996</v>
      </c>
      <c r="M137" s="1267"/>
      <c r="N137" s="1268"/>
      <c r="O137" s="433"/>
      <c r="P137" s="336">
        <f t="shared" si="42"/>
        <v>0</v>
      </c>
      <c r="Q137" s="298">
        <f t="shared" si="43"/>
        <v>0</v>
      </c>
      <c r="R137" s="1265"/>
      <c r="S137" s="1266"/>
      <c r="T137" s="299"/>
    </row>
    <row r="138" spans="1:20" s="300" customFormat="1" ht="27.95" customHeight="1">
      <c r="A138" s="18">
        <v>131</v>
      </c>
      <c r="B138" s="291" t="s">
        <v>673</v>
      </c>
      <c r="C138" s="292" t="s">
        <v>751</v>
      </c>
      <c r="D138" s="293">
        <v>299411602</v>
      </c>
      <c r="E138" s="294">
        <f t="shared" si="44"/>
        <v>2.5003533605375759E-4</v>
      </c>
      <c r="F138" s="295">
        <v>23</v>
      </c>
      <c r="G138" s="485">
        <v>0</v>
      </c>
      <c r="H138" s="486">
        <v>0</v>
      </c>
      <c r="I138" s="487">
        <v>0</v>
      </c>
      <c r="J138" s="430">
        <v>0</v>
      </c>
      <c r="K138" s="413">
        <f t="shared" si="40"/>
        <v>0</v>
      </c>
      <c r="L138" s="420">
        <f t="shared" si="41"/>
        <v>0</v>
      </c>
      <c r="M138" s="1267"/>
      <c r="N138" s="1268"/>
      <c r="O138" s="433"/>
      <c r="P138" s="336">
        <f t="shared" si="42"/>
        <v>0</v>
      </c>
      <c r="Q138" s="298">
        <f t="shared" si="43"/>
        <v>0</v>
      </c>
      <c r="R138" s="1265"/>
      <c r="S138" s="1266"/>
      <c r="T138" s="299"/>
    </row>
    <row r="139" spans="1:20" s="300" customFormat="1" ht="27.95" customHeight="1">
      <c r="A139" s="18">
        <v>132</v>
      </c>
      <c r="B139" s="291" t="s">
        <v>707</v>
      </c>
      <c r="C139" s="292" t="s">
        <v>541</v>
      </c>
      <c r="D139" s="293">
        <v>2869361185</v>
      </c>
      <c r="E139" s="294">
        <f t="shared" si="44"/>
        <v>2.3961719698192691E-3</v>
      </c>
      <c r="F139" s="295">
        <v>23</v>
      </c>
      <c r="G139" s="485">
        <v>0</v>
      </c>
      <c r="H139" s="486">
        <v>0</v>
      </c>
      <c r="I139" s="487">
        <v>0</v>
      </c>
      <c r="J139" s="430">
        <v>0</v>
      </c>
      <c r="K139" s="413">
        <f t="shared" si="40"/>
        <v>0</v>
      </c>
      <c r="L139" s="420">
        <f t="shared" si="41"/>
        <v>0</v>
      </c>
      <c r="M139" s="1267"/>
      <c r="N139" s="1268"/>
      <c r="O139" s="433"/>
      <c r="P139" s="336">
        <f t="shared" si="42"/>
        <v>0</v>
      </c>
      <c r="Q139" s="298">
        <f t="shared" si="43"/>
        <v>0</v>
      </c>
      <c r="R139" s="1265"/>
      <c r="S139" s="1266"/>
      <c r="T139" s="299"/>
    </row>
    <row r="140" spans="1:20" s="300" customFormat="1" ht="27.95" customHeight="1">
      <c r="A140" s="18">
        <v>133</v>
      </c>
      <c r="B140" s="291" t="s">
        <v>708</v>
      </c>
      <c r="C140" s="292" t="s">
        <v>615</v>
      </c>
      <c r="D140" s="293">
        <v>274460635</v>
      </c>
      <c r="E140" s="294">
        <f t="shared" si="44"/>
        <v>2.2919905791009629E-4</v>
      </c>
      <c r="F140" s="295">
        <v>23</v>
      </c>
      <c r="G140" s="485">
        <v>0</v>
      </c>
      <c r="H140" s="486">
        <v>0</v>
      </c>
      <c r="I140" s="487">
        <v>0</v>
      </c>
      <c r="J140" s="430">
        <v>0</v>
      </c>
      <c r="K140" s="413">
        <f t="shared" si="40"/>
        <v>0</v>
      </c>
      <c r="L140" s="420">
        <f t="shared" si="41"/>
        <v>0</v>
      </c>
      <c r="M140" s="1267"/>
      <c r="N140" s="1268"/>
      <c r="O140" s="433"/>
      <c r="P140" s="336">
        <f t="shared" si="42"/>
        <v>0</v>
      </c>
      <c r="Q140" s="298">
        <f t="shared" si="43"/>
        <v>0</v>
      </c>
      <c r="R140" s="1265"/>
      <c r="S140" s="1266"/>
      <c r="T140" s="299"/>
    </row>
    <row r="141" spans="1:20" s="300" customFormat="1" ht="27.95" customHeight="1">
      <c r="A141" s="18">
        <v>134</v>
      </c>
      <c r="B141" s="291" t="s">
        <v>709</v>
      </c>
      <c r="C141" s="292" t="s">
        <v>554</v>
      </c>
      <c r="D141" s="293">
        <v>736053521</v>
      </c>
      <c r="E141" s="294">
        <f t="shared" si="44"/>
        <v>6.1467020064501882E-4</v>
      </c>
      <c r="F141" s="295">
        <v>23</v>
      </c>
      <c r="G141" s="485">
        <v>0</v>
      </c>
      <c r="H141" s="486">
        <v>0</v>
      </c>
      <c r="I141" s="487">
        <v>0</v>
      </c>
      <c r="J141" s="430">
        <v>0</v>
      </c>
      <c r="K141" s="413">
        <f t="shared" si="40"/>
        <v>0</v>
      </c>
      <c r="L141" s="420">
        <f t="shared" si="41"/>
        <v>0</v>
      </c>
      <c r="M141" s="1267"/>
      <c r="N141" s="1268"/>
      <c r="O141" s="433"/>
      <c r="P141" s="336">
        <f t="shared" si="42"/>
        <v>0</v>
      </c>
      <c r="Q141" s="298">
        <f t="shared" si="43"/>
        <v>0</v>
      </c>
      <c r="R141" s="1265"/>
      <c r="S141" s="1266"/>
      <c r="T141" s="299"/>
    </row>
    <row r="142" spans="1:20" s="300" customFormat="1" ht="27.95" customHeight="1">
      <c r="A142" s="18">
        <v>135</v>
      </c>
      <c r="B142" s="291" t="s">
        <v>710</v>
      </c>
      <c r="C142" s="292" t="s">
        <v>555</v>
      </c>
      <c r="D142" s="293">
        <v>736053521</v>
      </c>
      <c r="E142" s="294">
        <f t="shared" si="44"/>
        <v>6.1467020064501882E-4</v>
      </c>
      <c r="F142" s="295">
        <v>23</v>
      </c>
      <c r="G142" s="485">
        <v>0</v>
      </c>
      <c r="H142" s="486">
        <v>0</v>
      </c>
      <c r="I142" s="487">
        <v>0</v>
      </c>
      <c r="J142" s="430">
        <v>0</v>
      </c>
      <c r="K142" s="413">
        <f t="shared" si="40"/>
        <v>0</v>
      </c>
      <c r="L142" s="420">
        <f t="shared" si="41"/>
        <v>0</v>
      </c>
      <c r="M142" s="1267"/>
      <c r="N142" s="1268"/>
      <c r="O142" s="433"/>
      <c r="P142" s="336">
        <f t="shared" si="42"/>
        <v>0</v>
      </c>
      <c r="Q142" s="298">
        <f t="shared" si="43"/>
        <v>0</v>
      </c>
      <c r="R142" s="1265"/>
      <c r="S142" s="1266"/>
      <c r="T142" s="299"/>
    </row>
    <row r="143" spans="1:20" s="300" customFormat="1" ht="27.95" customHeight="1">
      <c r="A143" s="18">
        <v>136</v>
      </c>
      <c r="B143" s="291" t="s">
        <v>711</v>
      </c>
      <c r="C143" s="292" t="s">
        <v>556</v>
      </c>
      <c r="D143" s="293">
        <v>499019337</v>
      </c>
      <c r="E143" s="294">
        <f t="shared" si="44"/>
        <v>4.1672556036795896E-4</v>
      </c>
      <c r="F143" s="295">
        <v>23</v>
      </c>
      <c r="G143" s="485">
        <v>0</v>
      </c>
      <c r="H143" s="486">
        <v>0</v>
      </c>
      <c r="I143" s="487">
        <v>0</v>
      </c>
      <c r="J143" s="430">
        <v>0</v>
      </c>
      <c r="K143" s="413">
        <f t="shared" si="40"/>
        <v>0</v>
      </c>
      <c r="L143" s="420">
        <f t="shared" si="41"/>
        <v>0</v>
      </c>
      <c r="M143" s="1267"/>
      <c r="N143" s="1268"/>
      <c r="O143" s="433"/>
      <c r="P143" s="336">
        <f t="shared" si="42"/>
        <v>0</v>
      </c>
      <c r="Q143" s="298">
        <f t="shared" si="43"/>
        <v>0</v>
      </c>
      <c r="R143" s="1265"/>
      <c r="S143" s="1266"/>
      <c r="T143" s="299"/>
    </row>
    <row r="144" spans="1:20" s="300" customFormat="1" ht="27.95" customHeight="1">
      <c r="A144" s="18">
        <v>137</v>
      </c>
      <c r="B144" s="291" t="s">
        <v>712</v>
      </c>
      <c r="C144" s="292" t="s">
        <v>557</v>
      </c>
      <c r="D144" s="293">
        <v>499019337</v>
      </c>
      <c r="E144" s="294">
        <f t="shared" si="44"/>
        <v>4.1672556036795896E-4</v>
      </c>
      <c r="F144" s="295">
        <v>23</v>
      </c>
      <c r="G144" s="485">
        <v>0</v>
      </c>
      <c r="H144" s="486">
        <v>0</v>
      </c>
      <c r="I144" s="487">
        <v>0</v>
      </c>
      <c r="J144" s="430">
        <v>0</v>
      </c>
      <c r="K144" s="413">
        <f t="shared" si="40"/>
        <v>0</v>
      </c>
      <c r="L144" s="420">
        <f t="shared" si="41"/>
        <v>0</v>
      </c>
      <c r="M144" s="1267"/>
      <c r="N144" s="1268"/>
      <c r="O144" s="433"/>
      <c r="P144" s="336">
        <f t="shared" si="42"/>
        <v>0</v>
      </c>
      <c r="Q144" s="298">
        <f t="shared" si="43"/>
        <v>0</v>
      </c>
      <c r="R144" s="1265"/>
      <c r="S144" s="1266"/>
      <c r="T144" s="299"/>
    </row>
    <row r="145" spans="1:21" s="300" customFormat="1" ht="27.95" customHeight="1">
      <c r="A145" s="18">
        <v>138</v>
      </c>
      <c r="B145" s="291" t="s">
        <v>713</v>
      </c>
      <c r="C145" s="292" t="s">
        <v>558</v>
      </c>
      <c r="D145" s="293">
        <v>274460635</v>
      </c>
      <c r="E145" s="294">
        <f t="shared" si="44"/>
        <v>2.2919905791009629E-4</v>
      </c>
      <c r="F145" s="295">
        <v>23</v>
      </c>
      <c r="G145" s="485">
        <v>0</v>
      </c>
      <c r="H145" s="486">
        <v>0</v>
      </c>
      <c r="I145" s="487">
        <v>0</v>
      </c>
      <c r="J145" s="430">
        <v>0</v>
      </c>
      <c r="K145" s="413">
        <f t="shared" si="40"/>
        <v>0</v>
      </c>
      <c r="L145" s="420">
        <f t="shared" si="41"/>
        <v>0</v>
      </c>
      <c r="M145" s="1267"/>
      <c r="N145" s="1268"/>
      <c r="O145" s="433"/>
      <c r="P145" s="336">
        <f t="shared" si="42"/>
        <v>0</v>
      </c>
      <c r="Q145" s="298">
        <f t="shared" si="43"/>
        <v>0</v>
      </c>
      <c r="R145" s="1265"/>
      <c r="S145" s="1266"/>
      <c r="T145" s="299"/>
    </row>
    <row r="146" spans="1:21" s="300" customFormat="1" ht="27.95" customHeight="1">
      <c r="A146" s="18">
        <v>139</v>
      </c>
      <c r="B146" s="291" t="s">
        <v>714</v>
      </c>
      <c r="C146" s="292" t="s">
        <v>560</v>
      </c>
      <c r="D146" s="293">
        <v>274460635</v>
      </c>
      <c r="E146" s="294">
        <f t="shared" si="44"/>
        <v>2.2919905791009629E-4</v>
      </c>
      <c r="F146" s="295">
        <v>23</v>
      </c>
      <c r="G146" s="485">
        <v>0</v>
      </c>
      <c r="H146" s="486">
        <v>0</v>
      </c>
      <c r="I146" s="487">
        <v>0</v>
      </c>
      <c r="J146" s="430">
        <v>0</v>
      </c>
      <c r="K146" s="413">
        <f t="shared" si="40"/>
        <v>0</v>
      </c>
      <c r="L146" s="420">
        <f t="shared" si="41"/>
        <v>0</v>
      </c>
      <c r="M146" s="1267"/>
      <c r="N146" s="1268"/>
      <c r="O146" s="433"/>
      <c r="P146" s="336">
        <f t="shared" si="42"/>
        <v>0</v>
      </c>
      <c r="Q146" s="298">
        <f t="shared" si="43"/>
        <v>0</v>
      </c>
      <c r="R146" s="1265"/>
      <c r="S146" s="1266"/>
      <c r="T146" s="299"/>
    </row>
    <row r="147" spans="1:21" s="141" customFormat="1" ht="35.1" customHeight="1">
      <c r="A147" s="18">
        <v>140</v>
      </c>
      <c r="B147" s="145" t="s">
        <v>214</v>
      </c>
      <c r="C147" s="289" t="s">
        <v>564</v>
      </c>
      <c r="D147" s="269">
        <f>D148+D158+D170</f>
        <v>156941355479.94876</v>
      </c>
      <c r="E147" s="270">
        <f>E148+E158+E170</f>
        <v>0.13106000000013765</v>
      </c>
      <c r="F147" s="271"/>
      <c r="G147" s="479">
        <v>0.66141400000035777</v>
      </c>
      <c r="H147" s="480">
        <v>8.6684918840137917E-2</v>
      </c>
      <c r="I147" s="481">
        <v>103803209693.47098</v>
      </c>
      <c r="J147" s="309"/>
      <c r="K147" s="411">
        <f>K148+K158+K170</f>
        <v>9.191285440323764E-2</v>
      </c>
      <c r="L147" s="417">
        <f>L148+L158+L170</f>
        <v>110063543079.96446</v>
      </c>
      <c r="M147" s="1267"/>
      <c r="N147" s="1268"/>
      <c r="O147" s="343">
        <f>Q147/D147</f>
        <v>0</v>
      </c>
      <c r="P147" s="338">
        <f>P148+P158+P170</f>
        <v>0</v>
      </c>
      <c r="Q147" s="339">
        <f>Q148+Q158+Q170</f>
        <v>0</v>
      </c>
      <c r="R147" s="1265"/>
      <c r="S147" s="1266"/>
      <c r="T147" s="260"/>
    </row>
    <row r="148" spans="1:21" s="155" customFormat="1" ht="27.95" customHeight="1">
      <c r="A148" s="18">
        <v>141</v>
      </c>
      <c r="B148" s="122" t="s">
        <v>359</v>
      </c>
      <c r="C148" s="290" t="s">
        <v>526</v>
      </c>
      <c r="D148" s="272">
        <f>SUM(D149:D157)</f>
        <v>58068301527.520065</v>
      </c>
      <c r="E148" s="273">
        <f>SUM(E149:E157)</f>
        <v>4.8492200000000013E-2</v>
      </c>
      <c r="F148" s="274"/>
      <c r="G148" s="482">
        <v>1</v>
      </c>
      <c r="H148" s="483">
        <v>4.8492200000000013E-2</v>
      </c>
      <c r="I148" s="484">
        <v>58068301527.520065</v>
      </c>
      <c r="J148" s="310"/>
      <c r="K148" s="412">
        <f>SUM(K149:K157)</f>
        <v>4.8492200000000013E-2</v>
      </c>
      <c r="L148" s="419">
        <f>SUM(L149:L157)</f>
        <v>58068301527.520065</v>
      </c>
      <c r="M148" s="1267"/>
      <c r="N148" s="1268"/>
      <c r="O148" s="343">
        <f>Q148/D148</f>
        <v>0</v>
      </c>
      <c r="P148" s="340">
        <f>SUM(P149:P157)</f>
        <v>0</v>
      </c>
      <c r="Q148" s="341">
        <f>SUM(Q149:Q157)</f>
        <v>0</v>
      </c>
      <c r="R148" s="1265"/>
      <c r="S148" s="1266"/>
      <c r="T148" s="265"/>
    </row>
    <row r="149" spans="1:21" s="300" customFormat="1" ht="27.95" customHeight="1">
      <c r="A149" s="18">
        <v>142</v>
      </c>
      <c r="B149" s="291" t="s">
        <v>360</v>
      </c>
      <c r="C149" s="292" t="s">
        <v>527</v>
      </c>
      <c r="D149" s="293">
        <v>2903415076.3760033</v>
      </c>
      <c r="E149" s="294">
        <f t="shared" ref="E149:E157" si="45">D149/$Q$4</f>
        <v>2.4246100000000007E-3</v>
      </c>
      <c r="F149" s="295">
        <v>3</v>
      </c>
      <c r="G149" s="485">
        <v>1</v>
      </c>
      <c r="H149" s="486">
        <v>2.4246100000000007E-3</v>
      </c>
      <c r="I149" s="487">
        <v>2903415076.3760033</v>
      </c>
      <c r="J149" s="430">
        <v>1</v>
      </c>
      <c r="K149" s="413">
        <f t="shared" ref="K149:K157" si="46">J149*E149</f>
        <v>2.4246100000000007E-3</v>
      </c>
      <c r="L149" s="420">
        <f t="shared" ref="L149:L157" si="47">K149*$Q$4</f>
        <v>2903415076.3760033</v>
      </c>
      <c r="M149" s="1267"/>
      <c r="N149" s="1268"/>
      <c r="O149" s="432"/>
      <c r="P149" s="336">
        <f t="shared" ref="P149:P157" si="48">O149*E149</f>
        <v>0</v>
      </c>
      <c r="Q149" s="298">
        <f>O149*D149</f>
        <v>0</v>
      </c>
      <c r="R149" s="1265"/>
      <c r="S149" s="1266"/>
      <c r="T149" s="299"/>
    </row>
    <row r="150" spans="1:21" s="300" customFormat="1" ht="27.95" customHeight="1">
      <c r="A150" s="18">
        <v>143</v>
      </c>
      <c r="B150" s="291" t="s">
        <v>361</v>
      </c>
      <c r="C150" s="292" t="s">
        <v>528</v>
      </c>
      <c r="D150" s="293">
        <v>5806830152.7520065</v>
      </c>
      <c r="E150" s="294">
        <f t="shared" si="45"/>
        <v>4.8492200000000013E-3</v>
      </c>
      <c r="F150" s="295">
        <v>3</v>
      </c>
      <c r="G150" s="485">
        <v>1</v>
      </c>
      <c r="H150" s="486">
        <v>4.8492200000000013E-3</v>
      </c>
      <c r="I150" s="487">
        <v>5806830152.7520065</v>
      </c>
      <c r="J150" s="430">
        <v>1</v>
      </c>
      <c r="K150" s="413">
        <f t="shared" si="46"/>
        <v>4.8492200000000013E-3</v>
      </c>
      <c r="L150" s="420">
        <f t="shared" si="47"/>
        <v>5806830152.7520065</v>
      </c>
      <c r="M150" s="1267"/>
      <c r="N150" s="1268"/>
      <c r="O150" s="432"/>
      <c r="P150" s="336">
        <f t="shared" si="48"/>
        <v>0</v>
      </c>
      <c r="Q150" s="298">
        <f t="shared" ref="Q150:Q157" si="49">O150*D150</f>
        <v>0</v>
      </c>
      <c r="R150" s="1265"/>
      <c r="S150" s="1266"/>
      <c r="T150" s="299"/>
    </row>
    <row r="151" spans="1:21" s="300" customFormat="1" ht="27.95" customHeight="1">
      <c r="A151" s="18">
        <v>144</v>
      </c>
      <c r="B151" s="291" t="s">
        <v>362</v>
      </c>
      <c r="C151" s="292" t="s">
        <v>529</v>
      </c>
      <c r="D151" s="293">
        <v>5806830152.7520065</v>
      </c>
      <c r="E151" s="294">
        <f t="shared" si="45"/>
        <v>4.8492200000000013E-3</v>
      </c>
      <c r="F151" s="295">
        <v>3</v>
      </c>
      <c r="G151" s="485">
        <v>1</v>
      </c>
      <c r="H151" s="486">
        <v>4.8492200000000013E-3</v>
      </c>
      <c r="I151" s="487">
        <v>5806830152.7520065</v>
      </c>
      <c r="J151" s="430">
        <v>1</v>
      </c>
      <c r="K151" s="413">
        <f t="shared" si="46"/>
        <v>4.8492200000000013E-3</v>
      </c>
      <c r="L151" s="420">
        <f t="shared" si="47"/>
        <v>5806830152.7520065</v>
      </c>
      <c r="M151" s="1267"/>
      <c r="N151" s="1268"/>
      <c r="O151" s="432"/>
      <c r="P151" s="336">
        <f t="shared" si="48"/>
        <v>0</v>
      </c>
      <c r="Q151" s="298">
        <f t="shared" si="49"/>
        <v>0</v>
      </c>
      <c r="R151" s="1265"/>
      <c r="S151" s="1266"/>
      <c r="T151" s="299"/>
    </row>
    <row r="152" spans="1:21" s="300" customFormat="1" ht="27.95" customHeight="1">
      <c r="A152" s="18">
        <v>145</v>
      </c>
      <c r="B152" s="291" t="s">
        <v>363</v>
      </c>
      <c r="C152" s="292" t="s">
        <v>530</v>
      </c>
      <c r="D152" s="293">
        <v>11613660305.504013</v>
      </c>
      <c r="E152" s="294">
        <f t="shared" si="45"/>
        <v>9.6984400000000026E-3</v>
      </c>
      <c r="F152" s="295">
        <v>14</v>
      </c>
      <c r="G152" s="485">
        <v>1</v>
      </c>
      <c r="H152" s="486">
        <v>9.6984400000000026E-3</v>
      </c>
      <c r="I152" s="487">
        <v>11613660305.504013</v>
      </c>
      <c r="J152" s="430">
        <v>1</v>
      </c>
      <c r="K152" s="413">
        <f t="shared" si="46"/>
        <v>9.6984400000000026E-3</v>
      </c>
      <c r="L152" s="420">
        <f t="shared" si="47"/>
        <v>11613660305.504013</v>
      </c>
      <c r="M152" s="1267"/>
      <c r="N152" s="1268"/>
      <c r="O152" s="432"/>
      <c r="P152" s="336">
        <f t="shared" si="48"/>
        <v>0</v>
      </c>
      <c r="Q152" s="298">
        <f t="shared" si="49"/>
        <v>0</v>
      </c>
      <c r="R152" s="1265"/>
      <c r="S152" s="1266"/>
      <c r="T152" s="299"/>
    </row>
    <row r="153" spans="1:21" s="300" customFormat="1" ht="27.95" customHeight="1">
      <c r="A153" s="18">
        <v>146</v>
      </c>
      <c r="B153" s="291" t="s">
        <v>364</v>
      </c>
      <c r="C153" s="292" t="s">
        <v>531</v>
      </c>
      <c r="D153" s="293">
        <v>8710245229.1280079</v>
      </c>
      <c r="E153" s="294">
        <f t="shared" si="45"/>
        <v>7.2738300000000002E-3</v>
      </c>
      <c r="F153" s="295">
        <v>3</v>
      </c>
      <c r="G153" s="485">
        <v>1</v>
      </c>
      <c r="H153" s="486">
        <v>7.2738300000000002E-3</v>
      </c>
      <c r="I153" s="487">
        <v>8710245229.1280079</v>
      </c>
      <c r="J153" s="430">
        <v>1</v>
      </c>
      <c r="K153" s="413">
        <f t="shared" si="46"/>
        <v>7.2738300000000002E-3</v>
      </c>
      <c r="L153" s="420">
        <f t="shared" si="47"/>
        <v>8710245229.1280079</v>
      </c>
      <c r="M153" s="1267"/>
      <c r="N153" s="1268"/>
      <c r="O153" s="432"/>
      <c r="P153" s="336">
        <f t="shared" si="48"/>
        <v>0</v>
      </c>
      <c r="Q153" s="298">
        <f t="shared" si="49"/>
        <v>0</v>
      </c>
      <c r="R153" s="1265"/>
      <c r="S153" s="1266"/>
      <c r="T153" s="299"/>
    </row>
    <row r="154" spans="1:21" s="300" customFormat="1" ht="27.95" customHeight="1">
      <c r="A154" s="18">
        <v>147</v>
      </c>
      <c r="B154" s="291" t="s">
        <v>365</v>
      </c>
      <c r="C154" s="292" t="s">
        <v>532</v>
      </c>
      <c r="D154" s="293">
        <v>6677854675.6648073</v>
      </c>
      <c r="E154" s="294">
        <f t="shared" si="45"/>
        <v>5.5766030000000012E-3</v>
      </c>
      <c r="F154" s="295">
        <v>14</v>
      </c>
      <c r="G154" s="485">
        <v>1</v>
      </c>
      <c r="H154" s="486">
        <v>5.5766030000000012E-3</v>
      </c>
      <c r="I154" s="487">
        <v>6677854675.6648073</v>
      </c>
      <c r="J154" s="430">
        <v>1</v>
      </c>
      <c r="K154" s="413">
        <f t="shared" si="46"/>
        <v>5.5766030000000012E-3</v>
      </c>
      <c r="L154" s="420">
        <f t="shared" si="47"/>
        <v>6677854675.6648073</v>
      </c>
      <c r="M154" s="1267"/>
      <c r="N154" s="1268"/>
      <c r="O154" s="432"/>
      <c r="P154" s="336">
        <f t="shared" si="48"/>
        <v>0</v>
      </c>
      <c r="Q154" s="298">
        <f t="shared" si="49"/>
        <v>0</v>
      </c>
      <c r="R154" s="1265"/>
      <c r="S154" s="1266"/>
      <c r="T154" s="299"/>
    </row>
    <row r="155" spans="1:21" s="300" customFormat="1" ht="27.95" customHeight="1">
      <c r="A155" s="18">
        <v>148</v>
      </c>
      <c r="B155" s="291" t="s">
        <v>366</v>
      </c>
      <c r="C155" s="292" t="s">
        <v>533</v>
      </c>
      <c r="D155" s="293">
        <v>4935805629.8392048</v>
      </c>
      <c r="E155" s="294">
        <f t="shared" si="45"/>
        <v>4.1218370000000006E-3</v>
      </c>
      <c r="F155" s="295">
        <v>3</v>
      </c>
      <c r="G155" s="485">
        <v>1</v>
      </c>
      <c r="H155" s="486">
        <v>4.1218370000000006E-3</v>
      </c>
      <c r="I155" s="487">
        <v>4935805629.8392048</v>
      </c>
      <c r="J155" s="430">
        <v>1</v>
      </c>
      <c r="K155" s="413">
        <f t="shared" si="46"/>
        <v>4.1218370000000006E-3</v>
      </c>
      <c r="L155" s="420">
        <f t="shared" si="47"/>
        <v>4935805629.8392048</v>
      </c>
      <c r="M155" s="1267"/>
      <c r="N155" s="1268"/>
      <c r="O155" s="432"/>
      <c r="P155" s="336">
        <f t="shared" si="48"/>
        <v>0</v>
      </c>
      <c r="Q155" s="298">
        <f t="shared" si="49"/>
        <v>0</v>
      </c>
      <c r="R155" s="1265"/>
      <c r="S155" s="1266"/>
      <c r="T155" s="299"/>
    </row>
    <row r="156" spans="1:21" s="300" customFormat="1" ht="27.95" customHeight="1">
      <c r="A156" s="18">
        <v>149</v>
      </c>
      <c r="B156" s="291" t="s">
        <v>367</v>
      </c>
      <c r="C156" s="292" t="s">
        <v>762</v>
      </c>
      <c r="D156" s="293">
        <v>8710245229.1280079</v>
      </c>
      <c r="E156" s="294">
        <f t="shared" si="45"/>
        <v>7.2738300000000002E-3</v>
      </c>
      <c r="F156" s="295">
        <v>14</v>
      </c>
      <c r="G156" s="485">
        <v>1</v>
      </c>
      <c r="H156" s="486">
        <v>7.2738300000000002E-3</v>
      </c>
      <c r="I156" s="487">
        <v>8710245229.1280079</v>
      </c>
      <c r="J156" s="430">
        <v>1</v>
      </c>
      <c r="K156" s="413">
        <f t="shared" si="46"/>
        <v>7.2738300000000002E-3</v>
      </c>
      <c r="L156" s="420">
        <f t="shared" si="47"/>
        <v>8710245229.1280079</v>
      </c>
      <c r="M156" s="1267"/>
      <c r="N156" s="1268"/>
      <c r="O156" s="432"/>
      <c r="P156" s="336">
        <f t="shared" si="48"/>
        <v>0</v>
      </c>
      <c r="Q156" s="298">
        <f t="shared" si="49"/>
        <v>0</v>
      </c>
      <c r="R156" s="1265"/>
      <c r="S156" s="1266"/>
      <c r="T156" s="299"/>
    </row>
    <row r="157" spans="1:21" s="300" customFormat="1" ht="27.95" customHeight="1">
      <c r="A157" s="18">
        <v>150</v>
      </c>
      <c r="B157" s="291" t="s">
        <v>674</v>
      </c>
      <c r="C157" s="292" t="s">
        <v>536</v>
      </c>
      <c r="D157" s="293">
        <v>2903415076.3760033</v>
      </c>
      <c r="E157" s="294">
        <f t="shared" si="45"/>
        <v>2.4246100000000007E-3</v>
      </c>
      <c r="F157" s="295">
        <v>3</v>
      </c>
      <c r="G157" s="485">
        <v>1</v>
      </c>
      <c r="H157" s="486">
        <v>2.4246100000000007E-3</v>
      </c>
      <c r="I157" s="487">
        <v>2903415076.3760033</v>
      </c>
      <c r="J157" s="430">
        <v>1</v>
      </c>
      <c r="K157" s="413">
        <f t="shared" si="46"/>
        <v>2.4246100000000007E-3</v>
      </c>
      <c r="L157" s="420">
        <f t="shared" si="47"/>
        <v>2903415076.3760033</v>
      </c>
      <c r="M157" s="1267"/>
      <c r="N157" s="1268"/>
      <c r="O157" s="432"/>
      <c r="P157" s="336">
        <f t="shared" si="48"/>
        <v>0</v>
      </c>
      <c r="Q157" s="298">
        <f t="shared" si="49"/>
        <v>0</v>
      </c>
      <c r="R157" s="1265"/>
      <c r="S157" s="1266"/>
      <c r="T157" s="299"/>
    </row>
    <row r="158" spans="1:21" s="155" customFormat="1" ht="27.95" customHeight="1">
      <c r="A158" s="18">
        <v>151</v>
      </c>
      <c r="B158" s="122" t="s">
        <v>369</v>
      </c>
      <c r="C158" s="290" t="s">
        <v>539</v>
      </c>
      <c r="D158" s="272">
        <f>SUM(D159:D168)</f>
        <v>47082406644.099991</v>
      </c>
      <c r="E158" s="273">
        <f>SUM(E159:E168)</f>
        <v>3.9318000000137639E-2</v>
      </c>
      <c r="F158" s="274"/>
      <c r="G158" s="482">
        <v>0.94960000000018374</v>
      </c>
      <c r="H158" s="483">
        <v>3.7336372800137914E-2</v>
      </c>
      <c r="I158" s="484">
        <v>44709453349.246002</v>
      </c>
      <c r="J158" s="310"/>
      <c r="K158" s="412">
        <f>SUM(K159:K168)</f>
        <v>3.9318000000137639E-2</v>
      </c>
      <c r="L158" s="419">
        <f>SUM(L159:L169)</f>
        <v>47082406644.099991</v>
      </c>
      <c r="M158" s="1267"/>
      <c r="N158" s="1268"/>
      <c r="O158" s="343">
        <f>Q158/D158</f>
        <v>0</v>
      </c>
      <c r="P158" s="340">
        <f>SUM(P159:P168)</f>
        <v>0</v>
      </c>
      <c r="Q158" s="341">
        <f>SUM(Q159:Q169)</f>
        <v>0</v>
      </c>
      <c r="R158" s="1265"/>
      <c r="S158" s="1266"/>
      <c r="T158" s="265"/>
      <c r="U158" s="330"/>
    </row>
    <row r="159" spans="1:21" s="300" customFormat="1" ht="27.95" customHeight="1">
      <c r="A159" s="18">
        <v>152</v>
      </c>
      <c r="B159" s="291" t="s">
        <v>370</v>
      </c>
      <c r="C159" s="292" t="s">
        <v>740</v>
      </c>
      <c r="D159" s="293">
        <v>1600801825.8900001</v>
      </c>
      <c r="E159" s="294">
        <f t="shared" ref="E159:E168" si="50">D159/$Q$4</f>
        <v>1.3368119999968302E-3</v>
      </c>
      <c r="F159" s="305">
        <v>3</v>
      </c>
      <c r="G159" s="485">
        <v>1</v>
      </c>
      <c r="H159" s="486">
        <v>1.3368119999968302E-3</v>
      </c>
      <c r="I159" s="487">
        <v>1600801825.8900001</v>
      </c>
      <c r="J159" s="430">
        <v>1</v>
      </c>
      <c r="K159" s="413">
        <f t="shared" ref="K159:K188" si="51">J159*E159</f>
        <v>1.3368119999968302E-3</v>
      </c>
      <c r="L159" s="420">
        <f t="shared" ref="L159:L169" si="52">K159*$Q$4</f>
        <v>1600801825.8900001</v>
      </c>
      <c r="M159" s="1267"/>
      <c r="N159" s="1268"/>
      <c r="O159" s="434"/>
      <c r="P159" s="336">
        <f>O159*E159</f>
        <v>0</v>
      </c>
      <c r="Q159" s="298">
        <f>O159*D159</f>
        <v>0</v>
      </c>
      <c r="R159" s="1265"/>
      <c r="S159" s="1266"/>
      <c r="T159" s="299"/>
    </row>
    <row r="160" spans="1:21" s="300" customFormat="1" ht="27.95" customHeight="1">
      <c r="A160" s="18">
        <v>153</v>
      </c>
      <c r="B160" s="291" t="s">
        <v>371</v>
      </c>
      <c r="C160" s="292" t="s">
        <v>537</v>
      </c>
      <c r="D160" s="293">
        <v>8474833196</v>
      </c>
      <c r="E160" s="294">
        <f t="shared" si="50"/>
        <v>7.077240000076551E-3</v>
      </c>
      <c r="F160" s="305">
        <v>8</v>
      </c>
      <c r="G160" s="485">
        <v>1</v>
      </c>
      <c r="H160" s="486">
        <v>7.077240000076551E-3</v>
      </c>
      <c r="I160" s="487">
        <v>8474833196</v>
      </c>
      <c r="J160" s="430">
        <v>1</v>
      </c>
      <c r="K160" s="413">
        <f t="shared" si="51"/>
        <v>7.077240000076551E-3</v>
      </c>
      <c r="L160" s="420">
        <f t="shared" si="52"/>
        <v>8474833196</v>
      </c>
      <c r="M160" s="1267"/>
      <c r="N160" s="1268"/>
      <c r="O160" s="434"/>
      <c r="P160" s="336">
        <f t="shared" ref="P160:P167" si="53">O160*E160</f>
        <v>0</v>
      </c>
      <c r="Q160" s="298">
        <f t="shared" ref="Q160:Q168" si="54">O160*D160</f>
        <v>0</v>
      </c>
      <c r="R160" s="1265"/>
      <c r="S160" s="1266"/>
      <c r="T160" s="299"/>
    </row>
    <row r="161" spans="1:21" s="300" customFormat="1" ht="27.95" customHeight="1">
      <c r="A161" s="18">
        <v>154</v>
      </c>
      <c r="B161" s="291" t="s">
        <v>372</v>
      </c>
      <c r="C161" s="292" t="s">
        <v>741</v>
      </c>
      <c r="D161" s="293">
        <v>16949666392</v>
      </c>
      <c r="E161" s="294">
        <f t="shared" si="50"/>
        <v>1.4154480000153102E-2</v>
      </c>
      <c r="F161" s="305">
        <v>9</v>
      </c>
      <c r="G161" s="485">
        <v>1</v>
      </c>
      <c r="H161" s="486">
        <v>1.4154480000153102E-2</v>
      </c>
      <c r="I161" s="487">
        <v>16949666392</v>
      </c>
      <c r="J161" s="430">
        <v>1</v>
      </c>
      <c r="K161" s="413">
        <f t="shared" si="51"/>
        <v>1.4154480000153102E-2</v>
      </c>
      <c r="L161" s="420">
        <f t="shared" si="52"/>
        <v>16949666392</v>
      </c>
      <c r="M161" s="1267"/>
      <c r="N161" s="1268"/>
      <c r="O161" s="434"/>
      <c r="P161" s="336">
        <f t="shared" si="53"/>
        <v>0</v>
      </c>
      <c r="Q161" s="298">
        <f t="shared" si="54"/>
        <v>0</v>
      </c>
      <c r="R161" s="1265"/>
      <c r="S161" s="1266"/>
      <c r="T161" s="299"/>
    </row>
    <row r="162" spans="1:21" s="300" customFormat="1" ht="27.95" customHeight="1">
      <c r="A162" s="18">
        <v>155</v>
      </c>
      <c r="B162" s="291" t="s">
        <v>373</v>
      </c>
      <c r="C162" s="292" t="s">
        <v>742</v>
      </c>
      <c r="D162" s="293">
        <v>8474833196</v>
      </c>
      <c r="E162" s="294">
        <f t="shared" si="50"/>
        <v>7.077240000076551E-3</v>
      </c>
      <c r="F162" s="394" t="s">
        <v>877</v>
      </c>
      <c r="G162" s="485">
        <v>1</v>
      </c>
      <c r="H162" s="486">
        <v>7.077240000076551E-3</v>
      </c>
      <c r="I162" s="487">
        <v>8474833196</v>
      </c>
      <c r="J162" s="430">
        <v>1</v>
      </c>
      <c r="K162" s="413">
        <f t="shared" si="51"/>
        <v>7.077240000076551E-3</v>
      </c>
      <c r="L162" s="420">
        <f t="shared" si="52"/>
        <v>8474833196</v>
      </c>
      <c r="M162" s="1267"/>
      <c r="N162" s="1268"/>
      <c r="O162" s="434"/>
      <c r="P162" s="336">
        <f t="shared" si="53"/>
        <v>0</v>
      </c>
      <c r="Q162" s="298">
        <f t="shared" si="54"/>
        <v>0</v>
      </c>
      <c r="R162" s="1265"/>
      <c r="S162" s="1266"/>
      <c r="T162" s="299"/>
    </row>
    <row r="163" spans="1:21" s="300" customFormat="1" ht="27.95" customHeight="1">
      <c r="A163" s="18">
        <v>156</v>
      </c>
      <c r="B163" s="291" t="s">
        <v>374</v>
      </c>
      <c r="C163" s="292" t="s">
        <v>743</v>
      </c>
      <c r="D163" s="293">
        <v>470824066.44</v>
      </c>
      <c r="E163" s="294">
        <f t="shared" si="50"/>
        <v>3.9318000000054131E-4</v>
      </c>
      <c r="F163" s="305">
        <v>16</v>
      </c>
      <c r="G163" s="485">
        <v>1</v>
      </c>
      <c r="H163" s="486">
        <v>3.9318000000054131E-4</v>
      </c>
      <c r="I163" s="487">
        <v>470824066.44</v>
      </c>
      <c r="J163" s="430">
        <v>1</v>
      </c>
      <c r="K163" s="413">
        <f t="shared" si="51"/>
        <v>3.9318000000054131E-4</v>
      </c>
      <c r="L163" s="420">
        <f t="shared" si="52"/>
        <v>470824066.44</v>
      </c>
      <c r="M163" s="1267"/>
      <c r="N163" s="1268"/>
      <c r="O163" s="434"/>
      <c r="P163" s="336">
        <f t="shared" si="53"/>
        <v>0</v>
      </c>
      <c r="Q163" s="298">
        <f t="shared" si="54"/>
        <v>0</v>
      </c>
      <c r="R163" s="1265"/>
      <c r="S163" s="1266"/>
      <c r="T163" s="299"/>
    </row>
    <row r="164" spans="1:21" s="300" customFormat="1" ht="41.45" customHeight="1">
      <c r="A164" s="18">
        <v>157</v>
      </c>
      <c r="B164" s="291" t="s">
        <v>375</v>
      </c>
      <c r="C164" s="292" t="s">
        <v>744</v>
      </c>
      <c r="D164" s="293">
        <v>847483319.59000003</v>
      </c>
      <c r="E164" s="294">
        <f t="shared" si="50"/>
        <v>7.0772399999930423E-4</v>
      </c>
      <c r="F164" s="305">
        <v>6</v>
      </c>
      <c r="G164" s="485">
        <v>1</v>
      </c>
      <c r="H164" s="486">
        <v>7.0772399999930423E-4</v>
      </c>
      <c r="I164" s="487">
        <v>847483319.59000003</v>
      </c>
      <c r="J164" s="430">
        <v>1</v>
      </c>
      <c r="K164" s="413">
        <f t="shared" si="51"/>
        <v>7.0772399999930423E-4</v>
      </c>
      <c r="L164" s="420">
        <f t="shared" si="52"/>
        <v>847483319.59000003</v>
      </c>
      <c r="M164" s="1267"/>
      <c r="N164" s="1268"/>
      <c r="O164" s="434"/>
      <c r="P164" s="336">
        <f t="shared" si="53"/>
        <v>0</v>
      </c>
      <c r="Q164" s="298">
        <f t="shared" si="54"/>
        <v>0</v>
      </c>
      <c r="R164" s="1265"/>
      <c r="S164" s="1266"/>
      <c r="T164" s="299"/>
    </row>
    <row r="165" spans="1:21" s="300" customFormat="1" ht="27.95" customHeight="1">
      <c r="A165" s="18">
        <v>158</v>
      </c>
      <c r="B165" s="291" t="s">
        <v>376</v>
      </c>
      <c r="C165" s="292" t="s">
        <v>745</v>
      </c>
      <c r="D165" s="293">
        <v>2636614772.0599999</v>
      </c>
      <c r="E165" s="294">
        <f t="shared" si="50"/>
        <v>2.2018079999996912E-3</v>
      </c>
      <c r="F165" s="305">
        <v>11</v>
      </c>
      <c r="G165" s="485">
        <v>0.1</v>
      </c>
      <c r="H165" s="486">
        <v>2.2018079999996913E-4</v>
      </c>
      <c r="I165" s="487">
        <v>263661477.206</v>
      </c>
      <c r="J165" s="430">
        <v>1</v>
      </c>
      <c r="K165" s="413">
        <f t="shared" si="51"/>
        <v>2.2018079999996912E-3</v>
      </c>
      <c r="L165" s="420">
        <f t="shared" si="52"/>
        <v>2636614772.0599999</v>
      </c>
      <c r="M165" s="1267"/>
      <c r="N165" s="1268"/>
      <c r="O165" s="434"/>
      <c r="P165" s="336">
        <f t="shared" si="53"/>
        <v>0</v>
      </c>
      <c r="Q165" s="298">
        <f t="shared" si="54"/>
        <v>0</v>
      </c>
      <c r="R165" s="1265"/>
      <c r="S165" s="1266"/>
      <c r="T165" s="299"/>
    </row>
    <row r="166" spans="1:21" s="300" customFormat="1" ht="27.95" customHeight="1">
      <c r="A166" s="18">
        <v>159</v>
      </c>
      <c r="B166" s="291" t="s">
        <v>377</v>
      </c>
      <c r="C166" s="292" t="s">
        <v>746</v>
      </c>
      <c r="D166" s="293">
        <v>3954922158.0900002</v>
      </c>
      <c r="E166" s="294">
        <f t="shared" si="50"/>
        <v>3.302711999999537E-3</v>
      </c>
      <c r="F166" s="305">
        <v>3</v>
      </c>
      <c r="G166" s="485">
        <v>1</v>
      </c>
      <c r="H166" s="486">
        <v>3.302711999999537E-3</v>
      </c>
      <c r="I166" s="487">
        <v>3954922158.0900002</v>
      </c>
      <c r="J166" s="430">
        <v>1</v>
      </c>
      <c r="K166" s="413">
        <f t="shared" si="51"/>
        <v>3.302711999999537E-3</v>
      </c>
      <c r="L166" s="420">
        <f t="shared" si="52"/>
        <v>3954922158.0900002</v>
      </c>
      <c r="M166" s="1267"/>
      <c r="N166" s="1268"/>
      <c r="O166" s="434"/>
      <c r="P166" s="336">
        <f t="shared" si="53"/>
        <v>0</v>
      </c>
      <c r="Q166" s="298">
        <f t="shared" si="54"/>
        <v>0</v>
      </c>
      <c r="R166" s="1265"/>
      <c r="S166" s="1266"/>
      <c r="T166" s="299"/>
    </row>
    <row r="167" spans="1:21" s="300" customFormat="1" ht="27.95" customHeight="1">
      <c r="A167" s="18">
        <v>160</v>
      </c>
      <c r="B167" s="291" t="s">
        <v>675</v>
      </c>
      <c r="C167" s="292" t="s">
        <v>747</v>
      </c>
      <c r="D167" s="293">
        <v>1318307386.03</v>
      </c>
      <c r="E167" s="294">
        <f t="shared" si="50"/>
        <v>1.1009039999998456E-3</v>
      </c>
      <c r="F167" s="305">
        <v>20</v>
      </c>
      <c r="G167" s="485">
        <v>1</v>
      </c>
      <c r="H167" s="486">
        <v>1.1009039999998456E-3</v>
      </c>
      <c r="I167" s="487">
        <v>1318307386.03</v>
      </c>
      <c r="J167" s="430">
        <v>1</v>
      </c>
      <c r="K167" s="413">
        <f t="shared" si="51"/>
        <v>1.1009039999998456E-3</v>
      </c>
      <c r="L167" s="420">
        <f t="shared" si="52"/>
        <v>1318307386.03</v>
      </c>
      <c r="M167" s="1267"/>
      <c r="N167" s="1268"/>
      <c r="O167" s="434"/>
      <c r="P167" s="336">
        <f t="shared" si="53"/>
        <v>0</v>
      </c>
      <c r="Q167" s="298">
        <f t="shared" si="54"/>
        <v>0</v>
      </c>
      <c r="R167" s="1265"/>
      <c r="S167" s="1266"/>
      <c r="T167" s="299"/>
    </row>
    <row r="168" spans="1:21" s="308" customFormat="1" ht="27.95" customHeight="1">
      <c r="A168" s="18">
        <v>161</v>
      </c>
      <c r="B168" s="291" t="s">
        <v>676</v>
      </c>
      <c r="C168" s="292" t="s">
        <v>536</v>
      </c>
      <c r="D168" s="303">
        <v>2354120332</v>
      </c>
      <c r="E168" s="294">
        <f t="shared" si="50"/>
        <v>1.9658999998356888E-3</v>
      </c>
      <c r="F168" s="305">
        <v>3</v>
      </c>
      <c r="G168" s="485">
        <v>1</v>
      </c>
      <c r="H168" s="486">
        <v>1.9658999998356888E-3</v>
      </c>
      <c r="I168" s="487">
        <v>2354120332</v>
      </c>
      <c r="J168" s="430">
        <v>1</v>
      </c>
      <c r="K168" s="413">
        <f t="shared" si="51"/>
        <v>1.9658999998356888E-3</v>
      </c>
      <c r="L168" s="420">
        <f t="shared" si="52"/>
        <v>2354120332</v>
      </c>
      <c r="M168" s="1267"/>
      <c r="N168" s="1268"/>
      <c r="O168" s="434"/>
      <c r="P168" s="336">
        <f>O168*E168</f>
        <v>0</v>
      </c>
      <c r="Q168" s="298">
        <f t="shared" si="54"/>
        <v>0</v>
      </c>
      <c r="R168" s="1265"/>
      <c r="S168" s="1266"/>
      <c r="T168" s="306"/>
      <c r="U168" s="307"/>
    </row>
    <row r="169" spans="1:21" s="308" customFormat="1" ht="27.95" customHeight="1">
      <c r="A169" s="18">
        <v>162</v>
      </c>
      <c r="B169" s="291" t="s">
        <v>677</v>
      </c>
      <c r="C169" s="292" t="s">
        <v>559</v>
      </c>
      <c r="D169" s="303" t="s">
        <v>730</v>
      </c>
      <c r="E169" s="304" t="s">
        <v>730</v>
      </c>
      <c r="F169" s="305"/>
      <c r="G169" s="485">
        <v>0</v>
      </c>
      <c r="H169" s="496">
        <v>0</v>
      </c>
      <c r="I169" s="487">
        <v>0</v>
      </c>
      <c r="J169" s="430"/>
      <c r="K169" s="416"/>
      <c r="L169" s="420">
        <f t="shared" si="52"/>
        <v>0</v>
      </c>
      <c r="M169" s="1267"/>
      <c r="N169" s="1268"/>
      <c r="O169" s="434"/>
      <c r="P169" s="336"/>
      <c r="Q169" s="298"/>
      <c r="R169" s="1265"/>
      <c r="S169" s="1266"/>
      <c r="T169" s="306"/>
      <c r="U169" s="307"/>
    </row>
    <row r="170" spans="1:21" s="155" customFormat="1" ht="27.95" customHeight="1">
      <c r="A170" s="18">
        <v>163</v>
      </c>
      <c r="B170" s="122" t="s">
        <v>378</v>
      </c>
      <c r="C170" s="451" t="s">
        <v>540</v>
      </c>
      <c r="D170" s="272">
        <f>SUM(D171:D188)</f>
        <v>51790647308.328705</v>
      </c>
      <c r="E170" s="273">
        <f>SUM(E171:E188)</f>
        <v>4.3249800000000005E-2</v>
      </c>
      <c r="F170" s="274"/>
      <c r="G170" s="482">
        <v>1.9800000000000002E-2</v>
      </c>
      <c r="H170" s="483">
        <v>8.5634604000000029E-4</v>
      </c>
      <c r="I170" s="484">
        <v>1025454816.7049084</v>
      </c>
      <c r="J170" s="310"/>
      <c r="K170" s="412">
        <f>SUM(K171:K188)</f>
        <v>4.1026544031000011E-3</v>
      </c>
      <c r="L170" s="419">
        <f>SUM(L171:L188)</f>
        <v>4912834908.3444071</v>
      </c>
      <c r="M170" s="1267"/>
      <c r="N170" s="1268"/>
      <c r="O170" s="343">
        <f>Q170/D170</f>
        <v>0</v>
      </c>
      <c r="P170" s="340">
        <f>SUM(P171:P188)</f>
        <v>0</v>
      </c>
      <c r="Q170" s="341">
        <f>SUM(Q171:Q188)</f>
        <v>0</v>
      </c>
      <c r="R170" s="1265"/>
      <c r="S170" s="1266"/>
      <c r="T170" s="265"/>
    </row>
    <row r="171" spans="1:21" s="300" customFormat="1" ht="27.95" customHeight="1">
      <c r="A171" s="18">
        <v>164</v>
      </c>
      <c r="B171" s="291" t="s">
        <v>379</v>
      </c>
      <c r="C171" s="292" t="s">
        <v>542</v>
      </c>
      <c r="D171" s="293">
        <v>517906473.083287</v>
      </c>
      <c r="E171" s="294">
        <f t="shared" ref="E171:E188" si="55">D171/$Q$4</f>
        <v>4.3249800000000007E-4</v>
      </c>
      <c r="F171" s="295">
        <v>21</v>
      </c>
      <c r="G171" s="485">
        <v>0</v>
      </c>
      <c r="H171" s="486">
        <v>0</v>
      </c>
      <c r="I171" s="487">
        <v>0</v>
      </c>
      <c r="J171" s="430">
        <v>1</v>
      </c>
      <c r="K171" s="413">
        <f t="shared" si="51"/>
        <v>4.3249800000000007E-4</v>
      </c>
      <c r="L171" s="420">
        <f t="shared" ref="L171:L188" si="56">K171*$Q$4</f>
        <v>517906473.083287</v>
      </c>
      <c r="M171" s="1267"/>
      <c r="N171" s="1268"/>
      <c r="O171" s="433"/>
      <c r="P171" s="336">
        <f t="shared" ref="P171:P188" si="57">O171*E171</f>
        <v>0</v>
      </c>
      <c r="Q171" s="298">
        <f>O171*D171</f>
        <v>0</v>
      </c>
      <c r="R171" s="1265"/>
      <c r="S171" s="1266"/>
      <c r="T171" s="299"/>
    </row>
    <row r="172" spans="1:21" s="300" customFormat="1" ht="27.95" customHeight="1">
      <c r="A172" s="18">
        <v>165</v>
      </c>
      <c r="B172" s="291" t="s">
        <v>380</v>
      </c>
      <c r="C172" s="292" t="s">
        <v>543</v>
      </c>
      <c r="D172" s="293">
        <v>5127274083.5245419</v>
      </c>
      <c r="E172" s="294">
        <f t="shared" si="55"/>
        <v>4.281730200000001E-3</v>
      </c>
      <c r="F172" s="295">
        <v>14</v>
      </c>
      <c r="G172" s="490">
        <v>0.2</v>
      </c>
      <c r="H172" s="486">
        <v>8.5634604000000029E-4</v>
      </c>
      <c r="I172" s="487">
        <v>1025454816.7049084</v>
      </c>
      <c r="J172" s="459">
        <v>0.61050000000000004</v>
      </c>
      <c r="K172" s="413">
        <f t="shared" si="51"/>
        <v>2.6139962871000008E-3</v>
      </c>
      <c r="L172" s="420">
        <f t="shared" si="56"/>
        <v>3130200827.9917331</v>
      </c>
      <c r="M172" s="1267"/>
      <c r="N172" s="1268"/>
      <c r="O172" s="433"/>
      <c r="P172" s="336">
        <f t="shared" si="57"/>
        <v>0</v>
      </c>
      <c r="Q172" s="298">
        <f t="shared" ref="Q172:Q188" si="58">O172*D172</f>
        <v>0</v>
      </c>
      <c r="R172" s="1265"/>
      <c r="S172" s="1266"/>
      <c r="T172" s="299"/>
    </row>
    <row r="173" spans="1:21" s="300" customFormat="1" ht="27.95" customHeight="1">
      <c r="A173" s="18">
        <v>166</v>
      </c>
      <c r="B173" s="291" t="s">
        <v>381</v>
      </c>
      <c r="C173" s="292" t="s">
        <v>544</v>
      </c>
      <c r="D173" s="293">
        <v>5179064730.8328705</v>
      </c>
      <c r="E173" s="294">
        <f t="shared" si="55"/>
        <v>4.3249800000000008E-3</v>
      </c>
      <c r="F173" s="295">
        <v>14</v>
      </c>
      <c r="G173" s="485">
        <v>0</v>
      </c>
      <c r="H173" s="486">
        <v>0</v>
      </c>
      <c r="I173" s="487">
        <v>0</v>
      </c>
      <c r="J173" s="430">
        <v>0</v>
      </c>
      <c r="K173" s="413">
        <f t="shared" si="51"/>
        <v>0</v>
      </c>
      <c r="L173" s="420">
        <f t="shared" si="56"/>
        <v>0</v>
      </c>
      <c r="M173" s="1267"/>
      <c r="N173" s="1268"/>
      <c r="O173" s="433"/>
      <c r="P173" s="336">
        <f t="shared" si="57"/>
        <v>0</v>
      </c>
      <c r="Q173" s="298">
        <f t="shared" si="58"/>
        <v>0</v>
      </c>
      <c r="R173" s="1265"/>
      <c r="S173" s="1266"/>
      <c r="T173" s="299"/>
    </row>
    <row r="174" spans="1:21" s="300" customFormat="1" ht="27.95" customHeight="1">
      <c r="A174" s="18">
        <v>167</v>
      </c>
      <c r="B174" s="291" t="s">
        <v>382</v>
      </c>
      <c r="C174" s="292" t="s">
        <v>545</v>
      </c>
      <c r="D174" s="293">
        <v>5179064730.8328705</v>
      </c>
      <c r="E174" s="294">
        <f t="shared" si="55"/>
        <v>4.3249800000000008E-3</v>
      </c>
      <c r="F174" s="295">
        <v>14</v>
      </c>
      <c r="G174" s="485">
        <v>0</v>
      </c>
      <c r="H174" s="486">
        <v>0</v>
      </c>
      <c r="I174" s="487">
        <v>0</v>
      </c>
      <c r="J174" s="430">
        <v>0</v>
      </c>
      <c r="K174" s="413">
        <f t="shared" si="51"/>
        <v>0</v>
      </c>
      <c r="L174" s="420">
        <f t="shared" si="56"/>
        <v>0</v>
      </c>
      <c r="M174" s="1267"/>
      <c r="N174" s="1268"/>
      <c r="O174" s="433"/>
      <c r="P174" s="336">
        <f t="shared" si="57"/>
        <v>0</v>
      </c>
      <c r="Q174" s="298">
        <f t="shared" si="58"/>
        <v>0</v>
      </c>
      <c r="R174" s="1265"/>
      <c r="S174" s="1266"/>
      <c r="T174" s="299"/>
    </row>
    <row r="175" spans="1:21" s="300" customFormat="1" ht="27.95" customHeight="1">
      <c r="A175" s="18">
        <v>168</v>
      </c>
      <c r="B175" s="291" t="s">
        <v>383</v>
      </c>
      <c r="C175" s="292" t="s">
        <v>546</v>
      </c>
      <c r="D175" s="293">
        <v>4143251784.666296</v>
      </c>
      <c r="E175" s="294">
        <f t="shared" si="55"/>
        <v>3.4599840000000006E-3</v>
      </c>
      <c r="F175" s="295">
        <v>14</v>
      </c>
      <c r="G175" s="485">
        <v>0</v>
      </c>
      <c r="H175" s="486">
        <v>0</v>
      </c>
      <c r="I175" s="487">
        <v>0</v>
      </c>
      <c r="J175" s="430">
        <v>0</v>
      </c>
      <c r="K175" s="413">
        <f t="shared" si="51"/>
        <v>0</v>
      </c>
      <c r="L175" s="420">
        <f t="shared" si="56"/>
        <v>0</v>
      </c>
      <c r="M175" s="1267"/>
      <c r="N175" s="1268"/>
      <c r="O175" s="433"/>
      <c r="P175" s="336">
        <f t="shared" si="57"/>
        <v>0</v>
      </c>
      <c r="Q175" s="298">
        <f t="shared" si="58"/>
        <v>0</v>
      </c>
      <c r="R175" s="1265"/>
      <c r="S175" s="1266"/>
      <c r="T175" s="299"/>
    </row>
    <row r="176" spans="1:21" s="300" customFormat="1" ht="27.95" customHeight="1">
      <c r="A176" s="18">
        <v>169</v>
      </c>
      <c r="B176" s="291" t="s">
        <v>384</v>
      </c>
      <c r="C176" s="292" t="s">
        <v>547</v>
      </c>
      <c r="D176" s="293">
        <v>2589532365.4164352</v>
      </c>
      <c r="E176" s="294">
        <f t="shared" si="55"/>
        <v>2.1624900000000004E-3</v>
      </c>
      <c r="F176" s="295">
        <v>14</v>
      </c>
      <c r="G176" s="485">
        <v>0</v>
      </c>
      <c r="H176" s="486">
        <v>0</v>
      </c>
      <c r="I176" s="487">
        <v>0</v>
      </c>
      <c r="J176" s="430">
        <v>0</v>
      </c>
      <c r="K176" s="413">
        <f t="shared" si="51"/>
        <v>0</v>
      </c>
      <c r="L176" s="420">
        <f t="shared" si="56"/>
        <v>0</v>
      </c>
      <c r="M176" s="1267"/>
      <c r="N176" s="1268"/>
      <c r="O176" s="433"/>
      <c r="P176" s="336">
        <f t="shared" si="57"/>
        <v>0</v>
      </c>
      <c r="Q176" s="298">
        <f t="shared" si="58"/>
        <v>0</v>
      </c>
      <c r="R176" s="1265"/>
      <c r="S176" s="1266"/>
      <c r="T176" s="299"/>
    </row>
    <row r="177" spans="1:21" s="300" customFormat="1" ht="27.95" customHeight="1">
      <c r="A177" s="18">
        <v>170</v>
      </c>
      <c r="B177" s="291" t="s">
        <v>385</v>
      </c>
      <c r="C177" s="292" t="s">
        <v>548</v>
      </c>
      <c r="D177" s="293">
        <v>2071625892.333148</v>
      </c>
      <c r="E177" s="294">
        <f t="shared" si="55"/>
        <v>1.7299920000000003E-3</v>
      </c>
      <c r="F177" s="295">
        <v>23</v>
      </c>
      <c r="G177" s="490">
        <v>0</v>
      </c>
      <c r="H177" s="486">
        <v>0</v>
      </c>
      <c r="I177" s="487">
        <v>0</v>
      </c>
      <c r="J177" s="459">
        <v>0.61050000000000004</v>
      </c>
      <c r="K177" s="413">
        <f t="shared" si="51"/>
        <v>1.0561601160000002E-3</v>
      </c>
      <c r="L177" s="420">
        <f t="shared" si="56"/>
        <v>1264727607.269387</v>
      </c>
      <c r="M177" s="1267"/>
      <c r="N177" s="1268"/>
      <c r="O177" s="433"/>
      <c r="P177" s="336">
        <f t="shared" si="57"/>
        <v>0</v>
      </c>
      <c r="Q177" s="298">
        <f t="shared" si="58"/>
        <v>0</v>
      </c>
      <c r="R177" s="1265"/>
      <c r="S177" s="1266"/>
      <c r="T177" s="299"/>
    </row>
    <row r="178" spans="1:21" s="445" customFormat="1" ht="27.95" customHeight="1">
      <c r="A178" s="18">
        <v>171</v>
      </c>
      <c r="B178" s="291" t="s">
        <v>386</v>
      </c>
      <c r="C178" s="292" t="s">
        <v>549</v>
      </c>
      <c r="D178" s="293">
        <v>1294766182.7082176</v>
      </c>
      <c r="E178" s="294">
        <f t="shared" si="55"/>
        <v>1.0812450000000002E-3</v>
      </c>
      <c r="F178" s="295">
        <v>23</v>
      </c>
      <c r="G178" s="485">
        <v>0</v>
      </c>
      <c r="H178" s="486">
        <v>0</v>
      </c>
      <c r="I178" s="487">
        <v>0</v>
      </c>
      <c r="J178" s="430">
        <v>0</v>
      </c>
      <c r="K178" s="413">
        <f t="shared" si="51"/>
        <v>0</v>
      </c>
      <c r="L178" s="420">
        <f t="shared" si="56"/>
        <v>0</v>
      </c>
      <c r="M178" s="1267"/>
      <c r="N178" s="1268"/>
      <c r="O178" s="433"/>
      <c r="P178" s="336">
        <f t="shared" si="57"/>
        <v>0</v>
      </c>
      <c r="Q178" s="298">
        <f t="shared" si="58"/>
        <v>0</v>
      </c>
      <c r="R178" s="1265"/>
      <c r="S178" s="1266"/>
      <c r="T178" s="299"/>
      <c r="U178" s="447"/>
    </row>
    <row r="179" spans="1:21" s="300" customFormat="1" ht="27.95" customHeight="1">
      <c r="A179" s="18">
        <v>172</v>
      </c>
      <c r="B179" s="291" t="s">
        <v>387</v>
      </c>
      <c r="C179" s="292" t="s">
        <v>550</v>
      </c>
      <c r="D179" s="293">
        <v>2589532365.4164352</v>
      </c>
      <c r="E179" s="294">
        <f t="shared" si="55"/>
        <v>2.1624900000000004E-3</v>
      </c>
      <c r="F179" s="295">
        <v>23</v>
      </c>
      <c r="G179" s="485">
        <v>0</v>
      </c>
      <c r="H179" s="486">
        <v>0</v>
      </c>
      <c r="I179" s="487">
        <v>0</v>
      </c>
      <c r="J179" s="430">
        <v>0</v>
      </c>
      <c r="K179" s="413">
        <f t="shared" si="51"/>
        <v>0</v>
      </c>
      <c r="L179" s="420">
        <f t="shared" si="56"/>
        <v>0</v>
      </c>
      <c r="M179" s="1267"/>
      <c r="N179" s="1268"/>
      <c r="O179" s="433"/>
      <c r="P179" s="336">
        <f t="shared" si="57"/>
        <v>0</v>
      </c>
      <c r="Q179" s="298">
        <f t="shared" si="58"/>
        <v>0</v>
      </c>
      <c r="R179" s="1265"/>
      <c r="S179" s="1266"/>
      <c r="T179" s="299"/>
    </row>
    <row r="180" spans="1:21" s="300" customFormat="1" ht="27.95" customHeight="1">
      <c r="A180" s="18">
        <v>173</v>
      </c>
      <c r="B180" s="291" t="s">
        <v>388</v>
      </c>
      <c r="C180" s="292" t="s">
        <v>551</v>
      </c>
      <c r="D180" s="293">
        <v>1294766182.7082176</v>
      </c>
      <c r="E180" s="294">
        <f t="shared" si="55"/>
        <v>1.0812450000000002E-3</v>
      </c>
      <c r="F180" s="295">
        <v>23</v>
      </c>
      <c r="G180" s="485">
        <v>0</v>
      </c>
      <c r="H180" s="486">
        <v>0</v>
      </c>
      <c r="I180" s="487">
        <v>0</v>
      </c>
      <c r="J180" s="430">
        <v>0</v>
      </c>
      <c r="K180" s="413">
        <f t="shared" si="51"/>
        <v>0</v>
      </c>
      <c r="L180" s="420">
        <f t="shared" si="56"/>
        <v>0</v>
      </c>
      <c r="M180" s="1267"/>
      <c r="N180" s="1268"/>
      <c r="O180" s="433"/>
      <c r="P180" s="336">
        <f t="shared" si="57"/>
        <v>0</v>
      </c>
      <c r="Q180" s="298">
        <f t="shared" si="58"/>
        <v>0</v>
      </c>
      <c r="R180" s="1265"/>
      <c r="S180" s="1266"/>
      <c r="T180" s="299"/>
    </row>
    <row r="181" spans="1:21" s="445" customFormat="1" ht="27.95" customHeight="1">
      <c r="A181" s="18">
        <v>174</v>
      </c>
      <c r="B181" s="291" t="s">
        <v>389</v>
      </c>
      <c r="C181" s="292" t="s">
        <v>552</v>
      </c>
      <c r="D181" s="293">
        <v>1294766182.7082176</v>
      </c>
      <c r="E181" s="294">
        <f t="shared" si="55"/>
        <v>1.0812450000000002E-3</v>
      </c>
      <c r="F181" s="295">
        <v>23</v>
      </c>
      <c r="G181" s="485">
        <v>0</v>
      </c>
      <c r="H181" s="486">
        <v>0</v>
      </c>
      <c r="I181" s="487">
        <v>0</v>
      </c>
      <c r="J181" s="430">
        <v>0</v>
      </c>
      <c r="K181" s="413">
        <f t="shared" si="51"/>
        <v>0</v>
      </c>
      <c r="L181" s="420">
        <f t="shared" si="56"/>
        <v>0</v>
      </c>
      <c r="M181" s="1267"/>
      <c r="N181" s="1268"/>
      <c r="O181" s="433"/>
      <c r="P181" s="336">
        <f t="shared" si="57"/>
        <v>0</v>
      </c>
      <c r="Q181" s="298">
        <f t="shared" si="58"/>
        <v>0</v>
      </c>
      <c r="R181" s="1265"/>
      <c r="S181" s="1266"/>
      <c r="T181" s="299"/>
      <c r="U181" s="447"/>
    </row>
    <row r="182" spans="1:21" s="445" customFormat="1" ht="27.95" customHeight="1">
      <c r="A182" s="18">
        <v>175</v>
      </c>
      <c r="B182" s="291" t="s">
        <v>390</v>
      </c>
      <c r="C182" s="292" t="s">
        <v>553</v>
      </c>
      <c r="D182" s="293">
        <v>7768597096.2493048</v>
      </c>
      <c r="E182" s="294">
        <f t="shared" si="55"/>
        <v>6.4874700000000004E-3</v>
      </c>
      <c r="F182" s="295">
        <v>23</v>
      </c>
      <c r="G182" s="485">
        <v>0</v>
      </c>
      <c r="H182" s="486">
        <v>0</v>
      </c>
      <c r="I182" s="487">
        <v>0</v>
      </c>
      <c r="J182" s="430">
        <v>0</v>
      </c>
      <c r="K182" s="413">
        <f t="shared" si="51"/>
        <v>0</v>
      </c>
      <c r="L182" s="420">
        <f t="shared" si="56"/>
        <v>0</v>
      </c>
      <c r="M182" s="1267"/>
      <c r="N182" s="1268"/>
      <c r="O182" s="433"/>
      <c r="P182" s="336">
        <f t="shared" si="57"/>
        <v>0</v>
      </c>
      <c r="Q182" s="298">
        <f t="shared" si="58"/>
        <v>0</v>
      </c>
      <c r="R182" s="1265"/>
      <c r="S182" s="1266"/>
      <c r="T182" s="299"/>
      <c r="U182" s="447"/>
    </row>
    <row r="183" spans="1:21" s="300" customFormat="1" ht="27.95" customHeight="1">
      <c r="A183" s="18">
        <v>176</v>
      </c>
      <c r="B183" s="291" t="s">
        <v>391</v>
      </c>
      <c r="C183" s="292" t="s">
        <v>554</v>
      </c>
      <c r="D183" s="293">
        <v>3107438838.499722</v>
      </c>
      <c r="E183" s="294">
        <f t="shared" si="55"/>
        <v>2.5949880000000003E-3</v>
      </c>
      <c r="F183" s="295">
        <v>23</v>
      </c>
      <c r="G183" s="485">
        <v>0</v>
      </c>
      <c r="H183" s="486">
        <v>0</v>
      </c>
      <c r="I183" s="487">
        <v>0</v>
      </c>
      <c r="J183" s="430">
        <v>0</v>
      </c>
      <c r="K183" s="413">
        <f t="shared" si="51"/>
        <v>0</v>
      </c>
      <c r="L183" s="420">
        <f t="shared" si="56"/>
        <v>0</v>
      </c>
      <c r="M183" s="1267"/>
      <c r="N183" s="1268"/>
      <c r="O183" s="433"/>
      <c r="P183" s="336">
        <f t="shared" si="57"/>
        <v>0</v>
      </c>
      <c r="Q183" s="298">
        <f t="shared" si="58"/>
        <v>0</v>
      </c>
      <c r="R183" s="1265"/>
      <c r="S183" s="1266"/>
      <c r="T183" s="299"/>
    </row>
    <row r="184" spans="1:21" s="300" customFormat="1" ht="27.95" customHeight="1">
      <c r="A184" s="18">
        <v>177</v>
      </c>
      <c r="B184" s="291" t="s">
        <v>392</v>
      </c>
      <c r="C184" s="292" t="s">
        <v>555</v>
      </c>
      <c r="D184" s="293">
        <v>3107438838.499722</v>
      </c>
      <c r="E184" s="294">
        <f t="shared" si="55"/>
        <v>2.5949880000000003E-3</v>
      </c>
      <c r="F184" s="295">
        <v>23</v>
      </c>
      <c r="G184" s="485">
        <v>0</v>
      </c>
      <c r="H184" s="486">
        <v>0</v>
      </c>
      <c r="I184" s="487">
        <v>0</v>
      </c>
      <c r="J184" s="430">
        <v>0</v>
      </c>
      <c r="K184" s="413">
        <f t="shared" si="51"/>
        <v>0</v>
      </c>
      <c r="L184" s="420">
        <f t="shared" si="56"/>
        <v>0</v>
      </c>
      <c r="M184" s="1267"/>
      <c r="N184" s="1268"/>
      <c r="O184" s="433"/>
      <c r="P184" s="336">
        <f t="shared" si="57"/>
        <v>0</v>
      </c>
      <c r="Q184" s="298">
        <f t="shared" si="58"/>
        <v>0</v>
      </c>
      <c r="R184" s="1265"/>
      <c r="S184" s="1266"/>
      <c r="T184" s="299"/>
    </row>
    <row r="185" spans="1:21" s="300" customFormat="1" ht="27.95" customHeight="1">
      <c r="A185" s="18">
        <v>178</v>
      </c>
      <c r="B185" s="291" t="s">
        <v>393</v>
      </c>
      <c r="C185" s="292" t="s">
        <v>556</v>
      </c>
      <c r="D185" s="293">
        <v>2071625892.333148</v>
      </c>
      <c r="E185" s="294">
        <f t="shared" si="55"/>
        <v>1.7299920000000003E-3</v>
      </c>
      <c r="F185" s="295">
        <v>23</v>
      </c>
      <c r="G185" s="485">
        <v>0</v>
      </c>
      <c r="H185" s="486">
        <v>0</v>
      </c>
      <c r="I185" s="487">
        <v>0</v>
      </c>
      <c r="J185" s="430">
        <v>0</v>
      </c>
      <c r="K185" s="413">
        <f t="shared" si="51"/>
        <v>0</v>
      </c>
      <c r="L185" s="420">
        <f t="shared" si="56"/>
        <v>0</v>
      </c>
      <c r="M185" s="1267"/>
      <c r="N185" s="1268"/>
      <c r="O185" s="433"/>
      <c r="P185" s="336">
        <f t="shared" si="57"/>
        <v>0</v>
      </c>
      <c r="Q185" s="298">
        <f t="shared" si="58"/>
        <v>0</v>
      </c>
      <c r="R185" s="1265"/>
      <c r="S185" s="1266"/>
      <c r="T185" s="299"/>
    </row>
    <row r="186" spans="1:21" s="300" customFormat="1" ht="27.95" customHeight="1">
      <c r="A186" s="18">
        <v>179</v>
      </c>
      <c r="B186" s="291" t="s">
        <v>394</v>
      </c>
      <c r="C186" s="292" t="s">
        <v>557</v>
      </c>
      <c r="D186" s="293">
        <v>2071625892.333148</v>
      </c>
      <c r="E186" s="294">
        <f t="shared" si="55"/>
        <v>1.7299920000000003E-3</v>
      </c>
      <c r="F186" s="295">
        <v>23</v>
      </c>
      <c r="G186" s="485">
        <v>0</v>
      </c>
      <c r="H186" s="486">
        <v>0</v>
      </c>
      <c r="I186" s="487">
        <v>0</v>
      </c>
      <c r="J186" s="430">
        <v>0</v>
      </c>
      <c r="K186" s="413">
        <f t="shared" si="51"/>
        <v>0</v>
      </c>
      <c r="L186" s="420">
        <f t="shared" si="56"/>
        <v>0</v>
      </c>
      <c r="M186" s="1267"/>
      <c r="N186" s="1268"/>
      <c r="O186" s="433"/>
      <c r="P186" s="336">
        <f t="shared" si="57"/>
        <v>0</v>
      </c>
      <c r="Q186" s="298">
        <f t="shared" si="58"/>
        <v>0</v>
      </c>
      <c r="R186" s="1265"/>
      <c r="S186" s="1266"/>
      <c r="T186" s="299"/>
    </row>
    <row r="187" spans="1:21" s="300" customFormat="1" ht="27.95" customHeight="1">
      <c r="A187" s="18">
        <v>180</v>
      </c>
      <c r="B187" s="291" t="s">
        <v>395</v>
      </c>
      <c r="C187" s="292" t="s">
        <v>558</v>
      </c>
      <c r="D187" s="293">
        <v>1294766182.7082176</v>
      </c>
      <c r="E187" s="294">
        <f t="shared" si="55"/>
        <v>1.0812450000000002E-3</v>
      </c>
      <c r="F187" s="295">
        <v>23</v>
      </c>
      <c r="G187" s="485">
        <v>0</v>
      </c>
      <c r="H187" s="486">
        <v>0</v>
      </c>
      <c r="I187" s="487">
        <v>0</v>
      </c>
      <c r="J187" s="430">
        <v>0</v>
      </c>
      <c r="K187" s="413">
        <f t="shared" si="51"/>
        <v>0</v>
      </c>
      <c r="L187" s="420">
        <f t="shared" si="56"/>
        <v>0</v>
      </c>
      <c r="M187" s="1267"/>
      <c r="N187" s="1268"/>
      <c r="O187" s="433"/>
      <c r="P187" s="336">
        <f t="shared" si="57"/>
        <v>0</v>
      </c>
      <c r="Q187" s="298">
        <f t="shared" si="58"/>
        <v>0</v>
      </c>
      <c r="R187" s="1265"/>
      <c r="S187" s="1266"/>
      <c r="T187" s="299"/>
    </row>
    <row r="188" spans="1:21" s="300" customFormat="1" ht="27.95" customHeight="1">
      <c r="A188" s="18">
        <v>181</v>
      </c>
      <c r="B188" s="291" t="s">
        <v>396</v>
      </c>
      <c r="C188" s="292" t="s">
        <v>560</v>
      </c>
      <c r="D188" s="293">
        <v>1087603593.4749029</v>
      </c>
      <c r="E188" s="294">
        <f t="shared" si="55"/>
        <v>9.0824580000000029E-4</v>
      </c>
      <c r="F188" s="295">
        <v>23</v>
      </c>
      <c r="G188" s="485">
        <v>0</v>
      </c>
      <c r="H188" s="486">
        <v>0</v>
      </c>
      <c r="I188" s="487">
        <v>0</v>
      </c>
      <c r="J188" s="430">
        <v>0</v>
      </c>
      <c r="K188" s="413">
        <f t="shared" si="51"/>
        <v>0</v>
      </c>
      <c r="L188" s="420">
        <f t="shared" si="56"/>
        <v>0</v>
      </c>
      <c r="M188" s="1267"/>
      <c r="N188" s="1268"/>
      <c r="O188" s="433"/>
      <c r="P188" s="336">
        <f t="shared" si="57"/>
        <v>0</v>
      </c>
      <c r="Q188" s="298">
        <f t="shared" si="58"/>
        <v>0</v>
      </c>
      <c r="R188" s="1265"/>
      <c r="S188" s="1266"/>
      <c r="T188" s="299"/>
    </row>
    <row r="189" spans="1:21" s="141" customFormat="1" ht="35.1" customHeight="1">
      <c r="A189" s="18">
        <v>182</v>
      </c>
      <c r="B189" s="145" t="s">
        <v>397</v>
      </c>
      <c r="C189" s="289" t="s">
        <v>453</v>
      </c>
      <c r="D189" s="269">
        <f>D190+D200</f>
        <v>27723296475.520977</v>
      </c>
      <c r="E189" s="270">
        <f>E190+E200</f>
        <v>2.3151419999999999E-2</v>
      </c>
      <c r="F189" s="271"/>
      <c r="G189" s="479">
        <v>0.57223000000000002</v>
      </c>
      <c r="H189" s="491">
        <v>1.3247937066600003E-2</v>
      </c>
      <c r="I189" s="487">
        <v>15864101942.187368</v>
      </c>
      <c r="J189" s="309"/>
      <c r="K189" s="414">
        <f>K190+K200</f>
        <v>1.4374608378470139E-2</v>
      </c>
      <c r="L189" s="420">
        <f>L190+L200</f>
        <v>17213265095.438442</v>
      </c>
      <c r="M189" s="1267"/>
      <c r="N189" s="1268"/>
      <c r="O189" s="343">
        <f>Q189/D189</f>
        <v>0</v>
      </c>
      <c r="P189" s="336">
        <f>P190+P200</f>
        <v>0</v>
      </c>
      <c r="Q189" s="298">
        <f>Q190+Q200</f>
        <v>0</v>
      </c>
      <c r="R189" s="1265"/>
      <c r="S189" s="1266"/>
      <c r="T189" s="260"/>
    </row>
    <row r="190" spans="1:21" s="155" customFormat="1" ht="27" customHeight="1">
      <c r="A190" s="18">
        <v>183</v>
      </c>
      <c r="B190" s="122" t="s">
        <v>398</v>
      </c>
      <c r="C190" s="290" t="s">
        <v>526</v>
      </c>
      <c r="D190" s="272">
        <f>SUM(D191:D199)</f>
        <v>15247813061.536537</v>
      </c>
      <c r="E190" s="273">
        <f>SUM(E191:E199)</f>
        <v>1.2733281000000003E-2</v>
      </c>
      <c r="F190" s="274"/>
      <c r="G190" s="482">
        <v>1</v>
      </c>
      <c r="H190" s="491">
        <v>1.2733281000000003E-2</v>
      </c>
      <c r="I190" s="487">
        <v>15247813061.536537</v>
      </c>
      <c r="J190" s="310"/>
      <c r="K190" s="414">
        <f>SUM(K191:K199)</f>
        <v>1.2733281000000003E-2</v>
      </c>
      <c r="L190" s="420">
        <f>SUM(L191:L199)</f>
        <v>15247813061.536537</v>
      </c>
      <c r="M190" s="1267"/>
      <c r="N190" s="1268"/>
      <c r="O190" s="343">
        <f>Q190/D190</f>
        <v>0</v>
      </c>
      <c r="P190" s="336">
        <f>SUM(P191:P199)</f>
        <v>0</v>
      </c>
      <c r="Q190" s="298">
        <f>SUM(Q191:Q199)</f>
        <v>0</v>
      </c>
      <c r="R190" s="1265"/>
      <c r="S190" s="1266"/>
      <c r="T190" s="265"/>
    </row>
    <row r="191" spans="1:21" s="300" customFormat="1" ht="27" customHeight="1">
      <c r="A191" s="18">
        <v>184</v>
      </c>
      <c r="B191" s="291" t="s">
        <v>399</v>
      </c>
      <c r="C191" s="292" t="s">
        <v>527</v>
      </c>
      <c r="D191" s="293">
        <v>762390653.07682693</v>
      </c>
      <c r="E191" s="294">
        <f t="shared" ref="E191:E216" si="59">D191/$Q$4</f>
        <v>6.3666405000000013E-4</v>
      </c>
      <c r="F191" s="295">
        <v>3</v>
      </c>
      <c r="G191" s="485">
        <v>1</v>
      </c>
      <c r="H191" s="486">
        <v>6.3666405000000013E-4</v>
      </c>
      <c r="I191" s="487">
        <v>762390653.07682693</v>
      </c>
      <c r="J191" s="430">
        <v>1</v>
      </c>
      <c r="K191" s="413">
        <f t="shared" ref="K191:K199" si="60">J191*E191</f>
        <v>6.3666405000000013E-4</v>
      </c>
      <c r="L191" s="420">
        <f t="shared" ref="L191:L199" si="61">K191*$Q$4</f>
        <v>762390653.07682693</v>
      </c>
      <c r="M191" s="1267"/>
      <c r="N191" s="1268"/>
      <c r="O191" s="432"/>
      <c r="P191" s="336">
        <f t="shared" ref="P191:P199" si="62">O191*E191</f>
        <v>0</v>
      </c>
      <c r="Q191" s="298">
        <f>O191*D191</f>
        <v>0</v>
      </c>
      <c r="R191" s="1265"/>
      <c r="S191" s="1266"/>
      <c r="T191" s="299"/>
    </row>
    <row r="192" spans="1:21" s="300" customFormat="1" ht="27" customHeight="1">
      <c r="A192" s="18">
        <v>185</v>
      </c>
      <c r="B192" s="291" t="s">
        <v>400</v>
      </c>
      <c r="C192" s="292" t="s">
        <v>528</v>
      </c>
      <c r="D192" s="293">
        <v>1524781306.1536539</v>
      </c>
      <c r="E192" s="294">
        <f t="shared" si="59"/>
        <v>1.2733281000000003E-3</v>
      </c>
      <c r="F192" s="295">
        <v>3</v>
      </c>
      <c r="G192" s="485">
        <v>1</v>
      </c>
      <c r="H192" s="486">
        <v>1.2733281000000003E-3</v>
      </c>
      <c r="I192" s="487">
        <v>1524781306.1536539</v>
      </c>
      <c r="J192" s="430">
        <v>1</v>
      </c>
      <c r="K192" s="413">
        <f t="shared" si="60"/>
        <v>1.2733281000000003E-3</v>
      </c>
      <c r="L192" s="420">
        <f t="shared" si="61"/>
        <v>1524781306.1536539</v>
      </c>
      <c r="M192" s="1267"/>
      <c r="N192" s="1268"/>
      <c r="O192" s="432"/>
      <c r="P192" s="336">
        <f t="shared" si="62"/>
        <v>0</v>
      </c>
      <c r="Q192" s="298">
        <f t="shared" ref="Q192:Q199" si="63">O192*D192</f>
        <v>0</v>
      </c>
      <c r="R192" s="1265"/>
      <c r="S192" s="1266"/>
      <c r="T192" s="299"/>
    </row>
    <row r="193" spans="1:20" s="300" customFormat="1" ht="27" customHeight="1">
      <c r="A193" s="18">
        <v>186</v>
      </c>
      <c r="B193" s="291" t="s">
        <v>401</v>
      </c>
      <c r="C193" s="292" t="s">
        <v>538</v>
      </c>
      <c r="D193" s="293">
        <v>1524781306.1536539</v>
      </c>
      <c r="E193" s="294">
        <f t="shared" si="59"/>
        <v>1.2733281000000003E-3</v>
      </c>
      <c r="F193" s="295">
        <v>3</v>
      </c>
      <c r="G193" s="485">
        <v>1</v>
      </c>
      <c r="H193" s="486">
        <v>1.2733281000000003E-3</v>
      </c>
      <c r="I193" s="487">
        <v>1524781306.1536539</v>
      </c>
      <c r="J193" s="430">
        <v>1</v>
      </c>
      <c r="K193" s="413">
        <f t="shared" si="60"/>
        <v>1.2733281000000003E-3</v>
      </c>
      <c r="L193" s="420">
        <f t="shared" si="61"/>
        <v>1524781306.1536539</v>
      </c>
      <c r="M193" s="1267"/>
      <c r="N193" s="1268"/>
      <c r="O193" s="432"/>
      <c r="P193" s="336">
        <f t="shared" si="62"/>
        <v>0</v>
      </c>
      <c r="Q193" s="298">
        <f t="shared" si="63"/>
        <v>0</v>
      </c>
      <c r="R193" s="1265"/>
      <c r="S193" s="1266"/>
      <c r="T193" s="299"/>
    </row>
    <row r="194" spans="1:20" s="300" customFormat="1" ht="27" customHeight="1">
      <c r="A194" s="18">
        <v>187</v>
      </c>
      <c r="B194" s="291" t="s">
        <v>402</v>
      </c>
      <c r="C194" s="292" t="s">
        <v>530</v>
      </c>
      <c r="D194" s="293">
        <v>3049562612.3073077</v>
      </c>
      <c r="E194" s="294">
        <f t="shared" si="59"/>
        <v>2.5466562000000005E-3</v>
      </c>
      <c r="F194" s="295">
        <v>14</v>
      </c>
      <c r="G194" s="485">
        <v>1</v>
      </c>
      <c r="H194" s="486">
        <v>2.5466562000000005E-3</v>
      </c>
      <c r="I194" s="487">
        <v>3049562612.3073077</v>
      </c>
      <c r="J194" s="430">
        <v>1</v>
      </c>
      <c r="K194" s="413">
        <f t="shared" si="60"/>
        <v>2.5466562000000005E-3</v>
      </c>
      <c r="L194" s="420">
        <f t="shared" si="61"/>
        <v>3049562612.3073077</v>
      </c>
      <c r="M194" s="1267"/>
      <c r="N194" s="1268"/>
      <c r="O194" s="432"/>
      <c r="P194" s="336">
        <f t="shared" si="62"/>
        <v>0</v>
      </c>
      <c r="Q194" s="298">
        <f t="shared" si="63"/>
        <v>0</v>
      </c>
      <c r="R194" s="1265"/>
      <c r="S194" s="1266"/>
      <c r="T194" s="299"/>
    </row>
    <row r="195" spans="1:20" s="300" customFormat="1" ht="27" customHeight="1">
      <c r="A195" s="18">
        <v>188</v>
      </c>
      <c r="B195" s="291" t="s">
        <v>403</v>
      </c>
      <c r="C195" s="292" t="s">
        <v>531</v>
      </c>
      <c r="D195" s="293">
        <v>2287171959.2304802</v>
      </c>
      <c r="E195" s="294">
        <f t="shared" si="59"/>
        <v>1.9099921499999997E-3</v>
      </c>
      <c r="F195" s="295">
        <v>3</v>
      </c>
      <c r="G195" s="485">
        <v>1</v>
      </c>
      <c r="H195" s="486">
        <v>1.9099921499999997E-3</v>
      </c>
      <c r="I195" s="487">
        <v>2287171959.2304802</v>
      </c>
      <c r="J195" s="430">
        <v>1</v>
      </c>
      <c r="K195" s="413">
        <f t="shared" si="60"/>
        <v>1.9099921499999997E-3</v>
      </c>
      <c r="L195" s="420">
        <f t="shared" si="61"/>
        <v>2287171959.2304802</v>
      </c>
      <c r="M195" s="1267"/>
      <c r="N195" s="1268"/>
      <c r="O195" s="432"/>
      <c r="P195" s="336">
        <f t="shared" si="62"/>
        <v>0</v>
      </c>
      <c r="Q195" s="298">
        <f t="shared" si="63"/>
        <v>0</v>
      </c>
      <c r="R195" s="1265"/>
      <c r="S195" s="1266"/>
      <c r="T195" s="299"/>
    </row>
    <row r="196" spans="1:20" s="300" customFormat="1" ht="27" customHeight="1">
      <c r="A196" s="18">
        <v>189</v>
      </c>
      <c r="B196" s="291" t="s">
        <v>404</v>
      </c>
      <c r="C196" s="292" t="s">
        <v>532</v>
      </c>
      <c r="D196" s="293">
        <v>1372303175.5382884</v>
      </c>
      <c r="E196" s="294">
        <f t="shared" si="59"/>
        <v>1.1459952900000001E-3</v>
      </c>
      <c r="F196" s="295">
        <v>14</v>
      </c>
      <c r="G196" s="485">
        <v>1</v>
      </c>
      <c r="H196" s="486">
        <v>1.1459952900000001E-3</v>
      </c>
      <c r="I196" s="487">
        <v>1372303175.5382884</v>
      </c>
      <c r="J196" s="430">
        <v>1</v>
      </c>
      <c r="K196" s="413">
        <f t="shared" si="60"/>
        <v>1.1459952900000001E-3</v>
      </c>
      <c r="L196" s="420">
        <f t="shared" si="61"/>
        <v>1372303175.5382884</v>
      </c>
      <c r="M196" s="1267"/>
      <c r="N196" s="1268"/>
      <c r="O196" s="432"/>
      <c r="P196" s="336">
        <f t="shared" si="62"/>
        <v>0</v>
      </c>
      <c r="Q196" s="298">
        <f t="shared" si="63"/>
        <v>0</v>
      </c>
      <c r="R196" s="1265"/>
      <c r="S196" s="1266"/>
      <c r="T196" s="299"/>
    </row>
    <row r="197" spans="1:20" s="300" customFormat="1" ht="27" customHeight="1">
      <c r="A197" s="18">
        <v>190</v>
      </c>
      <c r="B197" s="291" t="s">
        <v>405</v>
      </c>
      <c r="C197" s="292" t="s">
        <v>533</v>
      </c>
      <c r="D197" s="293">
        <v>914868783.6921922</v>
      </c>
      <c r="E197" s="294">
        <f t="shared" si="59"/>
        <v>7.6399686E-4</v>
      </c>
      <c r="F197" s="295">
        <v>3</v>
      </c>
      <c r="G197" s="485">
        <v>1</v>
      </c>
      <c r="H197" s="486">
        <v>7.6399686E-4</v>
      </c>
      <c r="I197" s="487">
        <v>914868783.6921922</v>
      </c>
      <c r="J197" s="430">
        <v>1</v>
      </c>
      <c r="K197" s="413">
        <f t="shared" si="60"/>
        <v>7.6399686E-4</v>
      </c>
      <c r="L197" s="420">
        <f t="shared" si="61"/>
        <v>914868783.6921922</v>
      </c>
      <c r="M197" s="1267"/>
      <c r="N197" s="1268"/>
      <c r="O197" s="432"/>
      <c r="P197" s="336">
        <f t="shared" si="62"/>
        <v>0</v>
      </c>
      <c r="Q197" s="298">
        <f t="shared" si="63"/>
        <v>0</v>
      </c>
      <c r="R197" s="1265"/>
      <c r="S197" s="1266"/>
      <c r="T197" s="299"/>
    </row>
    <row r="198" spans="1:20" s="300" customFormat="1" ht="27" customHeight="1">
      <c r="A198" s="18">
        <v>191</v>
      </c>
      <c r="B198" s="291" t="s">
        <v>406</v>
      </c>
      <c r="C198" s="292" t="s">
        <v>762</v>
      </c>
      <c r="D198" s="293">
        <v>3049562612.3073077</v>
      </c>
      <c r="E198" s="294">
        <f t="shared" si="59"/>
        <v>2.5466562000000005E-3</v>
      </c>
      <c r="F198" s="295">
        <v>14</v>
      </c>
      <c r="G198" s="485">
        <v>1</v>
      </c>
      <c r="H198" s="486">
        <v>2.5466562000000005E-3</v>
      </c>
      <c r="I198" s="487">
        <v>3049562612.3073077</v>
      </c>
      <c r="J198" s="430">
        <v>1</v>
      </c>
      <c r="K198" s="413">
        <f t="shared" si="60"/>
        <v>2.5466562000000005E-3</v>
      </c>
      <c r="L198" s="420">
        <f t="shared" si="61"/>
        <v>3049562612.3073077</v>
      </c>
      <c r="M198" s="1267"/>
      <c r="N198" s="1268"/>
      <c r="O198" s="432"/>
      <c r="P198" s="336">
        <f t="shared" si="62"/>
        <v>0</v>
      </c>
      <c r="Q198" s="298">
        <f t="shared" si="63"/>
        <v>0</v>
      </c>
      <c r="R198" s="1265"/>
      <c r="S198" s="1266"/>
      <c r="T198" s="299"/>
    </row>
    <row r="199" spans="1:20" s="300" customFormat="1" ht="27" customHeight="1">
      <c r="A199" s="18">
        <v>192</v>
      </c>
      <c r="B199" s="291" t="s">
        <v>683</v>
      </c>
      <c r="C199" s="292" t="s">
        <v>536</v>
      </c>
      <c r="D199" s="293">
        <v>762390653.07682693</v>
      </c>
      <c r="E199" s="294">
        <f t="shared" si="59"/>
        <v>6.3666405000000013E-4</v>
      </c>
      <c r="F199" s="295">
        <v>3</v>
      </c>
      <c r="G199" s="485">
        <v>1</v>
      </c>
      <c r="H199" s="486">
        <v>6.3666405000000013E-4</v>
      </c>
      <c r="I199" s="487">
        <v>762390653.07682693</v>
      </c>
      <c r="J199" s="430">
        <v>1</v>
      </c>
      <c r="K199" s="413">
        <f t="shared" si="60"/>
        <v>6.3666405000000013E-4</v>
      </c>
      <c r="L199" s="420">
        <f t="shared" si="61"/>
        <v>762390653.07682693</v>
      </c>
      <c r="M199" s="1267"/>
      <c r="N199" s="1268"/>
      <c r="O199" s="432"/>
      <c r="P199" s="336">
        <f t="shared" si="62"/>
        <v>0</v>
      </c>
      <c r="Q199" s="298">
        <f t="shared" si="63"/>
        <v>0</v>
      </c>
      <c r="R199" s="1265"/>
      <c r="S199" s="1266"/>
      <c r="T199" s="299"/>
    </row>
    <row r="200" spans="1:20" s="155" customFormat="1" ht="27" customHeight="1">
      <c r="A200" s="18">
        <v>193</v>
      </c>
      <c r="B200" s="122" t="s">
        <v>684</v>
      </c>
      <c r="C200" s="290" t="s">
        <v>562</v>
      </c>
      <c r="D200" s="272">
        <f>SUM(D201:D215)</f>
        <v>12475483413.98444</v>
      </c>
      <c r="E200" s="273">
        <f>SUM(E201:E215)</f>
        <v>1.0418138999999996E-2</v>
      </c>
      <c r="F200" s="274"/>
      <c r="G200" s="482">
        <v>4.9399999999999993E-2</v>
      </c>
      <c r="H200" s="491">
        <v>5.1465606659999998E-4</v>
      </c>
      <c r="I200" s="487">
        <v>616288880.65083122</v>
      </c>
      <c r="J200" s="310"/>
      <c r="K200" s="414">
        <f>SUM(K201:K215)</f>
        <v>1.6413273784701373E-3</v>
      </c>
      <c r="L200" s="420">
        <f>SUM(L201:L215)</f>
        <v>1965452033.9019048</v>
      </c>
      <c r="M200" s="1267"/>
      <c r="N200" s="1268"/>
      <c r="O200" s="343">
        <f>Q200/D200</f>
        <v>0</v>
      </c>
      <c r="P200" s="336">
        <f>SUM(P201:P215)</f>
        <v>0</v>
      </c>
      <c r="Q200" s="298">
        <f>SUM(Q201:Q215)</f>
        <v>0</v>
      </c>
      <c r="R200" s="1265"/>
      <c r="S200" s="1266"/>
      <c r="T200" s="265"/>
    </row>
    <row r="201" spans="1:20" s="300" customFormat="1" ht="27" customHeight="1">
      <c r="A201" s="18">
        <v>194</v>
      </c>
      <c r="B201" s="291" t="s">
        <v>685</v>
      </c>
      <c r="C201" s="292" t="s">
        <v>542</v>
      </c>
      <c r="D201" s="293">
        <v>124754834.13984439</v>
      </c>
      <c r="E201" s="294">
        <f t="shared" si="59"/>
        <v>1.0418139E-4</v>
      </c>
      <c r="F201" s="295">
        <v>21</v>
      </c>
      <c r="G201" s="485">
        <v>0</v>
      </c>
      <c r="H201" s="486">
        <v>0</v>
      </c>
      <c r="I201" s="487">
        <v>0</v>
      </c>
      <c r="J201" s="430">
        <v>1</v>
      </c>
      <c r="K201" s="413">
        <f t="shared" ref="K201:K215" si="64">J201*E201</f>
        <v>1.0418139E-4</v>
      </c>
      <c r="L201" s="420">
        <f t="shared" ref="L201:L215" si="65">K201*$Q$4</f>
        <v>124754834.13984439</v>
      </c>
      <c r="M201" s="1267"/>
      <c r="N201" s="1268"/>
      <c r="O201" s="433"/>
      <c r="P201" s="336">
        <f t="shared" ref="P201:P215" si="66">O201*E201</f>
        <v>0</v>
      </c>
      <c r="Q201" s="298">
        <f>O201*D201</f>
        <v>0</v>
      </c>
      <c r="R201" s="1265"/>
      <c r="S201" s="1266"/>
      <c r="T201" s="299"/>
    </row>
    <row r="202" spans="1:20" s="300" customFormat="1" ht="27" customHeight="1">
      <c r="A202" s="18">
        <v>195</v>
      </c>
      <c r="B202" s="291" t="s">
        <v>686</v>
      </c>
      <c r="C202" s="292" t="s">
        <v>602</v>
      </c>
      <c r="D202" s="293">
        <v>3081444403.2541561</v>
      </c>
      <c r="E202" s="294">
        <f t="shared" si="59"/>
        <v>2.5732803329999998E-3</v>
      </c>
      <c r="F202" s="295">
        <v>14</v>
      </c>
      <c r="G202" s="490">
        <v>0.2</v>
      </c>
      <c r="H202" s="486">
        <v>5.1465606659999998E-4</v>
      </c>
      <c r="I202" s="487">
        <v>616288880.65083122</v>
      </c>
      <c r="J202" s="459">
        <f>0.9859*33.33%</f>
        <v>0.32860046999999998</v>
      </c>
      <c r="K202" s="413">
        <f t="shared" si="64"/>
        <v>8.4558112686555634E-4</v>
      </c>
      <c r="L202" s="420">
        <f t="shared" si="65"/>
        <v>1012564079.1881851</v>
      </c>
      <c r="M202" s="1267"/>
      <c r="N202" s="1268"/>
      <c r="O202" s="433"/>
      <c r="P202" s="336">
        <f t="shared" si="66"/>
        <v>0</v>
      </c>
      <c r="Q202" s="298">
        <f t="shared" ref="Q202:Q215" si="67">O202*D202</f>
        <v>0</v>
      </c>
      <c r="R202" s="1265"/>
      <c r="S202" s="1266"/>
      <c r="T202" s="299"/>
    </row>
    <row r="203" spans="1:20" s="300" customFormat="1" ht="27" customHeight="1">
      <c r="A203" s="18">
        <v>196</v>
      </c>
      <c r="B203" s="291" t="s">
        <v>688</v>
      </c>
      <c r="C203" s="292" t="s">
        <v>603</v>
      </c>
      <c r="D203" s="293">
        <v>1172695440.9145372</v>
      </c>
      <c r="E203" s="294">
        <f t="shared" si="59"/>
        <v>9.7930506599999993E-4</v>
      </c>
      <c r="F203" s="295">
        <v>14</v>
      </c>
      <c r="G203" s="490">
        <v>0</v>
      </c>
      <c r="H203" s="486">
        <v>0</v>
      </c>
      <c r="I203" s="487">
        <v>0</v>
      </c>
      <c r="J203" s="459">
        <f>0.9859*33.33%</f>
        <v>0.32860046999999998</v>
      </c>
      <c r="K203" s="413">
        <f t="shared" si="64"/>
        <v>3.2180010496098095E-4</v>
      </c>
      <c r="L203" s="420">
        <f t="shared" si="65"/>
        <v>385348273.05137408</v>
      </c>
      <c r="M203" s="1267"/>
      <c r="N203" s="1268"/>
      <c r="O203" s="433"/>
      <c r="P203" s="336">
        <f t="shared" si="66"/>
        <v>0</v>
      </c>
      <c r="Q203" s="298">
        <f t="shared" si="67"/>
        <v>0</v>
      </c>
      <c r="R203" s="1265"/>
      <c r="S203" s="1266"/>
      <c r="T203" s="299"/>
    </row>
    <row r="204" spans="1:20" s="300" customFormat="1" ht="27" customHeight="1">
      <c r="A204" s="18">
        <v>197</v>
      </c>
      <c r="B204" s="291" t="s">
        <v>691</v>
      </c>
      <c r="C204" s="292" t="s">
        <v>748</v>
      </c>
      <c r="D204" s="293">
        <v>449117402.90343976</v>
      </c>
      <c r="E204" s="294">
        <f t="shared" si="59"/>
        <v>3.7505300399999996E-4</v>
      </c>
      <c r="F204" s="295">
        <v>23</v>
      </c>
      <c r="G204" s="490">
        <v>0</v>
      </c>
      <c r="H204" s="486">
        <v>0</v>
      </c>
      <c r="I204" s="487">
        <v>0</v>
      </c>
      <c r="J204" s="459">
        <v>0.9859</v>
      </c>
      <c r="K204" s="413">
        <f t="shared" si="64"/>
        <v>3.6976475664359995E-4</v>
      </c>
      <c r="L204" s="420">
        <f t="shared" si="65"/>
        <v>442784847.52250123</v>
      </c>
      <c r="M204" s="1267"/>
      <c r="N204" s="1268"/>
      <c r="O204" s="433"/>
      <c r="P204" s="336">
        <f t="shared" si="66"/>
        <v>0</v>
      </c>
      <c r="Q204" s="298">
        <f t="shared" si="67"/>
        <v>0</v>
      </c>
      <c r="R204" s="1265"/>
      <c r="S204" s="1266"/>
      <c r="T204" s="299"/>
    </row>
    <row r="205" spans="1:20" s="300" customFormat="1" ht="27" customHeight="1">
      <c r="A205" s="18">
        <v>198</v>
      </c>
      <c r="B205" s="291" t="s">
        <v>692</v>
      </c>
      <c r="C205" s="292" t="s">
        <v>749</v>
      </c>
      <c r="D205" s="293">
        <v>548921270.21531522</v>
      </c>
      <c r="E205" s="294">
        <f t="shared" si="59"/>
        <v>4.5839811599999991E-4</v>
      </c>
      <c r="F205" s="295">
        <v>23</v>
      </c>
      <c r="G205" s="485">
        <v>0</v>
      </c>
      <c r="H205" s="486">
        <v>0</v>
      </c>
      <c r="I205" s="487">
        <v>0</v>
      </c>
      <c r="J205" s="430">
        <v>0</v>
      </c>
      <c r="K205" s="413">
        <f t="shared" si="64"/>
        <v>0</v>
      </c>
      <c r="L205" s="420">
        <f t="shared" si="65"/>
        <v>0</v>
      </c>
      <c r="M205" s="1267"/>
      <c r="N205" s="1268"/>
      <c r="O205" s="433"/>
      <c r="P205" s="336">
        <f t="shared" si="66"/>
        <v>0</v>
      </c>
      <c r="Q205" s="298">
        <f t="shared" si="67"/>
        <v>0</v>
      </c>
      <c r="R205" s="1265"/>
      <c r="S205" s="1266"/>
      <c r="T205" s="299"/>
    </row>
    <row r="206" spans="1:20" s="300" customFormat="1" ht="27" customHeight="1">
      <c r="A206" s="18">
        <v>199</v>
      </c>
      <c r="B206" s="291" t="s">
        <v>693</v>
      </c>
      <c r="C206" s="292" t="s">
        <v>750</v>
      </c>
      <c r="D206" s="293">
        <v>636249654.11320639</v>
      </c>
      <c r="E206" s="294">
        <f t="shared" si="59"/>
        <v>5.31325089E-4</v>
      </c>
      <c r="F206" s="295">
        <v>23</v>
      </c>
      <c r="G206" s="485">
        <v>0</v>
      </c>
      <c r="H206" s="486">
        <v>0</v>
      </c>
      <c r="I206" s="487">
        <v>0</v>
      </c>
      <c r="J206" s="430">
        <v>0</v>
      </c>
      <c r="K206" s="413">
        <f t="shared" si="64"/>
        <v>0</v>
      </c>
      <c r="L206" s="420">
        <f t="shared" si="65"/>
        <v>0</v>
      </c>
      <c r="M206" s="1267"/>
      <c r="N206" s="1268"/>
      <c r="O206" s="433"/>
      <c r="P206" s="336">
        <f t="shared" si="66"/>
        <v>0</v>
      </c>
      <c r="Q206" s="298">
        <f t="shared" si="67"/>
        <v>0</v>
      </c>
      <c r="R206" s="1265"/>
      <c r="S206" s="1266"/>
      <c r="T206" s="299"/>
    </row>
    <row r="207" spans="1:20" s="300" customFormat="1" ht="27" customHeight="1">
      <c r="A207" s="18">
        <v>200</v>
      </c>
      <c r="B207" s="291" t="s">
        <v>715</v>
      </c>
      <c r="C207" s="292" t="s">
        <v>751</v>
      </c>
      <c r="D207" s="293">
        <v>299411601.93562657</v>
      </c>
      <c r="E207" s="294">
        <f t="shared" si="59"/>
        <v>2.5003533600000003E-4</v>
      </c>
      <c r="F207" s="295">
        <v>23</v>
      </c>
      <c r="G207" s="485">
        <v>0</v>
      </c>
      <c r="H207" s="486">
        <v>0</v>
      </c>
      <c r="I207" s="487">
        <v>0</v>
      </c>
      <c r="J207" s="430">
        <v>0</v>
      </c>
      <c r="K207" s="413">
        <f t="shared" si="64"/>
        <v>0</v>
      </c>
      <c r="L207" s="420">
        <f t="shared" si="65"/>
        <v>0</v>
      </c>
      <c r="M207" s="1267"/>
      <c r="N207" s="1268"/>
      <c r="O207" s="433"/>
      <c r="P207" s="336">
        <f t="shared" si="66"/>
        <v>0</v>
      </c>
      <c r="Q207" s="298">
        <f t="shared" si="67"/>
        <v>0</v>
      </c>
      <c r="R207" s="1265"/>
      <c r="S207" s="1266"/>
      <c r="T207" s="299"/>
    </row>
    <row r="208" spans="1:20" s="300" customFormat="1" ht="27" customHeight="1">
      <c r="A208" s="18">
        <v>201</v>
      </c>
      <c r="B208" s="291" t="s">
        <v>716</v>
      </c>
      <c r="C208" s="292" t="s">
        <v>541</v>
      </c>
      <c r="D208" s="293">
        <v>2869361185.2164207</v>
      </c>
      <c r="E208" s="294">
        <f t="shared" si="59"/>
        <v>2.3961719699999999E-3</v>
      </c>
      <c r="F208" s="295">
        <v>23</v>
      </c>
      <c r="G208" s="485">
        <v>0</v>
      </c>
      <c r="H208" s="486">
        <v>0</v>
      </c>
      <c r="I208" s="487">
        <v>0</v>
      </c>
      <c r="J208" s="430">
        <v>0</v>
      </c>
      <c r="K208" s="413">
        <f t="shared" si="64"/>
        <v>0</v>
      </c>
      <c r="L208" s="420">
        <f t="shared" si="65"/>
        <v>0</v>
      </c>
      <c r="M208" s="1267"/>
      <c r="N208" s="1268"/>
      <c r="O208" s="433"/>
      <c r="P208" s="336">
        <f t="shared" si="66"/>
        <v>0</v>
      </c>
      <c r="Q208" s="298">
        <f t="shared" si="67"/>
        <v>0</v>
      </c>
      <c r="R208" s="1265"/>
      <c r="S208" s="1266"/>
      <c r="T208" s="299"/>
    </row>
    <row r="209" spans="1:21" s="300" customFormat="1" ht="27" customHeight="1">
      <c r="A209" s="18">
        <v>202</v>
      </c>
      <c r="B209" s="291" t="s">
        <v>717</v>
      </c>
      <c r="C209" s="292" t="s">
        <v>615</v>
      </c>
      <c r="D209" s="293">
        <v>274460635.10765761</v>
      </c>
      <c r="E209" s="294">
        <f t="shared" si="59"/>
        <v>2.2919905799999996E-4</v>
      </c>
      <c r="F209" s="295">
        <v>23</v>
      </c>
      <c r="G209" s="485">
        <v>0</v>
      </c>
      <c r="H209" s="486">
        <v>0</v>
      </c>
      <c r="I209" s="487">
        <v>0</v>
      </c>
      <c r="J209" s="430">
        <v>0</v>
      </c>
      <c r="K209" s="413">
        <f t="shared" si="64"/>
        <v>0</v>
      </c>
      <c r="L209" s="420">
        <f t="shared" si="65"/>
        <v>0</v>
      </c>
      <c r="M209" s="1267"/>
      <c r="N209" s="1268"/>
      <c r="O209" s="433"/>
      <c r="P209" s="336">
        <f t="shared" si="66"/>
        <v>0</v>
      </c>
      <c r="Q209" s="298">
        <f t="shared" si="67"/>
        <v>0</v>
      </c>
      <c r="R209" s="1265"/>
      <c r="S209" s="1266"/>
      <c r="T209" s="299"/>
    </row>
    <row r="210" spans="1:21" s="300" customFormat="1" ht="27" customHeight="1">
      <c r="A210" s="18">
        <v>203</v>
      </c>
      <c r="B210" s="291" t="s">
        <v>718</v>
      </c>
      <c r="C210" s="292" t="s">
        <v>554</v>
      </c>
      <c r="D210" s="293">
        <v>736053521.42508185</v>
      </c>
      <c r="E210" s="294">
        <f t="shared" si="59"/>
        <v>6.1467020099999995E-4</v>
      </c>
      <c r="F210" s="295">
        <v>23</v>
      </c>
      <c r="G210" s="485">
        <v>0</v>
      </c>
      <c r="H210" s="486">
        <v>0</v>
      </c>
      <c r="I210" s="487">
        <v>0</v>
      </c>
      <c r="J210" s="430">
        <v>0</v>
      </c>
      <c r="K210" s="413">
        <f t="shared" si="64"/>
        <v>0</v>
      </c>
      <c r="L210" s="420">
        <f t="shared" si="65"/>
        <v>0</v>
      </c>
      <c r="M210" s="1267"/>
      <c r="N210" s="1268"/>
      <c r="O210" s="433"/>
      <c r="P210" s="336">
        <f t="shared" si="66"/>
        <v>0</v>
      </c>
      <c r="Q210" s="298">
        <f t="shared" si="67"/>
        <v>0</v>
      </c>
      <c r="R210" s="1265"/>
      <c r="S210" s="1266"/>
      <c r="T210" s="299"/>
    </row>
    <row r="211" spans="1:21" s="300" customFormat="1" ht="27" customHeight="1">
      <c r="A211" s="18">
        <v>204</v>
      </c>
      <c r="B211" s="291" t="s">
        <v>719</v>
      </c>
      <c r="C211" s="292" t="s">
        <v>555</v>
      </c>
      <c r="D211" s="293">
        <v>736053521.42508185</v>
      </c>
      <c r="E211" s="294">
        <f t="shared" si="59"/>
        <v>6.1467020099999995E-4</v>
      </c>
      <c r="F211" s="295">
        <v>23</v>
      </c>
      <c r="G211" s="485">
        <v>0</v>
      </c>
      <c r="H211" s="486">
        <v>0</v>
      </c>
      <c r="I211" s="487">
        <v>0</v>
      </c>
      <c r="J211" s="430">
        <v>0</v>
      </c>
      <c r="K211" s="413">
        <f t="shared" si="64"/>
        <v>0</v>
      </c>
      <c r="L211" s="420">
        <f t="shared" si="65"/>
        <v>0</v>
      </c>
      <c r="M211" s="1267"/>
      <c r="N211" s="1268"/>
      <c r="O211" s="433"/>
      <c r="P211" s="336">
        <f t="shared" si="66"/>
        <v>0</v>
      </c>
      <c r="Q211" s="298">
        <f t="shared" si="67"/>
        <v>0</v>
      </c>
      <c r="R211" s="1265"/>
      <c r="S211" s="1266"/>
      <c r="T211" s="299"/>
    </row>
    <row r="212" spans="1:21" s="300" customFormat="1" ht="27" customHeight="1">
      <c r="A212" s="18">
        <v>205</v>
      </c>
      <c r="B212" s="291" t="s">
        <v>720</v>
      </c>
      <c r="C212" s="292" t="s">
        <v>556</v>
      </c>
      <c r="D212" s="293">
        <v>499019336.55937755</v>
      </c>
      <c r="E212" s="294">
        <f t="shared" si="59"/>
        <v>4.1672555999999999E-4</v>
      </c>
      <c r="F212" s="295">
        <v>23</v>
      </c>
      <c r="G212" s="485">
        <v>0</v>
      </c>
      <c r="H212" s="486">
        <v>0</v>
      </c>
      <c r="I212" s="487">
        <v>0</v>
      </c>
      <c r="J212" s="430">
        <v>0</v>
      </c>
      <c r="K212" s="413">
        <f t="shared" si="64"/>
        <v>0</v>
      </c>
      <c r="L212" s="420">
        <f t="shared" si="65"/>
        <v>0</v>
      </c>
      <c r="M212" s="1267"/>
      <c r="N212" s="1268"/>
      <c r="O212" s="433"/>
      <c r="P212" s="336">
        <f t="shared" si="66"/>
        <v>0</v>
      </c>
      <c r="Q212" s="298">
        <f t="shared" si="67"/>
        <v>0</v>
      </c>
      <c r="R212" s="1265"/>
      <c r="S212" s="1266"/>
      <c r="T212" s="299"/>
    </row>
    <row r="213" spans="1:21" s="300" customFormat="1" ht="27" customHeight="1">
      <c r="A213" s="18">
        <v>206</v>
      </c>
      <c r="B213" s="291" t="s">
        <v>721</v>
      </c>
      <c r="C213" s="292" t="s">
        <v>557</v>
      </c>
      <c r="D213" s="293">
        <v>499019336.55937755</v>
      </c>
      <c r="E213" s="294">
        <f t="shared" si="59"/>
        <v>4.1672555999999999E-4</v>
      </c>
      <c r="F213" s="295">
        <v>23</v>
      </c>
      <c r="G213" s="485">
        <v>0</v>
      </c>
      <c r="H213" s="486">
        <v>0</v>
      </c>
      <c r="I213" s="487">
        <v>0</v>
      </c>
      <c r="J213" s="430">
        <v>0</v>
      </c>
      <c r="K213" s="413">
        <f t="shared" si="64"/>
        <v>0</v>
      </c>
      <c r="L213" s="420">
        <f t="shared" si="65"/>
        <v>0</v>
      </c>
      <c r="M213" s="1267"/>
      <c r="N213" s="1268"/>
      <c r="O213" s="433"/>
      <c r="P213" s="336">
        <f t="shared" si="66"/>
        <v>0</v>
      </c>
      <c r="Q213" s="298">
        <f t="shared" si="67"/>
        <v>0</v>
      </c>
      <c r="R213" s="1265"/>
      <c r="S213" s="1266"/>
      <c r="T213" s="299"/>
    </row>
    <row r="214" spans="1:21" s="300" customFormat="1" ht="27" customHeight="1">
      <c r="A214" s="18">
        <v>207</v>
      </c>
      <c r="B214" s="291" t="s">
        <v>722</v>
      </c>
      <c r="C214" s="292" t="s">
        <v>558</v>
      </c>
      <c r="D214" s="293">
        <v>274460635.10765761</v>
      </c>
      <c r="E214" s="294">
        <f t="shared" si="59"/>
        <v>2.2919905799999996E-4</v>
      </c>
      <c r="F214" s="295">
        <v>23</v>
      </c>
      <c r="G214" s="485">
        <v>0</v>
      </c>
      <c r="H214" s="486">
        <v>0</v>
      </c>
      <c r="I214" s="487">
        <v>0</v>
      </c>
      <c r="J214" s="430">
        <v>0</v>
      </c>
      <c r="K214" s="413">
        <f t="shared" si="64"/>
        <v>0</v>
      </c>
      <c r="L214" s="420">
        <f t="shared" si="65"/>
        <v>0</v>
      </c>
      <c r="M214" s="1267"/>
      <c r="N214" s="1268"/>
      <c r="O214" s="433"/>
      <c r="P214" s="336">
        <f t="shared" si="66"/>
        <v>0</v>
      </c>
      <c r="Q214" s="298">
        <f t="shared" si="67"/>
        <v>0</v>
      </c>
      <c r="R214" s="1265"/>
      <c r="S214" s="1266"/>
      <c r="T214" s="299"/>
    </row>
    <row r="215" spans="1:21" s="300" customFormat="1" ht="27" customHeight="1">
      <c r="A215" s="18">
        <v>208</v>
      </c>
      <c r="B215" s="291" t="s">
        <v>723</v>
      </c>
      <c r="C215" s="292" t="s">
        <v>560</v>
      </c>
      <c r="D215" s="293">
        <v>274460635.10765761</v>
      </c>
      <c r="E215" s="294">
        <f t="shared" si="59"/>
        <v>2.2919905799999996E-4</v>
      </c>
      <c r="F215" s="295">
        <v>23</v>
      </c>
      <c r="G215" s="485">
        <v>0</v>
      </c>
      <c r="H215" s="486">
        <v>0</v>
      </c>
      <c r="I215" s="487">
        <v>0</v>
      </c>
      <c r="J215" s="430">
        <v>0</v>
      </c>
      <c r="K215" s="413">
        <f t="shared" si="64"/>
        <v>0</v>
      </c>
      <c r="L215" s="420">
        <f t="shared" si="65"/>
        <v>0</v>
      </c>
      <c r="M215" s="1267"/>
      <c r="N215" s="1268"/>
      <c r="O215" s="433"/>
      <c r="P215" s="336">
        <f t="shared" si="66"/>
        <v>0</v>
      </c>
      <c r="Q215" s="298">
        <f t="shared" si="67"/>
        <v>0</v>
      </c>
      <c r="R215" s="1265"/>
      <c r="S215" s="1266"/>
      <c r="T215" s="299"/>
    </row>
    <row r="216" spans="1:21" s="141" customFormat="1" ht="260.25" customHeight="1">
      <c r="A216" s="18">
        <v>209</v>
      </c>
      <c r="B216" s="145" t="s">
        <v>695</v>
      </c>
      <c r="C216" s="289" t="s">
        <v>565</v>
      </c>
      <c r="D216" s="269">
        <v>47477151532</v>
      </c>
      <c r="E216" s="350">
        <f t="shared" si="59"/>
        <v>3.9647647114819523E-2</v>
      </c>
      <c r="F216" s="326"/>
      <c r="G216" s="479">
        <v>0</v>
      </c>
      <c r="H216" s="491">
        <v>0</v>
      </c>
      <c r="I216" s="481">
        <v>0</v>
      </c>
      <c r="J216" s="309">
        <v>1</v>
      </c>
      <c r="K216" s="414"/>
      <c r="L216" s="417">
        <f>D216</f>
        <v>47477151532</v>
      </c>
      <c r="M216" s="1269" t="s">
        <v>943</v>
      </c>
      <c r="N216" s="1270"/>
      <c r="O216" s="258"/>
      <c r="P216" s="336"/>
      <c r="Q216" s="298"/>
      <c r="R216" s="1265"/>
      <c r="S216" s="1266"/>
      <c r="T216" s="260"/>
      <c r="U216" s="448"/>
    </row>
    <row r="217" spans="1:21" ht="30" customHeight="1">
      <c r="G217" s="497"/>
      <c r="J217" s="187"/>
      <c r="Q217" s="183">
        <f>Q162+Q93+Q24</f>
        <v>0</v>
      </c>
    </row>
  </sheetData>
  <autoFilter ref="C6:L217" xr:uid="{00000000-0009-0000-0000-00000F000000}">
    <filterColumn colId="7" showButton="0"/>
    <filterColumn colId="8" showButton="0"/>
  </autoFilter>
  <mergeCells count="388">
    <mergeCell ref="O1:P2"/>
    <mergeCell ref="Q1:T2"/>
    <mergeCell ref="O3:P3"/>
    <mergeCell ref="Q3:T3"/>
    <mergeCell ref="E4:K4"/>
    <mergeCell ref="O4:P5"/>
    <mergeCell ref="E5:K5"/>
    <mergeCell ref="Q4:R5"/>
    <mergeCell ref="M6:N7"/>
    <mergeCell ref="J6:L6"/>
    <mergeCell ref="O6:Q6"/>
    <mergeCell ref="T6:T7"/>
    <mergeCell ref="R6:S7"/>
    <mergeCell ref="M62:N62"/>
    <mergeCell ref="M63:N63"/>
    <mergeCell ref="R13:S13"/>
    <mergeCell ref="R14:S14"/>
    <mergeCell ref="R15:S15"/>
    <mergeCell ref="R16:S16"/>
    <mergeCell ref="R17:S17"/>
    <mergeCell ref="R8:S8"/>
    <mergeCell ref="R9:S9"/>
    <mergeCell ref="R10:S10"/>
    <mergeCell ref="R11:S11"/>
    <mergeCell ref="R12:S12"/>
    <mergeCell ref="R23:S23"/>
    <mergeCell ref="R24:S24"/>
    <mergeCell ref="R25:S25"/>
    <mergeCell ref="R26:S26"/>
    <mergeCell ref="R27:S27"/>
    <mergeCell ref="R18:S18"/>
    <mergeCell ref="R19:S19"/>
    <mergeCell ref="R20:S20"/>
    <mergeCell ref="R21:S21"/>
    <mergeCell ref="R22:S22"/>
    <mergeCell ref="M8:N25"/>
    <mergeCell ref="M64:N64"/>
    <mergeCell ref="M65:N65"/>
    <mergeCell ref="M66:N66"/>
    <mergeCell ref="M59:N59"/>
    <mergeCell ref="M60:N60"/>
    <mergeCell ref="M61:N61"/>
    <mergeCell ref="M72:N72"/>
    <mergeCell ref="M73:N73"/>
    <mergeCell ref="A6:A7"/>
    <mergeCell ref="B6:B7"/>
    <mergeCell ref="C6:C7"/>
    <mergeCell ref="F6:F7"/>
    <mergeCell ref="G6:I6"/>
    <mergeCell ref="D7:E7"/>
    <mergeCell ref="M74:N74"/>
    <mergeCell ref="M75:N75"/>
    <mergeCell ref="M76:N76"/>
    <mergeCell ref="M67:N67"/>
    <mergeCell ref="M68:N68"/>
    <mergeCell ref="M69:N69"/>
    <mergeCell ref="M70:N70"/>
    <mergeCell ref="M71:N71"/>
    <mergeCell ref="M82:N82"/>
    <mergeCell ref="M83:N83"/>
    <mergeCell ref="M84:N84"/>
    <mergeCell ref="M85:N85"/>
    <mergeCell ref="M86:N86"/>
    <mergeCell ref="M77:N77"/>
    <mergeCell ref="M78:N78"/>
    <mergeCell ref="M79:N79"/>
    <mergeCell ref="M80:N80"/>
    <mergeCell ref="M81:N81"/>
    <mergeCell ref="M92:N92"/>
    <mergeCell ref="M93:N93"/>
    <mergeCell ref="M94:N94"/>
    <mergeCell ref="M95:N95"/>
    <mergeCell ref="M96:N96"/>
    <mergeCell ref="M87:N87"/>
    <mergeCell ref="M88:N88"/>
    <mergeCell ref="M89:N89"/>
    <mergeCell ref="M90:N90"/>
    <mergeCell ref="M91:N91"/>
    <mergeCell ref="M102:N102"/>
    <mergeCell ref="M103:N103"/>
    <mergeCell ref="M104:N104"/>
    <mergeCell ref="M105:N105"/>
    <mergeCell ref="M106:N106"/>
    <mergeCell ref="M97:N97"/>
    <mergeCell ref="M98:N98"/>
    <mergeCell ref="M99:N99"/>
    <mergeCell ref="M100:N100"/>
    <mergeCell ref="M101:N101"/>
    <mergeCell ref="M112:N112"/>
    <mergeCell ref="M113:N113"/>
    <mergeCell ref="M114:N114"/>
    <mergeCell ref="M115:N115"/>
    <mergeCell ref="M116:N116"/>
    <mergeCell ref="M107:N107"/>
    <mergeCell ref="M108:N108"/>
    <mergeCell ref="M109:N109"/>
    <mergeCell ref="M110:N110"/>
    <mergeCell ref="M111:N111"/>
    <mergeCell ref="M122:N122"/>
    <mergeCell ref="M123:N123"/>
    <mergeCell ref="M124:N124"/>
    <mergeCell ref="M125:N125"/>
    <mergeCell ref="M126:N126"/>
    <mergeCell ref="M117:N117"/>
    <mergeCell ref="M118:N118"/>
    <mergeCell ref="M119:N119"/>
    <mergeCell ref="M120:N120"/>
    <mergeCell ref="M121:N121"/>
    <mergeCell ref="M132:N132"/>
    <mergeCell ref="M133:N133"/>
    <mergeCell ref="M134:N134"/>
    <mergeCell ref="M135:N135"/>
    <mergeCell ref="M136:N136"/>
    <mergeCell ref="M127:N127"/>
    <mergeCell ref="M128:N128"/>
    <mergeCell ref="M129:N129"/>
    <mergeCell ref="M130:N130"/>
    <mergeCell ref="M131:N131"/>
    <mergeCell ref="M142:N142"/>
    <mergeCell ref="M143:N143"/>
    <mergeCell ref="M144:N144"/>
    <mergeCell ref="M145:N145"/>
    <mergeCell ref="M146:N146"/>
    <mergeCell ref="M137:N137"/>
    <mergeCell ref="M138:N138"/>
    <mergeCell ref="M139:N139"/>
    <mergeCell ref="M140:N140"/>
    <mergeCell ref="M141:N141"/>
    <mergeCell ref="M152:N152"/>
    <mergeCell ref="M153:N153"/>
    <mergeCell ref="M154:N154"/>
    <mergeCell ref="M155:N155"/>
    <mergeCell ref="M156:N156"/>
    <mergeCell ref="M147:N147"/>
    <mergeCell ref="M148:N148"/>
    <mergeCell ref="M149:N149"/>
    <mergeCell ref="M150:N150"/>
    <mergeCell ref="M151:N151"/>
    <mergeCell ref="M162:N162"/>
    <mergeCell ref="M163:N163"/>
    <mergeCell ref="M164:N164"/>
    <mergeCell ref="M165:N165"/>
    <mergeCell ref="M166:N166"/>
    <mergeCell ref="M157:N157"/>
    <mergeCell ref="M158:N158"/>
    <mergeCell ref="M159:N159"/>
    <mergeCell ref="M160:N160"/>
    <mergeCell ref="M161:N161"/>
    <mergeCell ref="M172:N172"/>
    <mergeCell ref="M173:N173"/>
    <mergeCell ref="M174:N174"/>
    <mergeCell ref="M175:N175"/>
    <mergeCell ref="M176:N176"/>
    <mergeCell ref="M167:N167"/>
    <mergeCell ref="M168:N168"/>
    <mergeCell ref="M169:N169"/>
    <mergeCell ref="M170:N170"/>
    <mergeCell ref="M171:N171"/>
    <mergeCell ref="M182:N182"/>
    <mergeCell ref="M183:N183"/>
    <mergeCell ref="M184:N184"/>
    <mergeCell ref="M185:N185"/>
    <mergeCell ref="M186:N186"/>
    <mergeCell ref="M177:N177"/>
    <mergeCell ref="M178:N178"/>
    <mergeCell ref="M179:N179"/>
    <mergeCell ref="M180:N180"/>
    <mergeCell ref="M181:N181"/>
    <mergeCell ref="M216:N216"/>
    <mergeCell ref="M207:N207"/>
    <mergeCell ref="M208:N208"/>
    <mergeCell ref="M209:N209"/>
    <mergeCell ref="M210:N210"/>
    <mergeCell ref="M211:N211"/>
    <mergeCell ref="M202:N202"/>
    <mergeCell ref="M203:N203"/>
    <mergeCell ref="M204:N204"/>
    <mergeCell ref="M205:N205"/>
    <mergeCell ref="M206:N206"/>
    <mergeCell ref="R28:S28"/>
    <mergeCell ref="R29:S29"/>
    <mergeCell ref="R30:S30"/>
    <mergeCell ref="R31:S31"/>
    <mergeCell ref="R32:S32"/>
    <mergeCell ref="M212:N212"/>
    <mergeCell ref="M213:N213"/>
    <mergeCell ref="M214:N214"/>
    <mergeCell ref="M215:N215"/>
    <mergeCell ref="M197:N197"/>
    <mergeCell ref="M198:N198"/>
    <mergeCell ref="M199:N199"/>
    <mergeCell ref="M200:N200"/>
    <mergeCell ref="M201:N201"/>
    <mergeCell ref="M192:N192"/>
    <mergeCell ref="M193:N193"/>
    <mergeCell ref="M194:N194"/>
    <mergeCell ref="M195:N195"/>
    <mergeCell ref="M196:N196"/>
    <mergeCell ref="M187:N187"/>
    <mergeCell ref="M188:N188"/>
    <mergeCell ref="M189:N189"/>
    <mergeCell ref="M190:N190"/>
    <mergeCell ref="M191:N191"/>
    <mergeCell ref="R38:S38"/>
    <mergeCell ref="R39:S39"/>
    <mergeCell ref="R40:S40"/>
    <mergeCell ref="R41:S41"/>
    <mergeCell ref="R42:S42"/>
    <mergeCell ref="R33:S33"/>
    <mergeCell ref="R34:S34"/>
    <mergeCell ref="R35:S35"/>
    <mergeCell ref="R36:S36"/>
    <mergeCell ref="R37:S37"/>
    <mergeCell ref="R48:S48"/>
    <mergeCell ref="R49:S49"/>
    <mergeCell ref="R50:S50"/>
    <mergeCell ref="R51:S51"/>
    <mergeCell ref="R52:S52"/>
    <mergeCell ref="R43:S43"/>
    <mergeCell ref="R44:S44"/>
    <mergeCell ref="R45:S45"/>
    <mergeCell ref="R46:S46"/>
    <mergeCell ref="R47:S47"/>
    <mergeCell ref="R58:S58"/>
    <mergeCell ref="R59:S59"/>
    <mergeCell ref="R60:S60"/>
    <mergeCell ref="R61:S61"/>
    <mergeCell ref="R62:S62"/>
    <mergeCell ref="R53:S53"/>
    <mergeCell ref="R54:S54"/>
    <mergeCell ref="R55:S55"/>
    <mergeCell ref="R56:S56"/>
    <mergeCell ref="R57:S57"/>
    <mergeCell ref="R68:S68"/>
    <mergeCell ref="R69:S69"/>
    <mergeCell ref="R70:S70"/>
    <mergeCell ref="R71:S71"/>
    <mergeCell ref="R72:S72"/>
    <mergeCell ref="R63:S63"/>
    <mergeCell ref="R64:S64"/>
    <mergeCell ref="R65:S65"/>
    <mergeCell ref="R66:S66"/>
    <mergeCell ref="R67:S67"/>
    <mergeCell ref="R78:S78"/>
    <mergeCell ref="R79:S79"/>
    <mergeCell ref="R80:S80"/>
    <mergeCell ref="R81:S81"/>
    <mergeCell ref="R82:S82"/>
    <mergeCell ref="R73:S73"/>
    <mergeCell ref="R74:S74"/>
    <mergeCell ref="R75:S75"/>
    <mergeCell ref="R76:S76"/>
    <mergeCell ref="R77:S77"/>
    <mergeCell ref="R88:S88"/>
    <mergeCell ref="R89:S89"/>
    <mergeCell ref="R90:S90"/>
    <mergeCell ref="R91:S91"/>
    <mergeCell ref="R92:S92"/>
    <mergeCell ref="R83:S83"/>
    <mergeCell ref="R84:S84"/>
    <mergeCell ref="R85:S85"/>
    <mergeCell ref="R86:S86"/>
    <mergeCell ref="R87:S87"/>
    <mergeCell ref="R98:S98"/>
    <mergeCell ref="R99:S99"/>
    <mergeCell ref="R100:S100"/>
    <mergeCell ref="R101:S101"/>
    <mergeCell ref="R102:S102"/>
    <mergeCell ref="R93:S93"/>
    <mergeCell ref="R94:S94"/>
    <mergeCell ref="R95:S95"/>
    <mergeCell ref="R96:S96"/>
    <mergeCell ref="R97:S97"/>
    <mergeCell ref="R108:S108"/>
    <mergeCell ref="R109:S109"/>
    <mergeCell ref="R110:S110"/>
    <mergeCell ref="R111:S111"/>
    <mergeCell ref="R112:S112"/>
    <mergeCell ref="R103:S103"/>
    <mergeCell ref="R104:S104"/>
    <mergeCell ref="R105:S105"/>
    <mergeCell ref="R106:S106"/>
    <mergeCell ref="R107:S107"/>
    <mergeCell ref="R118:S118"/>
    <mergeCell ref="R119:S119"/>
    <mergeCell ref="R120:S120"/>
    <mergeCell ref="R121:S121"/>
    <mergeCell ref="R122:S122"/>
    <mergeCell ref="R113:S113"/>
    <mergeCell ref="R114:S114"/>
    <mergeCell ref="R115:S115"/>
    <mergeCell ref="R116:S116"/>
    <mergeCell ref="R117:S117"/>
    <mergeCell ref="R128:S128"/>
    <mergeCell ref="R129:S129"/>
    <mergeCell ref="R130:S130"/>
    <mergeCell ref="R131:S131"/>
    <mergeCell ref="R132:S132"/>
    <mergeCell ref="R123:S123"/>
    <mergeCell ref="R124:S124"/>
    <mergeCell ref="R125:S125"/>
    <mergeCell ref="R126:S126"/>
    <mergeCell ref="R127:S127"/>
    <mergeCell ref="R138:S138"/>
    <mergeCell ref="R139:S139"/>
    <mergeCell ref="R140:S140"/>
    <mergeCell ref="R141:S141"/>
    <mergeCell ref="R142:S142"/>
    <mergeCell ref="R133:S133"/>
    <mergeCell ref="R134:S134"/>
    <mergeCell ref="R135:S135"/>
    <mergeCell ref="R136:S136"/>
    <mergeCell ref="R137:S137"/>
    <mergeCell ref="R148:S148"/>
    <mergeCell ref="R149:S149"/>
    <mergeCell ref="R150:S150"/>
    <mergeCell ref="R151:S151"/>
    <mergeCell ref="R152:S152"/>
    <mergeCell ref="R143:S143"/>
    <mergeCell ref="R144:S144"/>
    <mergeCell ref="R145:S145"/>
    <mergeCell ref="R146:S146"/>
    <mergeCell ref="R147:S147"/>
    <mergeCell ref="R158:S158"/>
    <mergeCell ref="R159:S159"/>
    <mergeCell ref="R160:S160"/>
    <mergeCell ref="R161:S161"/>
    <mergeCell ref="R162:S162"/>
    <mergeCell ref="R153:S153"/>
    <mergeCell ref="R154:S154"/>
    <mergeCell ref="R155:S155"/>
    <mergeCell ref="R156:S156"/>
    <mergeCell ref="R157:S157"/>
    <mergeCell ref="R168:S168"/>
    <mergeCell ref="R169:S169"/>
    <mergeCell ref="R170:S170"/>
    <mergeCell ref="R171:S171"/>
    <mergeCell ref="R172:S172"/>
    <mergeCell ref="R163:S163"/>
    <mergeCell ref="R164:S164"/>
    <mergeCell ref="R165:S165"/>
    <mergeCell ref="R166:S166"/>
    <mergeCell ref="R167:S167"/>
    <mergeCell ref="R178:S178"/>
    <mergeCell ref="R179:S179"/>
    <mergeCell ref="R180:S180"/>
    <mergeCell ref="R181:S181"/>
    <mergeCell ref="R182:S182"/>
    <mergeCell ref="R173:S173"/>
    <mergeCell ref="R174:S174"/>
    <mergeCell ref="R175:S175"/>
    <mergeCell ref="R176:S176"/>
    <mergeCell ref="R177:S177"/>
    <mergeCell ref="R197:S197"/>
    <mergeCell ref="R188:S188"/>
    <mergeCell ref="R189:S189"/>
    <mergeCell ref="R190:S190"/>
    <mergeCell ref="R191:S191"/>
    <mergeCell ref="R192:S192"/>
    <mergeCell ref="R183:S183"/>
    <mergeCell ref="R184:S184"/>
    <mergeCell ref="R185:S185"/>
    <mergeCell ref="R186:S186"/>
    <mergeCell ref="R187:S187"/>
    <mergeCell ref="M26:N44"/>
    <mergeCell ref="R213:S213"/>
    <mergeCell ref="R214:S214"/>
    <mergeCell ref="R215:S215"/>
    <mergeCell ref="R216:S216"/>
    <mergeCell ref="R208:S208"/>
    <mergeCell ref="R209:S209"/>
    <mergeCell ref="R210:S210"/>
    <mergeCell ref="R211:S211"/>
    <mergeCell ref="R212:S212"/>
    <mergeCell ref="R203:S203"/>
    <mergeCell ref="R204:S204"/>
    <mergeCell ref="R205:S205"/>
    <mergeCell ref="R206:S206"/>
    <mergeCell ref="R207:S207"/>
    <mergeCell ref="R198:S198"/>
    <mergeCell ref="R199:S199"/>
    <mergeCell ref="R200:S200"/>
    <mergeCell ref="R201:S201"/>
    <mergeCell ref="R202:S202"/>
    <mergeCell ref="R193:S193"/>
    <mergeCell ref="R194:S194"/>
    <mergeCell ref="R195:S195"/>
    <mergeCell ref="R196:S196"/>
  </mergeCells>
  <printOptions horizontalCentered="1"/>
  <pageMargins left="0.2" right="0.2" top="0.59055118110236204" bottom="0.93" header="0" footer="0.2"/>
  <pageSetup paperSize="9" scale="55"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rowBreaks count="7" manualBreakCount="7">
    <brk id="25" max="15" man="1"/>
    <brk id="44" max="15" man="1"/>
    <brk id="77" max="15" man="1"/>
    <brk id="96" max="15" man="1"/>
    <brk id="116" max="15" man="1"/>
    <brk id="135" max="15" man="1"/>
    <brk id="188" max="15"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T11"/>
  <sheetViews>
    <sheetView rightToLeft="1" view="pageBreakPreview" topLeftCell="B4" zoomScale="70" zoomScaleNormal="100" zoomScaleSheetLayoutView="70" workbookViewId="0">
      <selection activeCell="L7" sqref="L7"/>
    </sheetView>
  </sheetViews>
  <sheetFormatPr defaultColWidth="9" defaultRowHeight="16.899999999999999"/>
  <cols>
    <col min="1" max="1" width="4" style="1" bestFit="1" customWidth="1"/>
    <col min="2" max="2" width="7.875" style="1" customWidth="1"/>
    <col min="3" max="3" width="36.125" style="1" customWidth="1"/>
    <col min="4" max="4" width="18.6875" style="1" customWidth="1"/>
    <col min="5" max="5" width="9.6875" style="1" customWidth="1"/>
    <col min="6" max="6" width="10.125" style="1" customWidth="1"/>
    <col min="7" max="7" width="12" style="1" customWidth="1"/>
    <col min="8" max="8" width="8.3125" style="1" customWidth="1"/>
    <col min="9" max="9" width="13" style="1" customWidth="1"/>
    <col min="10" max="10" width="14.4375" style="1" customWidth="1"/>
    <col min="11" max="11" width="8.3125" style="1" customWidth="1"/>
    <col min="12" max="12" width="18.6875" style="1" customWidth="1"/>
    <col min="13" max="14" width="9.125" style="1" customWidth="1"/>
    <col min="15" max="19" width="10.6875" style="1" customWidth="1"/>
    <col min="20" max="20" width="8.3125" style="1" customWidth="1"/>
    <col min="21" max="16384" width="9" style="1"/>
  </cols>
  <sheetData>
    <row r="1" spans="1:20" ht="20.100000000000001" customHeight="1">
      <c r="A1" s="27"/>
      <c r="B1" s="27"/>
      <c r="C1" s="27"/>
      <c r="D1" s="134" t="s">
        <v>13</v>
      </c>
      <c r="E1" s="136" t="s">
        <v>435</v>
      </c>
      <c r="F1" s="167"/>
      <c r="G1" s="168"/>
      <c r="H1" s="168"/>
      <c r="I1" s="130"/>
      <c r="J1" s="168"/>
      <c r="K1" s="168"/>
      <c r="L1" s="130"/>
      <c r="M1" s="130"/>
      <c r="N1" s="130"/>
      <c r="O1" s="1187" t="s">
        <v>8</v>
      </c>
      <c r="P1" s="1187"/>
      <c r="Q1" s="1087" t="s">
        <v>439</v>
      </c>
      <c r="R1" s="1087"/>
      <c r="S1" s="1087"/>
      <c r="T1" s="1087"/>
    </row>
    <row r="2" spans="1:20" ht="20.100000000000001" customHeight="1">
      <c r="A2" s="27"/>
      <c r="B2" s="27"/>
      <c r="C2" s="27"/>
      <c r="D2" s="134" t="s">
        <v>14</v>
      </c>
      <c r="E2" s="136" t="s">
        <v>17</v>
      </c>
      <c r="F2" s="167"/>
      <c r="G2" s="168"/>
      <c r="H2" s="168"/>
      <c r="I2" s="130"/>
      <c r="J2" s="168"/>
      <c r="K2" s="168"/>
      <c r="L2" s="130"/>
      <c r="M2" s="130"/>
      <c r="N2" s="130"/>
      <c r="O2" s="1187"/>
      <c r="P2" s="1187"/>
      <c r="Q2" s="1087"/>
      <c r="R2" s="1087"/>
      <c r="S2" s="1087"/>
      <c r="T2" s="1087"/>
    </row>
    <row r="3" spans="1:20" ht="39.950000000000003" customHeight="1">
      <c r="A3" s="27"/>
      <c r="B3" s="27"/>
      <c r="C3" s="27"/>
      <c r="D3" s="134" t="s">
        <v>195</v>
      </c>
      <c r="E3" s="136" t="s">
        <v>443</v>
      </c>
      <c r="F3" s="167"/>
      <c r="G3" s="168"/>
      <c r="H3" s="168"/>
      <c r="I3" s="131"/>
      <c r="J3" s="168"/>
      <c r="K3" s="168"/>
      <c r="L3" s="131"/>
      <c r="M3" s="131"/>
      <c r="N3" s="131"/>
      <c r="O3" s="1187" t="s">
        <v>495</v>
      </c>
      <c r="P3" s="1187"/>
      <c r="Q3" s="1224" t="s">
        <v>442</v>
      </c>
      <c r="R3" s="1224"/>
      <c r="S3" s="1224"/>
      <c r="T3" s="1224"/>
    </row>
    <row r="4" spans="1:20" ht="24.95" customHeight="1">
      <c r="A4" s="27"/>
      <c r="B4" s="27"/>
      <c r="C4" s="27"/>
      <c r="D4" s="134" t="s">
        <v>437</v>
      </c>
      <c r="E4" s="1208" t="s">
        <v>892</v>
      </c>
      <c r="F4" s="1208"/>
      <c r="G4" s="1208"/>
      <c r="H4" s="1208"/>
      <c r="I4" s="1208"/>
      <c r="J4" s="1208"/>
      <c r="K4" s="1208"/>
      <c r="L4" s="149"/>
      <c r="M4" s="149"/>
      <c r="N4" s="149"/>
      <c r="O4" s="1187" t="s">
        <v>440</v>
      </c>
      <c r="P4" s="1187"/>
      <c r="Q4" s="1177">
        <f>'خلاصه مالي صورت وضعیت'!H4:H5</f>
        <v>1197477151532</v>
      </c>
      <c r="R4" s="1177"/>
      <c r="S4" s="148"/>
      <c r="T4" s="148"/>
    </row>
    <row r="5" spans="1:20" ht="24.95" customHeight="1">
      <c r="A5" s="150"/>
      <c r="B5" s="150"/>
      <c r="C5" s="150"/>
      <c r="D5" s="140" t="s">
        <v>438</v>
      </c>
      <c r="E5" s="1209" t="str">
        <f>'خلاصه مالي صورت وضعیت'!E5</f>
        <v>1399/06/02</v>
      </c>
      <c r="F5" s="1209"/>
      <c r="G5" s="1209"/>
      <c r="H5" s="1209"/>
      <c r="I5" s="1209"/>
      <c r="J5" s="1209"/>
      <c r="K5" s="1209"/>
      <c r="L5" s="152"/>
      <c r="M5" s="152"/>
      <c r="N5" s="152"/>
      <c r="O5" s="1188"/>
      <c r="P5" s="1188"/>
      <c r="Q5" s="1178"/>
      <c r="R5" s="1178"/>
      <c r="S5" s="153"/>
      <c r="T5" s="153"/>
    </row>
    <row r="6" spans="1:20" ht="86.25" customHeight="1">
      <c r="A6" s="1189" t="s">
        <v>0</v>
      </c>
      <c r="B6" s="1190" t="s">
        <v>1</v>
      </c>
      <c r="C6" s="1192" t="s">
        <v>18</v>
      </c>
      <c r="D6" s="466" t="s">
        <v>2</v>
      </c>
      <c r="E6" s="466" t="s">
        <v>19</v>
      </c>
      <c r="F6" s="1192" t="s">
        <v>205</v>
      </c>
      <c r="G6" s="1199" t="s">
        <v>924</v>
      </c>
      <c r="H6" s="1200"/>
      <c r="I6" s="1201"/>
      <c r="J6" s="1194" t="s">
        <v>919</v>
      </c>
      <c r="K6" s="1195"/>
      <c r="L6" s="1196"/>
      <c r="M6" s="1183" t="s">
        <v>921</v>
      </c>
      <c r="N6" s="1184"/>
      <c r="O6" s="1172" t="s">
        <v>920</v>
      </c>
      <c r="P6" s="1173"/>
      <c r="Q6" s="1174"/>
      <c r="R6" s="1179" t="s">
        <v>922</v>
      </c>
      <c r="S6" s="1180"/>
      <c r="T6" s="1175" t="s">
        <v>193</v>
      </c>
    </row>
    <row r="7" spans="1:20" ht="65.25" customHeight="1">
      <c r="A7" s="1105"/>
      <c r="B7" s="1191"/>
      <c r="C7" s="1193"/>
      <c r="D7" s="1197" t="s">
        <v>923</v>
      </c>
      <c r="E7" s="1198"/>
      <c r="F7" s="1193"/>
      <c r="G7" s="467" t="s">
        <v>203</v>
      </c>
      <c r="H7" s="467" t="s">
        <v>33</v>
      </c>
      <c r="I7" s="467" t="s">
        <v>34</v>
      </c>
      <c r="J7" s="464" t="s">
        <v>203</v>
      </c>
      <c r="K7" s="464" t="s">
        <v>33</v>
      </c>
      <c r="L7" s="464" t="s">
        <v>34</v>
      </c>
      <c r="M7" s="1185"/>
      <c r="N7" s="1186"/>
      <c r="O7" s="465" t="s">
        <v>204</v>
      </c>
      <c r="P7" s="465" t="s">
        <v>33</v>
      </c>
      <c r="Q7" s="465" t="s">
        <v>34</v>
      </c>
      <c r="R7" s="1181"/>
      <c r="S7" s="1182"/>
      <c r="T7" s="1176"/>
    </row>
    <row r="8" spans="1:20" s="141" customFormat="1" ht="50.1" customHeight="1">
      <c r="A8" s="157">
        <v>1</v>
      </c>
      <c r="B8" s="127">
        <v>1.7</v>
      </c>
      <c r="C8" s="251" t="s">
        <v>164</v>
      </c>
      <c r="D8" s="146">
        <f>SUM(D9:D11)</f>
        <v>14369725818.384001</v>
      </c>
      <c r="E8" s="250">
        <f>SUM(E9:E11)</f>
        <v>1.2E-2</v>
      </c>
      <c r="F8" s="184"/>
      <c r="G8" s="529">
        <v>0</v>
      </c>
      <c r="H8" s="530">
        <v>0</v>
      </c>
      <c r="I8" s="531">
        <v>0</v>
      </c>
      <c r="J8" s="248">
        <f>L8/D8</f>
        <v>1</v>
      </c>
      <c r="K8" s="286">
        <f t="shared" ref="K8:K11" si="0">J8*E8</f>
        <v>1.2E-2</v>
      </c>
      <c r="L8" s="253">
        <f>L9+L10+L11</f>
        <v>14369725818.384001</v>
      </c>
      <c r="M8" s="1279"/>
      <c r="N8" s="1280"/>
      <c r="O8" s="249">
        <f>Q8/D8</f>
        <v>0</v>
      </c>
      <c r="P8" s="357">
        <f>SUM(P9:P11)</f>
        <v>0</v>
      </c>
      <c r="Q8" s="354">
        <f>SUM(Q9:Q11)</f>
        <v>0</v>
      </c>
      <c r="R8" s="1281"/>
      <c r="S8" s="1282"/>
      <c r="T8" s="154"/>
    </row>
    <row r="9" spans="1:20" s="155" customFormat="1" ht="50.1" customHeight="1">
      <c r="A9" s="157">
        <v>2</v>
      </c>
      <c r="B9" s="126" t="s">
        <v>165</v>
      </c>
      <c r="C9" s="252" t="s">
        <v>166</v>
      </c>
      <c r="D9" s="158">
        <f>E9*$Q$4</f>
        <v>5987385757.6599998</v>
      </c>
      <c r="E9" s="186">
        <v>5.0000000000000001E-3</v>
      </c>
      <c r="F9" s="185"/>
      <c r="G9" s="532">
        <v>0</v>
      </c>
      <c r="H9" s="533">
        <v>0</v>
      </c>
      <c r="I9" s="534">
        <v>0</v>
      </c>
      <c r="J9" s="437">
        <v>1</v>
      </c>
      <c r="K9" s="287">
        <f t="shared" si="0"/>
        <v>5.0000000000000001E-3</v>
      </c>
      <c r="L9" s="254">
        <f>K9*$Q$4</f>
        <v>5987385757.6599998</v>
      </c>
      <c r="M9" s="1279"/>
      <c r="N9" s="1280"/>
      <c r="O9" s="438"/>
      <c r="P9" s="355">
        <f>O9*E9</f>
        <v>0</v>
      </c>
      <c r="Q9" s="356">
        <f>O9*D9</f>
        <v>0</v>
      </c>
      <c r="R9" s="1281"/>
      <c r="S9" s="1282"/>
      <c r="T9" s="159"/>
    </row>
    <row r="10" spans="1:20" s="155" customFormat="1" ht="50.1" customHeight="1">
      <c r="A10" s="157">
        <v>3</v>
      </c>
      <c r="B10" s="126" t="s">
        <v>167</v>
      </c>
      <c r="C10" s="252" t="s">
        <v>168</v>
      </c>
      <c r="D10" s="158">
        <f>E10*$Q$4</f>
        <v>3592431454.5960002</v>
      </c>
      <c r="E10" s="186">
        <v>3.0000000000000001E-3</v>
      </c>
      <c r="F10" s="185"/>
      <c r="G10" s="532">
        <v>0</v>
      </c>
      <c r="H10" s="535">
        <v>0</v>
      </c>
      <c r="I10" s="536">
        <v>0</v>
      </c>
      <c r="J10" s="437">
        <v>1</v>
      </c>
      <c r="K10" s="288">
        <f t="shared" si="0"/>
        <v>3.0000000000000001E-3</v>
      </c>
      <c r="L10" s="255">
        <f>K10*$Q$4</f>
        <v>3592431454.5960002</v>
      </c>
      <c r="M10" s="1279"/>
      <c r="N10" s="1280"/>
      <c r="O10" s="439"/>
      <c r="P10" s="355">
        <f>O10*E10</f>
        <v>0</v>
      </c>
      <c r="Q10" s="356">
        <f>O10*D10</f>
        <v>0</v>
      </c>
      <c r="R10" s="1281"/>
      <c r="S10" s="1282"/>
      <c r="T10" s="159"/>
    </row>
    <row r="11" spans="1:20" s="155" customFormat="1" ht="50.1" customHeight="1">
      <c r="A11" s="157">
        <v>4</v>
      </c>
      <c r="B11" s="126" t="s">
        <v>169</v>
      </c>
      <c r="C11" s="252" t="s">
        <v>170</v>
      </c>
      <c r="D11" s="158">
        <f>E11*$Q$4</f>
        <v>4789908606.1280003</v>
      </c>
      <c r="E11" s="186">
        <v>4.0000000000000001E-3</v>
      </c>
      <c r="F11" s="185"/>
      <c r="G11" s="532">
        <v>0</v>
      </c>
      <c r="H11" s="535">
        <v>0</v>
      </c>
      <c r="I11" s="536">
        <v>0</v>
      </c>
      <c r="J11" s="437">
        <v>1</v>
      </c>
      <c r="K11" s="288">
        <f t="shared" si="0"/>
        <v>4.0000000000000001E-3</v>
      </c>
      <c r="L11" s="255">
        <f>K11*$Q$4</f>
        <v>4789908606.1280003</v>
      </c>
      <c r="M11" s="1279"/>
      <c r="N11" s="1280"/>
      <c r="O11" s="439"/>
      <c r="P11" s="355">
        <f>O11*E11</f>
        <v>0</v>
      </c>
      <c r="Q11" s="356">
        <f>O11*D11</f>
        <v>0</v>
      </c>
      <c r="R11" s="1281"/>
      <c r="S11" s="1282"/>
      <c r="T11" s="159"/>
    </row>
  </sheetData>
  <mergeCells count="27">
    <mergeCell ref="A6:A7"/>
    <mergeCell ref="B6:B7"/>
    <mergeCell ref="C6:C7"/>
    <mergeCell ref="D7:E7"/>
    <mergeCell ref="Q1:T2"/>
    <mergeCell ref="Q3:T3"/>
    <mergeCell ref="F6:F7"/>
    <mergeCell ref="J6:L6"/>
    <mergeCell ref="T6:T7"/>
    <mergeCell ref="O6:Q6"/>
    <mergeCell ref="E4:K4"/>
    <mergeCell ref="E5:K5"/>
    <mergeCell ref="O1:P2"/>
    <mergeCell ref="O3:P3"/>
    <mergeCell ref="O4:P5"/>
    <mergeCell ref="G6:I6"/>
    <mergeCell ref="Q4:R5"/>
    <mergeCell ref="M10:N10"/>
    <mergeCell ref="M11:N11"/>
    <mergeCell ref="R8:S8"/>
    <mergeCell ref="R9:S9"/>
    <mergeCell ref="R10:S10"/>
    <mergeCell ref="R11:S11"/>
    <mergeCell ref="R6:S7"/>
    <mergeCell ref="M6:N7"/>
    <mergeCell ref="M8:N8"/>
    <mergeCell ref="M9:N9"/>
  </mergeCells>
  <printOptions horizontalCentered="1"/>
  <pageMargins left="0.2" right="0.2" top="0.59055118110236204" bottom="0.98425196850393704" header="0" footer="0.39370078740157499"/>
  <pageSetup paperSize="9" scale="60" orientation="landscape" r:id="rId1"/>
  <headerFooter scaleWithDoc="0">
    <oddFooter xml:space="preserve">&amp;L&amp;"B Nazanin,Bold"&amp;10مهر و امضا کارفرما
راه‏آهن جمهوری اسلامی ایران
&amp;C&amp;"B Nazanin,Bold"&amp;10مهر و امضا مشاور زیر بنایی
مهندسین مشاور صحن بوستان
صفحه &amp;P از &amp;N&amp;R&amp;"B Nazanin,Bold"&amp;10مهر و امضا گروه مشارکت
تکنیک-پل‏رود-کنکاوان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33"/>
  <sheetViews>
    <sheetView rightToLeft="1" view="pageBreakPreview" topLeftCell="A15" zoomScale="85" zoomScaleNormal="100" zoomScaleSheetLayoutView="85" workbookViewId="0">
      <selection activeCell="F21" sqref="F21:F24"/>
    </sheetView>
  </sheetViews>
  <sheetFormatPr defaultColWidth="9" defaultRowHeight="16.899999999999999"/>
  <cols>
    <col min="1" max="1" width="6.875" style="133" customWidth="1"/>
    <col min="2" max="2" width="8.125" style="1" customWidth="1"/>
    <col min="3" max="3" width="64.3125" style="1" customWidth="1"/>
    <col min="4" max="4" width="10.875" style="1" customWidth="1"/>
    <col min="5" max="5" width="28.6875" style="1" customWidth="1"/>
    <col min="6" max="6" width="24.6875" style="1" customWidth="1"/>
    <col min="7" max="7" width="27.4375" style="1" customWidth="1"/>
    <col min="8" max="8" width="16.3125" style="1" bestFit="1" customWidth="1"/>
    <col min="9" max="16384" width="9" style="1"/>
  </cols>
  <sheetData>
    <row r="1" spans="1:7" s="191" customFormat="1" ht="16.5" customHeight="1">
      <c r="A1" s="189"/>
      <c r="B1" s="190"/>
      <c r="C1" s="1283" t="s">
        <v>567</v>
      </c>
      <c r="D1" s="1286"/>
      <c r="E1" s="1286"/>
    </row>
    <row r="2" spans="1:7" s="191" customFormat="1" ht="24.95" customHeight="1">
      <c r="A2" s="192"/>
      <c r="B2" s="193"/>
      <c r="C2" s="1284"/>
      <c r="D2" s="1287"/>
      <c r="E2" s="1287"/>
    </row>
    <row r="3" spans="1:7" s="191" customFormat="1" ht="24.95" customHeight="1">
      <c r="A3" s="194"/>
      <c r="B3" s="193"/>
      <c r="C3" s="1284"/>
      <c r="D3" s="1288" t="s">
        <v>568</v>
      </c>
      <c r="E3" s="1289"/>
    </row>
    <row r="4" spans="1:7" s="191" customFormat="1" ht="23.25" customHeight="1">
      <c r="A4" s="1290" t="s">
        <v>569</v>
      </c>
      <c r="B4" s="1290"/>
      <c r="C4" s="1285"/>
      <c r="D4" s="1290" t="s">
        <v>570</v>
      </c>
      <c r="E4" s="1290"/>
    </row>
    <row r="5" spans="1:7" ht="43.5" customHeight="1">
      <c r="A5" s="195" t="s">
        <v>0</v>
      </c>
      <c r="B5" s="196" t="s">
        <v>1</v>
      </c>
      <c r="C5" s="197" t="s">
        <v>18</v>
      </c>
      <c r="D5" s="197" t="s">
        <v>19</v>
      </c>
      <c r="E5" s="197" t="s">
        <v>571</v>
      </c>
      <c r="F5" s="198" t="s">
        <v>572</v>
      </c>
      <c r="G5" s="61"/>
    </row>
    <row r="6" spans="1:7" customFormat="1" ht="30" customHeight="1">
      <c r="A6" s="199">
        <v>1</v>
      </c>
      <c r="B6" s="200">
        <v>1</v>
      </c>
      <c r="C6" s="201" t="s">
        <v>573</v>
      </c>
      <c r="D6" s="202">
        <f>D7+D8+D9+D49+D102+D118+D330</f>
        <v>1</v>
      </c>
      <c r="E6" s="203">
        <f>E9+E49+E102+E118+E330</f>
        <v>1197477151532.0002</v>
      </c>
      <c r="F6" s="204">
        <v>1197477151532</v>
      </c>
      <c r="G6" s="205">
        <f>F6-E6</f>
        <v>0</v>
      </c>
    </row>
    <row r="7" spans="1:7" customFormat="1" ht="30" customHeight="1">
      <c r="A7" s="206">
        <v>2</v>
      </c>
      <c r="B7" s="207">
        <v>1.1000000000000001</v>
      </c>
      <c r="C7" s="208" t="s">
        <v>172</v>
      </c>
      <c r="D7" s="209">
        <v>0</v>
      </c>
      <c r="E7" s="210">
        <f t="shared" ref="E7:E8" si="0">1197477151532*D7</f>
        <v>0</v>
      </c>
      <c r="G7" s="205"/>
    </row>
    <row r="8" spans="1:7" customFormat="1" ht="30" customHeight="1">
      <c r="A8" s="206">
        <v>3</v>
      </c>
      <c r="B8" s="207">
        <v>1.2</v>
      </c>
      <c r="C8" s="208" t="s">
        <v>574</v>
      </c>
      <c r="D8" s="209">
        <v>0</v>
      </c>
      <c r="E8" s="210">
        <f t="shared" si="0"/>
        <v>0</v>
      </c>
      <c r="G8" s="205"/>
    </row>
    <row r="9" spans="1:7" customFormat="1" ht="30" customHeight="1">
      <c r="A9" s="206">
        <v>4</v>
      </c>
      <c r="B9" s="207">
        <v>1.3</v>
      </c>
      <c r="C9" s="208" t="s">
        <v>455</v>
      </c>
      <c r="D9" s="209">
        <f>D10+D20+D26+D38</f>
        <v>5.1000000000050102E-2</v>
      </c>
      <c r="E9" s="210">
        <f t="shared" ref="E9:E72" si="1">$F$6*D9</f>
        <v>61071334728.191994</v>
      </c>
      <c r="F9" s="211"/>
      <c r="G9" s="205"/>
    </row>
    <row r="10" spans="1:7" s="217" customFormat="1" ht="30" customHeight="1">
      <c r="A10" s="212">
        <v>5</v>
      </c>
      <c r="B10" s="213" t="s">
        <v>21</v>
      </c>
      <c r="C10" s="214" t="s">
        <v>456</v>
      </c>
      <c r="D10" s="215">
        <f>SUM(D11:D19)</f>
        <v>5.0000000002839301E-3</v>
      </c>
      <c r="E10" s="216">
        <f t="shared" si="1"/>
        <v>5987385758</v>
      </c>
      <c r="G10" s="205"/>
    </row>
    <row r="11" spans="1:7" s="217" customFormat="1" ht="24.95" customHeight="1">
      <c r="A11" s="218">
        <v>6</v>
      </c>
      <c r="B11" s="219" t="s">
        <v>22</v>
      </c>
      <c r="C11" s="220" t="s">
        <v>575</v>
      </c>
      <c r="D11" s="240">
        <v>0</v>
      </c>
      <c r="E11" s="222">
        <f t="shared" si="1"/>
        <v>0</v>
      </c>
      <c r="G11" s="205"/>
    </row>
    <row r="12" spans="1:7" s="217" customFormat="1" ht="24.95" customHeight="1">
      <c r="A12" s="218">
        <v>7</v>
      </c>
      <c r="B12" s="219" t="s">
        <v>23</v>
      </c>
      <c r="C12" s="220" t="s">
        <v>576</v>
      </c>
      <c r="D12" s="240">
        <v>3.5000000028392999E-4</v>
      </c>
      <c r="E12" s="222">
        <f t="shared" si="1"/>
        <v>419117003.37619966</v>
      </c>
      <c r="G12" s="205"/>
    </row>
    <row r="13" spans="1:7" s="217" customFormat="1" ht="39.950000000000003" customHeight="1">
      <c r="A13" s="218">
        <v>8</v>
      </c>
      <c r="B13" s="219" t="s">
        <v>24</v>
      </c>
      <c r="C13" s="220" t="s">
        <v>577</v>
      </c>
      <c r="D13" s="240">
        <v>7.5000000000000002E-4</v>
      </c>
      <c r="E13" s="222">
        <f t="shared" si="1"/>
        <v>898107863.64900005</v>
      </c>
      <c r="G13" s="205"/>
    </row>
    <row r="14" spans="1:7" s="217" customFormat="1" ht="39.950000000000003" customHeight="1">
      <c r="A14" s="218">
        <v>9</v>
      </c>
      <c r="B14" s="219" t="s">
        <v>25</v>
      </c>
      <c r="C14" s="220" t="s">
        <v>578</v>
      </c>
      <c r="D14" s="240">
        <v>1.2999999999999999E-3</v>
      </c>
      <c r="E14" s="222">
        <f t="shared" si="1"/>
        <v>1556720296.9916</v>
      </c>
      <c r="G14" s="205"/>
    </row>
    <row r="15" spans="1:7" s="217" customFormat="1" ht="39.950000000000003" customHeight="1">
      <c r="A15" s="218">
        <v>10</v>
      </c>
      <c r="B15" s="219" t="s">
        <v>26</v>
      </c>
      <c r="C15" s="220" t="s">
        <v>579</v>
      </c>
      <c r="D15" s="240">
        <v>5.0000000000000001E-4</v>
      </c>
      <c r="E15" s="222">
        <f t="shared" si="1"/>
        <v>598738575.76600003</v>
      </c>
      <c r="G15" s="205"/>
    </row>
    <row r="16" spans="1:7" s="217" customFormat="1" ht="39.950000000000003" customHeight="1">
      <c r="A16" s="218">
        <v>11</v>
      </c>
      <c r="B16" s="219" t="s">
        <v>27</v>
      </c>
      <c r="C16" s="220" t="s">
        <v>580</v>
      </c>
      <c r="D16" s="240">
        <v>2.9999999999999997E-4</v>
      </c>
      <c r="E16" s="222">
        <f t="shared" si="1"/>
        <v>359243145.45959997</v>
      </c>
      <c r="G16" s="205"/>
    </row>
    <row r="17" spans="1:7" s="217" customFormat="1" ht="39.950000000000003" customHeight="1">
      <c r="A17" s="218">
        <v>12</v>
      </c>
      <c r="B17" s="219" t="s">
        <v>28</v>
      </c>
      <c r="C17" s="223" t="s">
        <v>581</v>
      </c>
      <c r="D17" s="240">
        <v>1.5E-3</v>
      </c>
      <c r="E17" s="222">
        <f t="shared" si="1"/>
        <v>1796215727.2980001</v>
      </c>
      <c r="G17" s="205"/>
    </row>
    <row r="18" spans="1:7" s="217" customFormat="1" ht="24.95" customHeight="1">
      <c r="A18" s="218">
        <v>13</v>
      </c>
      <c r="B18" s="219" t="s">
        <v>29</v>
      </c>
      <c r="C18" s="220" t="s">
        <v>582</v>
      </c>
      <c r="D18" s="240">
        <v>2.9999999999999997E-4</v>
      </c>
      <c r="E18" s="222">
        <f t="shared" si="1"/>
        <v>359243145.45959997</v>
      </c>
      <c r="G18" s="205"/>
    </row>
    <row r="19" spans="1:7" s="217" customFormat="1" ht="24.95" customHeight="1">
      <c r="A19" s="218">
        <v>14</v>
      </c>
      <c r="B19" s="219" t="s">
        <v>30</v>
      </c>
      <c r="C19" s="220" t="s">
        <v>583</v>
      </c>
      <c r="D19" s="240">
        <v>0</v>
      </c>
      <c r="E19" s="222">
        <f t="shared" si="1"/>
        <v>0</v>
      </c>
      <c r="G19" s="205"/>
    </row>
    <row r="20" spans="1:7" s="217" customFormat="1" ht="30" customHeight="1">
      <c r="A20" s="212">
        <v>15</v>
      </c>
      <c r="B20" s="213" t="s">
        <v>38</v>
      </c>
      <c r="C20" s="214" t="s">
        <v>37</v>
      </c>
      <c r="D20" s="215">
        <f>SUM(D21:D25)</f>
        <v>6.0000000000000001E-3</v>
      </c>
      <c r="E20" s="216">
        <f t="shared" si="1"/>
        <v>7184862909.1920004</v>
      </c>
      <c r="G20" s="205"/>
    </row>
    <row r="21" spans="1:7" s="217" customFormat="1" ht="24.95" customHeight="1">
      <c r="A21" s="218">
        <v>16</v>
      </c>
      <c r="B21" s="219" t="s">
        <v>39</v>
      </c>
      <c r="C21" s="220" t="s">
        <v>464</v>
      </c>
      <c r="D21" s="240">
        <v>8.9999999999999998E-4</v>
      </c>
      <c r="E21" s="222">
        <f t="shared" si="1"/>
        <v>1077729436.3787999</v>
      </c>
      <c r="F21" s="217">
        <v>1E-3</v>
      </c>
      <c r="G21" s="205"/>
    </row>
    <row r="22" spans="1:7" s="217" customFormat="1" ht="24.95" customHeight="1">
      <c r="A22" s="218">
        <v>17</v>
      </c>
      <c r="B22" s="219" t="s">
        <v>40</v>
      </c>
      <c r="C22" s="220" t="s">
        <v>465</v>
      </c>
      <c r="D22" s="240">
        <v>8.9999999999999998E-4</v>
      </c>
      <c r="E22" s="222">
        <f t="shared" si="1"/>
        <v>1077729436.3787999</v>
      </c>
      <c r="F22" s="217">
        <v>1E-3</v>
      </c>
      <c r="G22" s="205"/>
    </row>
    <row r="23" spans="1:7" s="217" customFormat="1" ht="24.95" customHeight="1">
      <c r="A23" s="218">
        <v>18</v>
      </c>
      <c r="B23" s="219" t="s">
        <v>41</v>
      </c>
      <c r="C23" s="220" t="s">
        <v>466</v>
      </c>
      <c r="D23" s="240">
        <v>8.9999999999999998E-4</v>
      </c>
      <c r="E23" s="222">
        <f t="shared" si="1"/>
        <v>1077729436.3787999</v>
      </c>
      <c r="F23" s="217">
        <v>1E-3</v>
      </c>
      <c r="G23" s="205"/>
    </row>
    <row r="24" spans="1:7" s="217" customFormat="1" ht="24.95" customHeight="1">
      <c r="A24" s="218">
        <v>19</v>
      </c>
      <c r="B24" s="219" t="s">
        <v>42</v>
      </c>
      <c r="C24" s="220" t="s">
        <v>43</v>
      </c>
      <c r="D24" s="240">
        <v>2E-3</v>
      </c>
      <c r="E24" s="222">
        <f t="shared" si="1"/>
        <v>2394954303.0640001</v>
      </c>
      <c r="F24" s="217">
        <v>3.0000000000000001E-3</v>
      </c>
      <c r="G24" s="205"/>
    </row>
    <row r="25" spans="1:7" s="217" customFormat="1" ht="24.95" customHeight="1">
      <c r="A25" s="218">
        <v>20</v>
      </c>
      <c r="B25" s="219" t="s">
        <v>584</v>
      </c>
      <c r="C25" s="220" t="s">
        <v>67</v>
      </c>
      <c r="D25" s="240">
        <v>1.2999999999999999E-3</v>
      </c>
      <c r="E25" s="222">
        <f t="shared" si="1"/>
        <v>1556720296.9916</v>
      </c>
      <c r="F25" s="273">
        <v>1.6999999999963253E-3</v>
      </c>
      <c r="G25" s="205"/>
    </row>
    <row r="26" spans="1:7" s="217" customFormat="1" ht="30" customHeight="1">
      <c r="A26" s="212">
        <v>21</v>
      </c>
      <c r="B26" s="213" t="s">
        <v>44</v>
      </c>
      <c r="C26" s="214" t="s">
        <v>57</v>
      </c>
      <c r="D26" s="215">
        <f>SUM(D27:D37)</f>
        <v>1.6999999999963256E-2</v>
      </c>
      <c r="E26" s="216">
        <f t="shared" si="1"/>
        <v>20357111576</v>
      </c>
      <c r="G26" s="205"/>
    </row>
    <row r="27" spans="1:7" s="217" customFormat="1" ht="24.95" customHeight="1">
      <c r="A27" s="218">
        <v>22</v>
      </c>
      <c r="B27" s="219" t="s">
        <v>45</v>
      </c>
      <c r="C27" s="220" t="s">
        <v>585</v>
      </c>
      <c r="D27" s="240">
        <v>0</v>
      </c>
      <c r="E27" s="222">
        <f t="shared" si="1"/>
        <v>0</v>
      </c>
      <c r="F27" s="217">
        <v>0</v>
      </c>
      <c r="G27" s="205"/>
    </row>
    <row r="28" spans="1:7" s="217" customFormat="1" ht="24.95" customHeight="1">
      <c r="A28" s="218">
        <v>23</v>
      </c>
      <c r="B28" s="219" t="s">
        <v>46</v>
      </c>
      <c r="C28" s="220" t="s">
        <v>467</v>
      </c>
      <c r="D28" s="240">
        <v>3.9999999999632552E-3</v>
      </c>
      <c r="E28" s="222">
        <f t="shared" si="1"/>
        <v>4789908606.0839987</v>
      </c>
      <c r="F28" s="217">
        <v>2.5499999999944881E-3</v>
      </c>
      <c r="G28" s="205"/>
    </row>
    <row r="29" spans="1:7" s="217" customFormat="1" ht="24.95" customHeight="1">
      <c r="A29" s="218">
        <v>24</v>
      </c>
      <c r="B29" s="219" t="s">
        <v>47</v>
      </c>
      <c r="C29" s="220" t="s">
        <v>61</v>
      </c>
      <c r="D29" s="240">
        <v>1E-3</v>
      </c>
      <c r="E29" s="222">
        <f t="shared" si="1"/>
        <v>1197477151.5320001</v>
      </c>
      <c r="F29" s="217">
        <v>1.0199999999977955E-3</v>
      </c>
      <c r="G29" s="205"/>
    </row>
    <row r="30" spans="1:7" s="217" customFormat="1" ht="39.950000000000003" customHeight="1">
      <c r="A30" s="218">
        <v>25</v>
      </c>
      <c r="B30" s="219" t="s">
        <v>48</v>
      </c>
      <c r="C30" s="220" t="s">
        <v>62</v>
      </c>
      <c r="D30" s="240">
        <v>3.4999999999999996E-3</v>
      </c>
      <c r="E30" s="222">
        <f t="shared" si="1"/>
        <v>4191170030.3619995</v>
      </c>
      <c r="F30" s="217">
        <v>2.5499999999944881E-3</v>
      </c>
      <c r="G30" s="205"/>
    </row>
    <row r="31" spans="1:7" s="217" customFormat="1" ht="24.95" customHeight="1">
      <c r="A31" s="218">
        <v>26</v>
      </c>
      <c r="B31" s="219" t="s">
        <v>49</v>
      </c>
      <c r="C31" s="220" t="s">
        <v>63</v>
      </c>
      <c r="D31" s="240">
        <v>1.5E-3</v>
      </c>
      <c r="E31" s="222">
        <f t="shared" si="1"/>
        <v>1796215727.2980001</v>
      </c>
      <c r="F31" s="217">
        <v>1.6999999999963253E-3</v>
      </c>
      <c r="G31" s="205"/>
    </row>
    <row r="32" spans="1:7" s="217" customFormat="1" ht="24.95" customHeight="1">
      <c r="A32" s="218">
        <v>27</v>
      </c>
      <c r="B32" s="219" t="s">
        <v>50</v>
      </c>
      <c r="C32" s="220" t="s">
        <v>64</v>
      </c>
      <c r="D32" s="240">
        <v>1.5E-3</v>
      </c>
      <c r="E32" s="222">
        <f t="shared" si="1"/>
        <v>1796215727.2980001</v>
      </c>
      <c r="F32" s="217">
        <v>1.5299999999966929E-3</v>
      </c>
      <c r="G32" s="205"/>
    </row>
    <row r="33" spans="1:7" s="217" customFormat="1" ht="24.95" customHeight="1">
      <c r="A33" s="218">
        <v>28</v>
      </c>
      <c r="B33" s="219" t="s">
        <v>51</v>
      </c>
      <c r="C33" s="220" t="s">
        <v>65</v>
      </c>
      <c r="D33" s="240">
        <v>5.0000000000000001E-4</v>
      </c>
      <c r="E33" s="222">
        <f t="shared" si="1"/>
        <v>598738575.76600003</v>
      </c>
      <c r="F33" s="217">
        <v>5.0999999999889773E-4</v>
      </c>
      <c r="G33" s="205"/>
    </row>
    <row r="34" spans="1:7" s="217" customFormat="1" ht="24.95" customHeight="1">
      <c r="A34" s="218">
        <v>29</v>
      </c>
      <c r="B34" s="219" t="s">
        <v>52</v>
      </c>
      <c r="C34" s="220" t="s">
        <v>58</v>
      </c>
      <c r="D34" s="240">
        <v>5.0000000000000001E-4</v>
      </c>
      <c r="E34" s="222">
        <f t="shared" si="1"/>
        <v>598738575.76600003</v>
      </c>
      <c r="F34" s="217">
        <v>1.6999999999963253E-3</v>
      </c>
      <c r="G34" s="205"/>
    </row>
    <row r="35" spans="1:7" s="217" customFormat="1" ht="24.95" customHeight="1">
      <c r="A35" s="218">
        <v>30</v>
      </c>
      <c r="B35" s="219" t="s">
        <v>53</v>
      </c>
      <c r="C35" s="220" t="s">
        <v>59</v>
      </c>
      <c r="D35" s="240">
        <v>4.0000000000000001E-3</v>
      </c>
      <c r="E35" s="222">
        <f t="shared" si="1"/>
        <v>4789908606.1280003</v>
      </c>
      <c r="F35" s="217">
        <v>2.5499999999944881E-3</v>
      </c>
      <c r="G35" s="205"/>
    </row>
    <row r="36" spans="1:7" s="217" customFormat="1" ht="24.95" customHeight="1">
      <c r="A36" s="218">
        <v>31</v>
      </c>
      <c r="B36" s="219" t="s">
        <v>54</v>
      </c>
      <c r="C36" s="220" t="s">
        <v>66</v>
      </c>
      <c r="D36" s="240">
        <v>5.0000000000000001E-4</v>
      </c>
      <c r="E36" s="222">
        <f t="shared" si="1"/>
        <v>598738575.76600003</v>
      </c>
      <c r="F36" s="217">
        <v>1.1899999999974279E-3</v>
      </c>
      <c r="G36" s="205"/>
    </row>
    <row r="37" spans="1:7" s="217" customFormat="1" ht="24.95" customHeight="1">
      <c r="A37" s="218">
        <v>32</v>
      </c>
      <c r="B37" s="219" t="s">
        <v>55</v>
      </c>
      <c r="C37" s="220" t="s">
        <v>60</v>
      </c>
      <c r="D37" s="240">
        <v>0</v>
      </c>
      <c r="E37" s="222">
        <f t="shared" si="1"/>
        <v>0</v>
      </c>
      <c r="F37" s="235">
        <v>0</v>
      </c>
      <c r="G37" s="205"/>
    </row>
    <row r="38" spans="1:7" s="217" customFormat="1" ht="30" customHeight="1">
      <c r="A38" s="212">
        <v>33</v>
      </c>
      <c r="B38" s="213" t="s">
        <v>75</v>
      </c>
      <c r="C38" s="214" t="s">
        <v>444</v>
      </c>
      <c r="D38" s="215">
        <f>SUM(D39:D48)</f>
        <v>2.2999999999802918E-2</v>
      </c>
      <c r="E38" s="216">
        <f t="shared" si="1"/>
        <v>27541974485</v>
      </c>
      <c r="G38" s="205"/>
    </row>
    <row r="39" spans="1:7" s="217" customFormat="1" ht="24.95" customHeight="1">
      <c r="A39" s="218">
        <v>34</v>
      </c>
      <c r="B39" s="219" t="s">
        <v>76</v>
      </c>
      <c r="C39" s="220" t="s">
        <v>586</v>
      </c>
      <c r="D39" s="240">
        <v>1.1499999999901457E-3</v>
      </c>
      <c r="E39" s="222">
        <f t="shared" si="1"/>
        <v>1377098724.2499998</v>
      </c>
      <c r="G39" s="205"/>
    </row>
    <row r="40" spans="1:7" s="217" customFormat="1" ht="24.95" customHeight="1">
      <c r="A40" s="218">
        <v>35</v>
      </c>
      <c r="B40" s="219" t="s">
        <v>77</v>
      </c>
      <c r="C40" s="220" t="s">
        <v>69</v>
      </c>
      <c r="D40" s="240">
        <v>6.8999999999408744E-3</v>
      </c>
      <c r="E40" s="222">
        <f t="shared" si="1"/>
        <v>8262592345.4999981</v>
      </c>
      <c r="G40" s="205"/>
    </row>
    <row r="41" spans="1:7" s="217" customFormat="1" ht="24.95" customHeight="1">
      <c r="A41" s="218">
        <v>36</v>
      </c>
      <c r="B41" s="219" t="s">
        <v>78</v>
      </c>
      <c r="C41" s="220" t="s">
        <v>70</v>
      </c>
      <c r="D41" s="240">
        <v>5.7499999999507286E-3</v>
      </c>
      <c r="E41" s="222">
        <f t="shared" si="1"/>
        <v>6885493621.2499981</v>
      </c>
      <c r="G41" s="205"/>
    </row>
    <row r="42" spans="1:7" s="217" customFormat="1" ht="24.95" customHeight="1">
      <c r="A42" s="218">
        <v>37</v>
      </c>
      <c r="B42" s="219" t="s">
        <v>79</v>
      </c>
      <c r="C42" s="220" t="s">
        <v>71</v>
      </c>
      <c r="D42" s="240">
        <v>2.2999999999802913E-3</v>
      </c>
      <c r="E42" s="222">
        <f t="shared" si="1"/>
        <v>2754197448.4999995</v>
      </c>
      <c r="G42" s="205"/>
    </row>
    <row r="43" spans="1:7" s="217" customFormat="1" ht="24.95" customHeight="1">
      <c r="A43" s="218">
        <v>38</v>
      </c>
      <c r="B43" s="219" t="s">
        <v>80</v>
      </c>
      <c r="C43" s="220" t="s">
        <v>72</v>
      </c>
      <c r="D43" s="240">
        <v>2.2999999999802913E-3</v>
      </c>
      <c r="E43" s="222">
        <f t="shared" si="1"/>
        <v>2754197448.4999995</v>
      </c>
      <c r="G43" s="205"/>
    </row>
    <row r="44" spans="1:7" s="217" customFormat="1" ht="24.95" customHeight="1">
      <c r="A44" s="218">
        <v>39</v>
      </c>
      <c r="B44" s="219" t="s">
        <v>81</v>
      </c>
      <c r="C44" s="220" t="s">
        <v>434</v>
      </c>
      <c r="D44" s="240">
        <v>3.4499999999704372E-3</v>
      </c>
      <c r="E44" s="222">
        <f t="shared" si="1"/>
        <v>4131296172.749999</v>
      </c>
      <c r="G44" s="205"/>
    </row>
    <row r="45" spans="1:7" s="217" customFormat="1" ht="39.950000000000003" customHeight="1">
      <c r="A45" s="218">
        <v>40</v>
      </c>
      <c r="B45" s="219" t="s">
        <v>82</v>
      </c>
      <c r="C45" s="220" t="s">
        <v>587</v>
      </c>
      <c r="D45" s="240">
        <v>2.2999999999802914E-4</v>
      </c>
      <c r="E45" s="222">
        <f t="shared" si="1"/>
        <v>275419744.84999996</v>
      </c>
      <c r="G45" s="205"/>
    </row>
    <row r="46" spans="1:7" s="217" customFormat="1" ht="39.950000000000003" customHeight="1">
      <c r="A46" s="218">
        <v>41</v>
      </c>
      <c r="B46" s="219" t="s">
        <v>83</v>
      </c>
      <c r="C46" s="220" t="s">
        <v>433</v>
      </c>
      <c r="D46" s="240">
        <v>4.5999999999605829E-4</v>
      </c>
      <c r="E46" s="222">
        <f t="shared" si="1"/>
        <v>550839489.69999993</v>
      </c>
      <c r="G46" s="205"/>
    </row>
    <row r="47" spans="1:7" s="217" customFormat="1" ht="24.95" customHeight="1">
      <c r="A47" s="218">
        <v>42</v>
      </c>
      <c r="B47" s="219" t="s">
        <v>84</v>
      </c>
      <c r="C47" s="220" t="s">
        <v>73</v>
      </c>
      <c r="D47" s="240">
        <v>2.2999999999802914E-4</v>
      </c>
      <c r="E47" s="222">
        <f t="shared" si="1"/>
        <v>275419744.84999996</v>
      </c>
      <c r="G47" s="205"/>
    </row>
    <row r="48" spans="1:7" s="217" customFormat="1" ht="39.950000000000003" customHeight="1">
      <c r="A48" s="218">
        <v>43</v>
      </c>
      <c r="B48" s="219" t="s">
        <v>85</v>
      </c>
      <c r="C48" s="220" t="s">
        <v>588</v>
      </c>
      <c r="D48" s="240">
        <v>2.2999999999802914E-4</v>
      </c>
      <c r="E48" s="222">
        <f t="shared" si="1"/>
        <v>275419744.84999996</v>
      </c>
      <c r="F48" s="211"/>
      <c r="G48" s="205"/>
    </row>
    <row r="49" spans="1:7" customFormat="1" ht="30" customHeight="1">
      <c r="A49" s="206">
        <v>44</v>
      </c>
      <c r="B49" s="207">
        <v>1.4</v>
      </c>
      <c r="C49" s="208" t="s">
        <v>589</v>
      </c>
      <c r="D49" s="209">
        <f>D50+D94</f>
        <v>5.0000000000334027E-2</v>
      </c>
      <c r="E49" s="210">
        <f t="shared" si="1"/>
        <v>59873857576.999992</v>
      </c>
      <c r="F49" s="217"/>
      <c r="G49" s="205"/>
    </row>
    <row r="50" spans="1:7" s="217" customFormat="1" ht="30" customHeight="1">
      <c r="A50" s="212">
        <v>45</v>
      </c>
      <c r="B50" s="213" t="s">
        <v>87</v>
      </c>
      <c r="C50" s="214" t="s">
        <v>86</v>
      </c>
      <c r="D50" s="215">
        <f>SUM(D51:D57,D63,D69:D75,D81,D87:D93)</f>
        <v>1.750000000015867E-2</v>
      </c>
      <c r="E50" s="216">
        <f t="shared" si="1"/>
        <v>20955850152.000004</v>
      </c>
      <c r="G50" s="205"/>
    </row>
    <row r="51" spans="1:7" s="217" customFormat="1" ht="24.95" customHeight="1">
      <c r="A51" s="218">
        <v>46</v>
      </c>
      <c r="B51" s="219" t="s">
        <v>88</v>
      </c>
      <c r="C51" s="220" t="s">
        <v>469</v>
      </c>
      <c r="D51" s="240">
        <v>0</v>
      </c>
      <c r="E51" s="222">
        <f t="shared" si="1"/>
        <v>0</v>
      </c>
      <c r="G51" s="205"/>
    </row>
    <row r="52" spans="1:7" s="217" customFormat="1" ht="24.95" customHeight="1">
      <c r="A52" s="218">
        <v>47</v>
      </c>
      <c r="B52" s="219" t="s">
        <v>89</v>
      </c>
      <c r="C52" s="220" t="s">
        <v>484</v>
      </c>
      <c r="D52" s="240">
        <v>3.5000000000317334E-3</v>
      </c>
      <c r="E52" s="222">
        <f t="shared" si="1"/>
        <v>4191170030.4000001</v>
      </c>
      <c r="G52" s="205"/>
    </row>
    <row r="53" spans="1:7" s="217" customFormat="1" ht="24.95" customHeight="1">
      <c r="A53" s="218">
        <v>48</v>
      </c>
      <c r="B53" s="219" t="s">
        <v>90</v>
      </c>
      <c r="C53" s="220" t="s">
        <v>470</v>
      </c>
      <c r="D53" s="240">
        <v>7.000000000063468E-4</v>
      </c>
      <c r="E53" s="222">
        <f t="shared" si="1"/>
        <v>838234006.08000016</v>
      </c>
      <c r="G53" s="205"/>
    </row>
    <row r="54" spans="1:7" s="217" customFormat="1" ht="39.950000000000003" customHeight="1">
      <c r="A54" s="218">
        <v>49</v>
      </c>
      <c r="B54" s="219" t="s">
        <v>91</v>
      </c>
      <c r="C54" s="220" t="s">
        <v>432</v>
      </c>
      <c r="D54" s="240">
        <v>1.0000000000090668E-3</v>
      </c>
      <c r="E54" s="222">
        <f t="shared" si="1"/>
        <v>1197477151.5428572</v>
      </c>
      <c r="G54" s="205"/>
    </row>
    <row r="55" spans="1:7" s="217" customFormat="1" ht="24.95" customHeight="1">
      <c r="A55" s="218">
        <v>50</v>
      </c>
      <c r="B55" s="219" t="s">
        <v>92</v>
      </c>
      <c r="C55" s="220" t="s">
        <v>471</v>
      </c>
      <c r="D55" s="240">
        <v>3.500000000031734E-4</v>
      </c>
      <c r="E55" s="222">
        <f t="shared" si="1"/>
        <v>419117003.04000008</v>
      </c>
      <c r="G55" s="205"/>
    </row>
    <row r="56" spans="1:7" s="217" customFormat="1" ht="24.95" customHeight="1">
      <c r="A56" s="218">
        <v>51</v>
      </c>
      <c r="B56" s="219" t="s">
        <v>93</v>
      </c>
      <c r="C56" s="220" t="s">
        <v>472</v>
      </c>
      <c r="D56" s="240">
        <v>3.500000000031734E-4</v>
      </c>
      <c r="E56" s="222">
        <f t="shared" si="1"/>
        <v>419117003.04000008</v>
      </c>
      <c r="G56" s="205"/>
    </row>
    <row r="57" spans="1:7" s="217" customFormat="1" ht="24.95" customHeight="1">
      <c r="A57" s="218">
        <v>52</v>
      </c>
      <c r="B57" s="219" t="s">
        <v>94</v>
      </c>
      <c r="C57" s="220" t="s">
        <v>473</v>
      </c>
      <c r="D57" s="240">
        <f>SUM(D58:D62)</f>
        <v>1.0000000000090668E-3</v>
      </c>
      <c r="E57" s="222">
        <f t="shared" si="1"/>
        <v>1197477151.5428572</v>
      </c>
      <c r="F57" s="1"/>
      <c r="G57" s="205"/>
    </row>
    <row r="58" spans="1:7" s="229" customFormat="1" ht="24.95" customHeight="1">
      <c r="A58" s="224">
        <v>53</v>
      </c>
      <c r="B58" s="225" t="s">
        <v>100</v>
      </c>
      <c r="C58" s="226" t="s">
        <v>474</v>
      </c>
      <c r="D58" s="241">
        <v>2.0000000000181336E-4</v>
      </c>
      <c r="E58" s="228">
        <f t="shared" si="1"/>
        <v>239495430.30857146</v>
      </c>
      <c r="F58" s="1"/>
      <c r="G58" s="205"/>
    </row>
    <row r="59" spans="1:7" s="229" customFormat="1" ht="24.95" customHeight="1">
      <c r="A59" s="224">
        <v>54</v>
      </c>
      <c r="B59" s="225" t="s">
        <v>101</v>
      </c>
      <c r="C59" s="226" t="s">
        <v>447</v>
      </c>
      <c r="D59" s="241">
        <v>2.0000000000181336E-4</v>
      </c>
      <c r="E59" s="228">
        <f t="shared" si="1"/>
        <v>239495430.30857146</v>
      </c>
      <c r="F59" s="1"/>
      <c r="G59" s="205"/>
    </row>
    <row r="60" spans="1:7" s="229" customFormat="1" ht="24.95" customHeight="1">
      <c r="A60" s="224">
        <v>55</v>
      </c>
      <c r="B60" s="225" t="s">
        <v>102</v>
      </c>
      <c r="C60" s="226" t="s">
        <v>475</v>
      </c>
      <c r="D60" s="241">
        <v>2.0000000000181336E-4</v>
      </c>
      <c r="E60" s="228">
        <f t="shared" si="1"/>
        <v>239495430.30857146</v>
      </c>
      <c r="F60" s="1"/>
      <c r="G60" s="205"/>
    </row>
    <row r="61" spans="1:7" s="229" customFormat="1" ht="24.95" customHeight="1">
      <c r="A61" s="224">
        <v>56</v>
      </c>
      <c r="B61" s="225" t="s">
        <v>103</v>
      </c>
      <c r="C61" s="226" t="s">
        <v>476</v>
      </c>
      <c r="D61" s="241">
        <v>2.0000000000181336E-4</v>
      </c>
      <c r="E61" s="228">
        <f t="shared" si="1"/>
        <v>239495430.30857146</v>
      </c>
      <c r="F61" s="1"/>
      <c r="G61" s="205"/>
    </row>
    <row r="62" spans="1:7" s="229" customFormat="1" ht="24.95" customHeight="1">
      <c r="A62" s="224">
        <v>57</v>
      </c>
      <c r="B62" s="225" t="s">
        <v>104</v>
      </c>
      <c r="C62" s="226" t="s">
        <v>105</v>
      </c>
      <c r="D62" s="241">
        <v>2.0000000000181336E-4</v>
      </c>
      <c r="E62" s="228">
        <f t="shared" si="1"/>
        <v>239495430.30857146</v>
      </c>
      <c r="F62" s="217"/>
      <c r="G62" s="205"/>
    </row>
    <row r="63" spans="1:7" s="217" customFormat="1" ht="24.95" customHeight="1">
      <c r="A63" s="218">
        <v>58</v>
      </c>
      <c r="B63" s="219" t="s">
        <v>95</v>
      </c>
      <c r="C63" s="220" t="s">
        <v>485</v>
      </c>
      <c r="D63" s="240">
        <f>SUM(D64:D68)</f>
        <v>1.0000000000090668E-3</v>
      </c>
      <c r="E63" s="222">
        <f t="shared" si="1"/>
        <v>1197477151.5428572</v>
      </c>
      <c r="F63" s="1"/>
      <c r="G63" s="205"/>
    </row>
    <row r="64" spans="1:7" s="229" customFormat="1" ht="24.95" customHeight="1">
      <c r="A64" s="224">
        <v>59</v>
      </c>
      <c r="B64" s="225" t="s">
        <v>106</v>
      </c>
      <c r="C64" s="226" t="s">
        <v>474</v>
      </c>
      <c r="D64" s="241">
        <v>2.0000000000181336E-4</v>
      </c>
      <c r="E64" s="228">
        <f t="shared" si="1"/>
        <v>239495430.30857146</v>
      </c>
      <c r="F64" s="1"/>
      <c r="G64" s="205"/>
    </row>
    <row r="65" spans="1:7" s="229" customFormat="1" ht="24.95" customHeight="1">
      <c r="A65" s="224">
        <v>60</v>
      </c>
      <c r="B65" s="225" t="s">
        <v>107</v>
      </c>
      <c r="C65" s="226" t="s">
        <v>447</v>
      </c>
      <c r="D65" s="241">
        <v>2.0000000000181336E-4</v>
      </c>
      <c r="E65" s="228">
        <f t="shared" si="1"/>
        <v>239495430.30857146</v>
      </c>
      <c r="F65" s="1"/>
      <c r="G65" s="205"/>
    </row>
    <row r="66" spans="1:7" s="229" customFormat="1" ht="24.95" customHeight="1">
      <c r="A66" s="224">
        <v>61</v>
      </c>
      <c r="B66" s="225" t="s">
        <v>108</v>
      </c>
      <c r="C66" s="226" t="s">
        <v>475</v>
      </c>
      <c r="D66" s="241">
        <v>2.0000000000181336E-4</v>
      </c>
      <c r="E66" s="228">
        <f t="shared" si="1"/>
        <v>239495430.30857146</v>
      </c>
      <c r="F66" s="1"/>
      <c r="G66" s="205"/>
    </row>
    <row r="67" spans="1:7" s="229" customFormat="1" ht="24.95" customHeight="1">
      <c r="A67" s="224">
        <v>62</v>
      </c>
      <c r="B67" s="225" t="s">
        <v>109</v>
      </c>
      <c r="C67" s="226" t="s">
        <v>476</v>
      </c>
      <c r="D67" s="241">
        <v>2.0000000000181336E-4</v>
      </c>
      <c r="E67" s="228">
        <f t="shared" si="1"/>
        <v>239495430.30857146</v>
      </c>
      <c r="F67" s="1"/>
      <c r="G67" s="205"/>
    </row>
    <row r="68" spans="1:7" s="229" customFormat="1" ht="24.95" customHeight="1">
      <c r="A68" s="224">
        <v>63</v>
      </c>
      <c r="B68" s="225" t="s">
        <v>110</v>
      </c>
      <c r="C68" s="226" t="s">
        <v>105</v>
      </c>
      <c r="D68" s="241">
        <v>2.0000000000181336E-4</v>
      </c>
      <c r="E68" s="228">
        <f t="shared" si="1"/>
        <v>239495430.30857146</v>
      </c>
      <c r="F68" s="217"/>
      <c r="G68" s="205"/>
    </row>
    <row r="69" spans="1:7" s="217" customFormat="1" ht="24.95" customHeight="1">
      <c r="A69" s="218">
        <v>64</v>
      </c>
      <c r="B69" s="219" t="s">
        <v>96</v>
      </c>
      <c r="C69" s="220" t="s">
        <v>477</v>
      </c>
      <c r="D69" s="240">
        <v>1.0000000000090668E-3</v>
      </c>
      <c r="E69" s="222">
        <f t="shared" si="1"/>
        <v>1197477151.5428572</v>
      </c>
      <c r="G69" s="205"/>
    </row>
    <row r="70" spans="1:7" s="217" customFormat="1" ht="24.95" customHeight="1">
      <c r="A70" s="218">
        <v>65</v>
      </c>
      <c r="B70" s="219" t="s">
        <v>97</v>
      </c>
      <c r="C70" s="220" t="s">
        <v>478</v>
      </c>
      <c r="D70" s="240">
        <v>5.0000000000453338E-4</v>
      </c>
      <c r="E70" s="222">
        <f t="shared" si="1"/>
        <v>598738575.77142859</v>
      </c>
      <c r="G70" s="205"/>
    </row>
    <row r="71" spans="1:7" s="217" customFormat="1" ht="24.95" customHeight="1">
      <c r="A71" s="218">
        <v>66</v>
      </c>
      <c r="B71" s="219" t="s">
        <v>98</v>
      </c>
      <c r="C71" s="220" t="s">
        <v>486</v>
      </c>
      <c r="D71" s="240">
        <v>2.0000000000181336E-4</v>
      </c>
      <c r="E71" s="222">
        <f t="shared" si="1"/>
        <v>239495430.30857146</v>
      </c>
      <c r="G71" s="205"/>
    </row>
    <row r="72" spans="1:7" s="217" customFormat="1" ht="24.95" customHeight="1">
      <c r="A72" s="218">
        <v>67</v>
      </c>
      <c r="B72" s="219" t="s">
        <v>99</v>
      </c>
      <c r="C72" s="220" t="s">
        <v>487</v>
      </c>
      <c r="D72" s="240">
        <v>2.0000000000181336E-4</v>
      </c>
      <c r="E72" s="222">
        <f t="shared" si="1"/>
        <v>239495430.30857146</v>
      </c>
      <c r="G72" s="205"/>
    </row>
    <row r="73" spans="1:7" s="217" customFormat="1" ht="24.95" customHeight="1">
      <c r="A73" s="218">
        <v>68</v>
      </c>
      <c r="B73" s="219" t="s">
        <v>111</v>
      </c>
      <c r="C73" s="220" t="s">
        <v>488</v>
      </c>
      <c r="D73" s="240">
        <v>1.0000000000090668E-3</v>
      </c>
      <c r="E73" s="222">
        <f t="shared" ref="E73:E111" si="2">$F$6*D73</f>
        <v>1197477151.5428572</v>
      </c>
      <c r="G73" s="205"/>
    </row>
    <row r="74" spans="1:7" s="217" customFormat="1" ht="24.95" customHeight="1">
      <c r="A74" s="218">
        <v>69</v>
      </c>
      <c r="B74" s="219" t="s">
        <v>112</v>
      </c>
      <c r="C74" s="220" t="s">
        <v>489</v>
      </c>
      <c r="D74" s="240">
        <v>3.0000000000272002E-4</v>
      </c>
      <c r="E74" s="222">
        <f t="shared" si="2"/>
        <v>359243145.46285719</v>
      </c>
      <c r="G74" s="205"/>
    </row>
    <row r="75" spans="1:7" s="217" customFormat="1" ht="24.95" customHeight="1">
      <c r="A75" s="218">
        <v>70</v>
      </c>
      <c r="B75" s="219" t="s">
        <v>113</v>
      </c>
      <c r="C75" s="220" t="s">
        <v>479</v>
      </c>
      <c r="D75" s="240">
        <f>SUM(D76:D80)</f>
        <v>1.0000000000090668E-3</v>
      </c>
      <c r="E75" s="222">
        <f t="shared" si="2"/>
        <v>1197477151.5428572</v>
      </c>
      <c r="F75" s="1"/>
      <c r="G75" s="205"/>
    </row>
    <row r="76" spans="1:7" s="229" customFormat="1" ht="24.95" customHeight="1">
      <c r="A76" s="224">
        <v>71</v>
      </c>
      <c r="B76" s="225" t="s">
        <v>114</v>
      </c>
      <c r="C76" s="226" t="s">
        <v>427</v>
      </c>
      <c r="D76" s="241">
        <v>2.0000000000181336E-4</v>
      </c>
      <c r="E76" s="228">
        <f t="shared" si="2"/>
        <v>239495430.30857146</v>
      </c>
      <c r="F76" s="1"/>
      <c r="G76" s="205"/>
    </row>
    <row r="77" spans="1:7" s="229" customFormat="1" ht="24.95" customHeight="1">
      <c r="A77" s="224">
        <v>72</v>
      </c>
      <c r="B77" s="225" t="s">
        <v>115</v>
      </c>
      <c r="C77" s="226" t="s">
        <v>428</v>
      </c>
      <c r="D77" s="241">
        <v>2.0000000000181336E-4</v>
      </c>
      <c r="E77" s="228">
        <f t="shared" si="2"/>
        <v>239495430.30857146</v>
      </c>
      <c r="F77" s="1"/>
      <c r="G77" s="205"/>
    </row>
    <row r="78" spans="1:7" s="229" customFormat="1" ht="24.95" customHeight="1">
      <c r="A78" s="224">
        <v>73</v>
      </c>
      <c r="B78" s="225" t="s">
        <v>116</v>
      </c>
      <c r="C78" s="226" t="s">
        <v>429</v>
      </c>
      <c r="D78" s="241">
        <v>2.0000000000181336E-4</v>
      </c>
      <c r="E78" s="228">
        <f t="shared" si="2"/>
        <v>239495430.30857146</v>
      </c>
      <c r="F78" s="1"/>
      <c r="G78" s="205"/>
    </row>
    <row r="79" spans="1:7" s="229" customFormat="1" ht="24.95" customHeight="1">
      <c r="A79" s="224">
        <v>74</v>
      </c>
      <c r="B79" s="225" t="s">
        <v>117</v>
      </c>
      <c r="C79" s="226" t="s">
        <v>430</v>
      </c>
      <c r="D79" s="241">
        <v>2.0000000000181336E-4</v>
      </c>
      <c r="E79" s="228">
        <f t="shared" si="2"/>
        <v>239495430.30857146</v>
      </c>
      <c r="F79" s="1"/>
      <c r="G79" s="205"/>
    </row>
    <row r="80" spans="1:7" s="229" customFormat="1" ht="24.95" customHeight="1">
      <c r="A80" s="224">
        <v>75</v>
      </c>
      <c r="B80" s="225" t="s">
        <v>118</v>
      </c>
      <c r="C80" s="226" t="s">
        <v>590</v>
      </c>
      <c r="D80" s="241">
        <v>2.0000000000181336E-4</v>
      </c>
      <c r="E80" s="228">
        <f t="shared" si="2"/>
        <v>239495430.30857146</v>
      </c>
      <c r="F80" s="217"/>
      <c r="G80" s="205"/>
    </row>
    <row r="81" spans="1:7" s="217" customFormat="1" ht="24.95" customHeight="1">
      <c r="A81" s="218">
        <v>76</v>
      </c>
      <c r="B81" s="219" t="s">
        <v>119</v>
      </c>
      <c r="C81" s="220" t="s">
        <v>431</v>
      </c>
      <c r="D81" s="240">
        <f>SUM(D82:D86)</f>
        <v>2.5000000000226668E-3</v>
      </c>
      <c r="E81" s="222">
        <f t="shared" si="2"/>
        <v>2993692878.8571429</v>
      </c>
      <c r="F81" s="1"/>
      <c r="G81" s="205"/>
    </row>
    <row r="82" spans="1:7" s="229" customFormat="1" ht="24.95" customHeight="1">
      <c r="A82" s="224">
        <v>77</v>
      </c>
      <c r="B82" s="225" t="s">
        <v>120</v>
      </c>
      <c r="C82" s="226" t="s">
        <v>427</v>
      </c>
      <c r="D82" s="241">
        <v>5.0000000000453338E-4</v>
      </c>
      <c r="E82" s="228">
        <f t="shared" si="2"/>
        <v>598738575.77142859</v>
      </c>
      <c r="F82" s="1"/>
      <c r="G82" s="205"/>
    </row>
    <row r="83" spans="1:7" s="229" customFormat="1" ht="24.95" customHeight="1">
      <c r="A83" s="224">
        <v>78</v>
      </c>
      <c r="B83" s="225" t="s">
        <v>121</v>
      </c>
      <c r="C83" s="226" t="s">
        <v>428</v>
      </c>
      <c r="D83" s="241">
        <v>5.0000000000453338E-4</v>
      </c>
      <c r="E83" s="228">
        <f t="shared" si="2"/>
        <v>598738575.77142859</v>
      </c>
      <c r="F83" s="1"/>
      <c r="G83" s="205"/>
    </row>
    <row r="84" spans="1:7" s="229" customFormat="1" ht="24.95" customHeight="1">
      <c r="A84" s="224">
        <v>79</v>
      </c>
      <c r="B84" s="225" t="s">
        <v>122</v>
      </c>
      <c r="C84" s="226" t="s">
        <v>429</v>
      </c>
      <c r="D84" s="241">
        <v>5.0000000000453338E-4</v>
      </c>
      <c r="E84" s="228">
        <f t="shared" si="2"/>
        <v>598738575.77142859</v>
      </c>
      <c r="F84" s="1"/>
      <c r="G84" s="205"/>
    </row>
    <row r="85" spans="1:7" s="229" customFormat="1" ht="24.95" customHeight="1">
      <c r="A85" s="224">
        <v>80</v>
      </c>
      <c r="B85" s="225" t="s">
        <v>123</v>
      </c>
      <c r="C85" s="226" t="s">
        <v>430</v>
      </c>
      <c r="D85" s="241">
        <v>5.0000000000453338E-4</v>
      </c>
      <c r="E85" s="228">
        <f t="shared" si="2"/>
        <v>598738575.77142859</v>
      </c>
      <c r="F85" s="1"/>
      <c r="G85" s="205"/>
    </row>
    <row r="86" spans="1:7" s="229" customFormat="1" ht="24.95" customHeight="1">
      <c r="A86" s="224">
        <v>81</v>
      </c>
      <c r="B86" s="225" t="s">
        <v>124</v>
      </c>
      <c r="C86" s="226" t="s">
        <v>491</v>
      </c>
      <c r="D86" s="241">
        <v>5.0000000000453338E-4</v>
      </c>
      <c r="E86" s="228">
        <f t="shared" si="2"/>
        <v>598738575.77142859</v>
      </c>
      <c r="F86" s="217"/>
      <c r="G86" s="205"/>
    </row>
    <row r="87" spans="1:7" s="217" customFormat="1" ht="24.95" customHeight="1">
      <c r="A87" s="218">
        <v>82</v>
      </c>
      <c r="B87" s="219" t="s">
        <v>125</v>
      </c>
      <c r="C87" s="220" t="s">
        <v>492</v>
      </c>
      <c r="D87" s="240">
        <v>1.0000000000090668E-3</v>
      </c>
      <c r="E87" s="222">
        <f t="shared" si="2"/>
        <v>1197477151.5428572</v>
      </c>
      <c r="G87" s="205"/>
    </row>
    <row r="88" spans="1:7" s="217" customFormat="1" ht="24.95" customHeight="1">
      <c r="A88" s="218">
        <v>83</v>
      </c>
      <c r="B88" s="219" t="s">
        <v>126</v>
      </c>
      <c r="C88" s="220" t="s">
        <v>480</v>
      </c>
      <c r="D88" s="240">
        <v>3.500000000031734E-4</v>
      </c>
      <c r="E88" s="222">
        <f t="shared" si="2"/>
        <v>419117003.04000008</v>
      </c>
      <c r="G88" s="205"/>
    </row>
    <row r="89" spans="1:7" s="217" customFormat="1" ht="24.95" customHeight="1">
      <c r="A89" s="218">
        <v>84</v>
      </c>
      <c r="B89" s="219" t="s">
        <v>127</v>
      </c>
      <c r="C89" s="220" t="s">
        <v>493</v>
      </c>
      <c r="D89" s="240">
        <v>3.500000000031734E-4</v>
      </c>
      <c r="E89" s="222">
        <f t="shared" si="2"/>
        <v>419117003.04000008</v>
      </c>
      <c r="G89" s="205"/>
    </row>
    <row r="90" spans="1:7" s="217" customFormat="1" ht="24.95" customHeight="1">
      <c r="A90" s="218">
        <v>85</v>
      </c>
      <c r="B90" s="219" t="s">
        <v>128</v>
      </c>
      <c r="C90" s="220" t="s">
        <v>481</v>
      </c>
      <c r="D90" s="240">
        <v>3.500000000031734E-4</v>
      </c>
      <c r="E90" s="222">
        <f t="shared" si="2"/>
        <v>419117003.04000008</v>
      </c>
      <c r="G90" s="205"/>
    </row>
    <row r="91" spans="1:7" s="217" customFormat="1" ht="24.95" customHeight="1">
      <c r="A91" s="218">
        <v>86</v>
      </c>
      <c r="B91" s="219" t="s">
        <v>129</v>
      </c>
      <c r="C91" s="220" t="s">
        <v>494</v>
      </c>
      <c r="D91" s="240">
        <v>5.0000000000453338E-4</v>
      </c>
      <c r="E91" s="222">
        <f t="shared" si="2"/>
        <v>598738575.77142859</v>
      </c>
      <c r="G91" s="205"/>
    </row>
    <row r="92" spans="1:7" s="217" customFormat="1" ht="24.95" customHeight="1">
      <c r="A92" s="218">
        <v>87</v>
      </c>
      <c r="B92" s="219" t="s">
        <v>130</v>
      </c>
      <c r="C92" s="220" t="s">
        <v>482</v>
      </c>
      <c r="D92" s="240">
        <v>3.500000000031734E-4</v>
      </c>
      <c r="E92" s="222">
        <f t="shared" si="2"/>
        <v>419117003.04000008</v>
      </c>
      <c r="G92" s="205"/>
    </row>
    <row r="93" spans="1:7" s="217" customFormat="1" ht="24.95" customHeight="1">
      <c r="A93" s="218">
        <v>88</v>
      </c>
      <c r="B93" s="219" t="s">
        <v>131</v>
      </c>
      <c r="C93" s="220" t="s">
        <v>483</v>
      </c>
      <c r="D93" s="240">
        <v>0</v>
      </c>
      <c r="E93" s="222">
        <f t="shared" si="2"/>
        <v>0</v>
      </c>
      <c r="G93" s="205"/>
    </row>
    <row r="94" spans="1:7" s="217" customFormat="1" ht="30" customHeight="1">
      <c r="A94" s="212">
        <v>89</v>
      </c>
      <c r="B94" s="213" t="s">
        <v>174</v>
      </c>
      <c r="C94" s="214" t="s">
        <v>158</v>
      </c>
      <c r="D94" s="215">
        <f>SUM(D95:D101)</f>
        <v>3.2500000000175361E-2</v>
      </c>
      <c r="E94" s="216">
        <f t="shared" si="2"/>
        <v>38918007424.999992</v>
      </c>
      <c r="G94" s="205"/>
    </row>
    <row r="95" spans="1:7" s="217" customFormat="1" ht="24.95" customHeight="1">
      <c r="A95" s="218">
        <v>90</v>
      </c>
      <c r="B95" s="219" t="s">
        <v>518</v>
      </c>
      <c r="C95" s="220" t="s">
        <v>496</v>
      </c>
      <c r="D95" s="240">
        <v>1.1400000000175367E-2</v>
      </c>
      <c r="E95" s="222">
        <f t="shared" si="2"/>
        <v>13651239527.674799</v>
      </c>
      <c r="G95" s="205"/>
    </row>
    <row r="96" spans="1:7" s="217" customFormat="1" ht="24.95" customHeight="1">
      <c r="A96" s="218">
        <v>91</v>
      </c>
      <c r="B96" s="219" t="s">
        <v>519</v>
      </c>
      <c r="C96" s="220" t="s">
        <v>497</v>
      </c>
      <c r="D96" s="240">
        <v>7.4999999999999997E-3</v>
      </c>
      <c r="E96" s="222">
        <f t="shared" si="2"/>
        <v>8981078636.4899998</v>
      </c>
      <c r="G96" s="205"/>
    </row>
    <row r="97" spans="1:7" s="217" customFormat="1" ht="24.95" customHeight="1">
      <c r="A97" s="218">
        <v>92</v>
      </c>
      <c r="B97" s="219" t="s">
        <v>520</v>
      </c>
      <c r="C97" s="220" t="s">
        <v>591</v>
      </c>
      <c r="D97" s="240">
        <v>6.4999999999999997E-4</v>
      </c>
      <c r="E97" s="222">
        <f t="shared" si="2"/>
        <v>778360148.49580002</v>
      </c>
      <c r="G97" s="205"/>
    </row>
    <row r="98" spans="1:7" s="217" customFormat="1" ht="24.95" customHeight="1">
      <c r="A98" s="218">
        <v>93</v>
      </c>
      <c r="B98" s="219" t="s">
        <v>521</v>
      </c>
      <c r="C98" s="220" t="s">
        <v>499</v>
      </c>
      <c r="D98" s="240">
        <v>2.8999999999999998E-3</v>
      </c>
      <c r="E98" s="222">
        <f t="shared" si="2"/>
        <v>3472683739.4427996</v>
      </c>
      <c r="G98" s="205"/>
    </row>
    <row r="99" spans="1:7" s="217" customFormat="1" ht="60" customHeight="1">
      <c r="A99" s="218">
        <v>94</v>
      </c>
      <c r="B99" s="219" t="s">
        <v>522</v>
      </c>
      <c r="C99" s="220" t="s">
        <v>500</v>
      </c>
      <c r="D99" s="240">
        <v>6.4999999999999997E-3</v>
      </c>
      <c r="E99" s="222">
        <f t="shared" si="2"/>
        <v>7783601484.9579992</v>
      </c>
      <c r="G99" s="205"/>
    </row>
    <row r="100" spans="1:7" s="217" customFormat="1" ht="24.95" customHeight="1">
      <c r="A100" s="218">
        <v>95</v>
      </c>
      <c r="B100" s="219" t="s">
        <v>523</v>
      </c>
      <c r="C100" s="220" t="s">
        <v>502</v>
      </c>
      <c r="D100" s="240">
        <v>2.8999999999999998E-3</v>
      </c>
      <c r="E100" s="222">
        <f t="shared" si="2"/>
        <v>3472683739.4427996</v>
      </c>
      <c r="G100" s="205"/>
    </row>
    <row r="101" spans="1:7" s="217" customFormat="1" ht="24.95" customHeight="1">
      <c r="A101" s="218">
        <v>96</v>
      </c>
      <c r="B101" s="219" t="s">
        <v>524</v>
      </c>
      <c r="C101" s="220" t="s">
        <v>501</v>
      </c>
      <c r="D101" s="240">
        <v>6.4999999999999997E-4</v>
      </c>
      <c r="E101" s="222">
        <f t="shared" si="2"/>
        <v>778360148.49580002</v>
      </c>
      <c r="F101" s="211"/>
      <c r="G101" s="205"/>
    </row>
    <row r="102" spans="1:7" customFormat="1" ht="30" customHeight="1">
      <c r="A102" s="206">
        <v>97</v>
      </c>
      <c r="B102" s="207">
        <v>1.5</v>
      </c>
      <c r="C102" s="208" t="s">
        <v>162</v>
      </c>
      <c r="D102" s="209">
        <f>D103+D110+D112+D117</f>
        <v>0.38479999999957115</v>
      </c>
      <c r="E102" s="210">
        <f t="shared" si="2"/>
        <v>460789207909.00006</v>
      </c>
      <c r="F102" s="217"/>
      <c r="G102" s="205"/>
    </row>
    <row r="103" spans="1:7" s="217" customFormat="1" ht="30" customHeight="1">
      <c r="A103" s="212">
        <v>98</v>
      </c>
      <c r="B103" s="213" t="s">
        <v>210</v>
      </c>
      <c r="C103" s="214" t="s">
        <v>503</v>
      </c>
      <c r="D103" s="215">
        <f>D104+D107</f>
        <v>0.17999789600013938</v>
      </c>
      <c r="E103" s="216">
        <f t="shared" si="2"/>
        <v>215543367784.00009</v>
      </c>
      <c r="G103" s="205"/>
    </row>
    <row r="104" spans="1:7" s="217" customFormat="1" ht="24.95" customHeight="1">
      <c r="A104" s="218">
        <v>99</v>
      </c>
      <c r="B104" s="219" t="s">
        <v>215</v>
      </c>
      <c r="C104" s="220" t="s">
        <v>504</v>
      </c>
      <c r="D104" s="221">
        <f>SUM(D105:D106)</f>
        <v>8.9998948000069703E-2</v>
      </c>
      <c r="E104" s="222">
        <f t="shared" si="2"/>
        <v>107771683892.00006</v>
      </c>
      <c r="F104" s="1"/>
      <c r="G104" s="205"/>
    </row>
    <row r="105" spans="1:7" s="229" customFormat="1" ht="24.95" customHeight="1">
      <c r="A105" s="224">
        <v>100</v>
      </c>
      <c r="B105" s="225" t="s">
        <v>216</v>
      </c>
      <c r="C105" s="226" t="s">
        <v>505</v>
      </c>
      <c r="D105" s="227">
        <v>5.3999368800041803E-2</v>
      </c>
      <c r="E105" s="228">
        <f t="shared" si="2"/>
        <v>64663010335.200012</v>
      </c>
      <c r="F105" s="1"/>
      <c r="G105" s="205"/>
    </row>
    <row r="106" spans="1:7" s="229" customFormat="1" ht="24.95" customHeight="1">
      <c r="A106" s="224">
        <v>101</v>
      </c>
      <c r="B106" s="225" t="s">
        <v>217</v>
      </c>
      <c r="C106" s="226" t="s">
        <v>506</v>
      </c>
      <c r="D106" s="227">
        <v>3.5999579200027901E-2</v>
      </c>
      <c r="E106" s="228">
        <f t="shared" si="2"/>
        <v>43108673556.800049</v>
      </c>
      <c r="F106" s="217"/>
      <c r="G106" s="205"/>
    </row>
    <row r="107" spans="1:7" s="217" customFormat="1" ht="24.95" customHeight="1">
      <c r="A107" s="218">
        <v>102</v>
      </c>
      <c r="B107" s="219" t="s">
        <v>218</v>
      </c>
      <c r="C107" s="220" t="s">
        <v>507</v>
      </c>
      <c r="D107" s="221">
        <f>SUM(D108:D109)</f>
        <v>8.9998948000069662E-2</v>
      </c>
      <c r="E107" s="222">
        <f t="shared" si="2"/>
        <v>107771683892</v>
      </c>
      <c r="F107" s="1"/>
      <c r="G107" s="205"/>
    </row>
    <row r="108" spans="1:7" s="229" customFormat="1" ht="24.95" customHeight="1">
      <c r="A108" s="224">
        <v>103</v>
      </c>
      <c r="B108" s="225" t="s">
        <v>219</v>
      </c>
      <c r="C108" s="226" t="s">
        <v>509</v>
      </c>
      <c r="D108" s="227">
        <v>5.3999368800041796E-2</v>
      </c>
      <c r="E108" s="228">
        <f t="shared" si="2"/>
        <v>64663010335.200005</v>
      </c>
      <c r="F108" s="1"/>
      <c r="G108" s="205"/>
    </row>
    <row r="109" spans="1:7" s="229" customFormat="1" ht="24.95" customHeight="1">
      <c r="A109" s="224">
        <v>104</v>
      </c>
      <c r="B109" s="225" t="s">
        <v>220</v>
      </c>
      <c r="C109" s="226" t="s">
        <v>510</v>
      </c>
      <c r="D109" s="227">
        <v>3.5999579200027866E-2</v>
      </c>
      <c r="E109" s="228">
        <f t="shared" si="2"/>
        <v>43108673556.800003</v>
      </c>
      <c r="F109" s="217"/>
      <c r="G109" s="205"/>
    </row>
    <row r="110" spans="1:7" s="217" customFormat="1" ht="30" customHeight="1">
      <c r="A110" s="212">
        <v>105</v>
      </c>
      <c r="B110" s="213" t="s">
        <v>211</v>
      </c>
      <c r="C110" s="214" t="s">
        <v>592</v>
      </c>
      <c r="D110" s="215">
        <f>D111</f>
        <v>6.0001863999724001E-2</v>
      </c>
      <c r="E110" s="216">
        <f t="shared" si="2"/>
        <v>71850861188.999954</v>
      </c>
      <c r="G110" s="205"/>
    </row>
    <row r="111" spans="1:7" s="217" customFormat="1" ht="24.95" customHeight="1">
      <c r="A111" s="218">
        <v>106</v>
      </c>
      <c r="B111" s="219" t="s">
        <v>593</v>
      </c>
      <c r="C111" s="220" t="s">
        <v>594</v>
      </c>
      <c r="D111" s="221">
        <v>6.0001863999724001E-2</v>
      </c>
      <c r="E111" s="222">
        <f t="shared" si="2"/>
        <v>71850861188.999954</v>
      </c>
      <c r="F111" s="205"/>
    </row>
    <row r="112" spans="1:7" s="217" customFormat="1" ht="30" customHeight="1">
      <c r="A112" s="212">
        <v>107</v>
      </c>
      <c r="B112" s="213" t="s">
        <v>212</v>
      </c>
      <c r="C112" s="214" t="s">
        <v>512</v>
      </c>
      <c r="D112" s="215">
        <f>SUM(D113:D116)</f>
        <v>9.7600671999858807E-2</v>
      </c>
      <c r="E112" s="216">
        <f>SUM(E113:E116)</f>
        <v>116874574693.99995</v>
      </c>
    </row>
    <row r="113" spans="1:7" s="217" customFormat="1" ht="24.95" customHeight="1">
      <c r="A113" s="218">
        <v>108</v>
      </c>
      <c r="B113" s="219" t="s">
        <v>221</v>
      </c>
      <c r="C113" s="220" t="s">
        <v>595</v>
      </c>
      <c r="D113" s="221">
        <v>2.4400167999964698E-2</v>
      </c>
      <c r="E113" s="222">
        <f t="shared" ref="E113:E176" si="3">$F$6*D113</f>
        <v>29218643673.499985</v>
      </c>
    </row>
    <row r="114" spans="1:7" s="217" customFormat="1" ht="24.95" customHeight="1">
      <c r="A114" s="218">
        <v>109</v>
      </c>
      <c r="B114" s="219" t="s">
        <v>222</v>
      </c>
      <c r="C114" s="220" t="s">
        <v>596</v>
      </c>
      <c r="D114" s="221">
        <v>3.9040268799943524E-2</v>
      </c>
      <c r="E114" s="222">
        <f t="shared" si="3"/>
        <v>46749829877.599983</v>
      </c>
    </row>
    <row r="115" spans="1:7" s="217" customFormat="1" ht="24.95" customHeight="1">
      <c r="A115" s="218">
        <v>110</v>
      </c>
      <c r="B115" s="219" t="s">
        <v>223</v>
      </c>
      <c r="C115" s="220" t="s">
        <v>597</v>
      </c>
      <c r="D115" s="221">
        <v>1.9520134399971762E-2</v>
      </c>
      <c r="E115" s="222">
        <f t="shared" si="3"/>
        <v>23374914938.799992</v>
      </c>
    </row>
    <row r="116" spans="1:7" s="217" customFormat="1" ht="24.95" customHeight="1">
      <c r="A116" s="218">
        <v>111</v>
      </c>
      <c r="B116" s="219" t="s">
        <v>224</v>
      </c>
      <c r="C116" s="220" t="s">
        <v>598</v>
      </c>
      <c r="D116" s="221">
        <v>1.4640100799978821E-2</v>
      </c>
      <c r="E116" s="222">
        <f t="shared" si="3"/>
        <v>17531186204.099991</v>
      </c>
    </row>
    <row r="117" spans="1:7" s="217" customFormat="1" ht="30" customHeight="1">
      <c r="A117" s="212">
        <v>112</v>
      </c>
      <c r="B117" s="213" t="s">
        <v>213</v>
      </c>
      <c r="C117" s="214" t="s">
        <v>599</v>
      </c>
      <c r="D117" s="215">
        <v>4.7199567999848903E-2</v>
      </c>
      <c r="E117" s="216">
        <f t="shared" si="3"/>
        <v>56520404242</v>
      </c>
      <c r="F117" s="211"/>
      <c r="G117" s="205"/>
    </row>
    <row r="118" spans="1:7" customFormat="1" ht="30" customHeight="1">
      <c r="A118" s="206">
        <v>113</v>
      </c>
      <c r="B118" s="207">
        <v>1.6</v>
      </c>
      <c r="C118" s="208" t="s">
        <v>449</v>
      </c>
      <c r="D118" s="209">
        <f>SUM(D119,D147,D189,D217,D259,D287,D329)</f>
        <v>0.50220000000004483</v>
      </c>
      <c r="E118" s="210">
        <f t="shared" si="3"/>
        <v>601373025499.42407</v>
      </c>
      <c r="F118" s="217"/>
      <c r="G118" s="205"/>
    </row>
    <row r="119" spans="1:7" s="217" customFormat="1" ht="30" customHeight="1">
      <c r="A119" s="212">
        <v>114</v>
      </c>
      <c r="B119" s="213" t="s">
        <v>206</v>
      </c>
      <c r="C119" s="214" t="s">
        <v>451</v>
      </c>
      <c r="D119" s="215">
        <f>D120+D131</f>
        <v>2.3086587684475926E-2</v>
      </c>
      <c r="E119" s="216">
        <f t="shared" si="3"/>
        <v>27645661258.999985</v>
      </c>
      <c r="G119" s="205"/>
    </row>
    <row r="120" spans="1:7" s="217" customFormat="1" ht="24.95" customHeight="1">
      <c r="A120" s="218">
        <v>115</v>
      </c>
      <c r="B120" s="242" t="s">
        <v>226</v>
      </c>
      <c r="C120" s="243" t="s">
        <v>566</v>
      </c>
      <c r="D120" s="221">
        <f>SUM(D121:D130)</f>
        <v>1.2697623227756138E-2</v>
      </c>
      <c r="E120" s="244">
        <f t="shared" si="3"/>
        <v>15205113693.999981</v>
      </c>
      <c r="F120" s="1"/>
      <c r="G120" s="205"/>
    </row>
    <row r="121" spans="1:7" s="229" customFormat="1" ht="24.95" customHeight="1">
      <c r="A121" s="224">
        <v>116</v>
      </c>
      <c r="B121" s="225" t="s">
        <v>227</v>
      </c>
      <c r="C121" s="226" t="s">
        <v>527</v>
      </c>
      <c r="D121" s="245">
        <v>6.3488116163833402E-4</v>
      </c>
      <c r="E121" s="246">
        <f t="shared" si="3"/>
        <v>760255684.99999952</v>
      </c>
      <c r="F121" s="1"/>
      <c r="G121" s="205"/>
    </row>
    <row r="122" spans="1:7" s="229" customFormat="1" ht="24.95" customHeight="1">
      <c r="A122" s="224">
        <v>117</v>
      </c>
      <c r="B122" s="225" t="s">
        <v>228</v>
      </c>
      <c r="C122" s="226" t="s">
        <v>528</v>
      </c>
      <c r="D122" s="245">
        <v>1.26976232244158E-3</v>
      </c>
      <c r="E122" s="246">
        <f t="shared" si="3"/>
        <v>1520511369</v>
      </c>
      <c r="F122" s="1"/>
      <c r="G122" s="205"/>
    </row>
    <row r="123" spans="1:7" s="229" customFormat="1" ht="24.95" customHeight="1">
      <c r="A123" s="224">
        <v>118</v>
      </c>
      <c r="B123" s="225" t="s">
        <v>229</v>
      </c>
      <c r="C123" s="226" t="s">
        <v>529</v>
      </c>
      <c r="D123" s="245">
        <v>1.26976232244158E-3</v>
      </c>
      <c r="E123" s="246">
        <f t="shared" si="3"/>
        <v>1520511369</v>
      </c>
      <c r="F123" s="1"/>
      <c r="G123" s="205"/>
    </row>
    <row r="124" spans="1:7" s="229" customFormat="1" ht="24.95" customHeight="1">
      <c r="A124" s="224">
        <v>119</v>
      </c>
      <c r="B124" s="225" t="s">
        <v>230</v>
      </c>
      <c r="C124" s="226" t="s">
        <v>530</v>
      </c>
      <c r="D124" s="245">
        <v>2.5395246457182502E-3</v>
      </c>
      <c r="E124" s="246">
        <f t="shared" si="3"/>
        <v>3041022739.0000019</v>
      </c>
      <c r="F124" s="1"/>
      <c r="G124" s="205"/>
    </row>
    <row r="125" spans="1:7" s="229" customFormat="1" ht="24.95" customHeight="1">
      <c r="A125" s="224">
        <v>120</v>
      </c>
      <c r="B125" s="225" t="s">
        <v>230</v>
      </c>
      <c r="C125" s="226" t="s">
        <v>531</v>
      </c>
      <c r="D125" s="245">
        <v>1.90464348407991E-3</v>
      </c>
      <c r="E125" s="246">
        <f t="shared" si="3"/>
        <v>2280767053.9999948</v>
      </c>
      <c r="F125" s="1"/>
      <c r="G125" s="205"/>
    </row>
    <row r="126" spans="1:7" s="229" customFormat="1" ht="24.95" customHeight="1">
      <c r="A126" s="224">
        <v>121</v>
      </c>
      <c r="B126" s="225" t="s">
        <v>231</v>
      </c>
      <c r="C126" s="226" t="s">
        <v>600</v>
      </c>
      <c r="D126" s="245">
        <v>1.1427860901139101E-3</v>
      </c>
      <c r="E126" s="246">
        <f t="shared" si="3"/>
        <v>1368460231.9999964</v>
      </c>
      <c r="F126" s="1"/>
      <c r="G126" s="205"/>
    </row>
    <row r="127" spans="1:7" s="229" customFormat="1" ht="24.95" customHeight="1">
      <c r="A127" s="224">
        <v>122</v>
      </c>
      <c r="B127" s="225" t="s">
        <v>232</v>
      </c>
      <c r="C127" s="226" t="s">
        <v>533</v>
      </c>
      <c r="D127" s="245">
        <v>7.61857393966001E-4</v>
      </c>
      <c r="E127" s="246">
        <f t="shared" si="3"/>
        <v>912306821.99999964</v>
      </c>
      <c r="F127" s="1"/>
      <c r="G127" s="205"/>
    </row>
    <row r="128" spans="1:7" s="229" customFormat="1" ht="24.95" customHeight="1">
      <c r="A128" s="224">
        <v>123</v>
      </c>
      <c r="B128" s="225" t="s">
        <v>233</v>
      </c>
      <c r="C128" s="226" t="s">
        <v>534</v>
      </c>
      <c r="D128" s="245">
        <v>1.2697623228591201E-3</v>
      </c>
      <c r="E128" s="246">
        <f t="shared" si="3"/>
        <v>1520511369.4999948</v>
      </c>
      <c r="F128" s="1"/>
      <c r="G128" s="205"/>
    </row>
    <row r="129" spans="1:7" s="229" customFormat="1" ht="24.95" customHeight="1">
      <c r="A129" s="224">
        <v>124</v>
      </c>
      <c r="B129" s="225" t="s">
        <v>234</v>
      </c>
      <c r="C129" s="226" t="s">
        <v>535</v>
      </c>
      <c r="D129" s="245">
        <v>1.2697623228591201E-3</v>
      </c>
      <c r="E129" s="246">
        <f t="shared" si="3"/>
        <v>1520511369.4999948</v>
      </c>
      <c r="F129" s="1"/>
      <c r="G129" s="205"/>
    </row>
    <row r="130" spans="1:7" s="229" customFormat="1" ht="24.95" customHeight="1">
      <c r="A130" s="224">
        <v>125</v>
      </c>
      <c r="B130" s="225" t="s">
        <v>235</v>
      </c>
      <c r="C130" s="226" t="s">
        <v>536</v>
      </c>
      <c r="D130" s="245">
        <v>6.3488116163833402E-4</v>
      </c>
      <c r="E130" s="246">
        <f t="shared" si="3"/>
        <v>760255684.99999952</v>
      </c>
      <c r="F130" s="217"/>
      <c r="G130" s="205"/>
    </row>
    <row r="131" spans="1:7" s="217" customFormat="1" ht="24.95" customHeight="1">
      <c r="A131" s="218">
        <v>126</v>
      </c>
      <c r="B131" s="242" t="s">
        <v>236</v>
      </c>
      <c r="C131" s="243" t="s">
        <v>601</v>
      </c>
      <c r="D131" s="221">
        <f>(SUM(D132:D146))</f>
        <v>1.0388964456719786E-2</v>
      </c>
      <c r="E131" s="244">
        <f t="shared" si="3"/>
        <v>12440547565.000002</v>
      </c>
      <c r="F131" s="1"/>
      <c r="G131" s="205"/>
    </row>
    <row r="132" spans="1:7" s="229" customFormat="1" ht="24.95" customHeight="1">
      <c r="A132" s="224">
        <v>127</v>
      </c>
      <c r="B132" s="225" t="s">
        <v>237</v>
      </c>
      <c r="C132" s="226" t="s">
        <v>542</v>
      </c>
      <c r="D132" s="245">
        <v>1.03889644859479E-4</v>
      </c>
      <c r="E132" s="246">
        <f t="shared" si="3"/>
        <v>124405476</v>
      </c>
      <c r="F132" s="1"/>
      <c r="G132" s="205"/>
    </row>
    <row r="133" spans="1:7" s="229" customFormat="1" ht="24.95" customHeight="1">
      <c r="A133" s="224">
        <v>128</v>
      </c>
      <c r="B133" s="225" t="s">
        <v>238</v>
      </c>
      <c r="C133" s="226" t="s">
        <v>602</v>
      </c>
      <c r="D133" s="245">
        <v>2.5660742211813998E-3</v>
      </c>
      <c r="E133" s="246">
        <f t="shared" si="3"/>
        <v>3072815248.9999981</v>
      </c>
      <c r="F133" s="1"/>
      <c r="G133" s="205"/>
    </row>
    <row r="134" spans="1:7" s="229" customFormat="1" ht="24.95" customHeight="1">
      <c r="A134" s="224">
        <v>129</v>
      </c>
      <c r="B134" s="225" t="s">
        <v>239</v>
      </c>
      <c r="C134" s="226" t="s">
        <v>603</v>
      </c>
      <c r="D134" s="245">
        <v>9.7656265883980004E-4</v>
      </c>
      <c r="E134" s="246">
        <f t="shared" si="3"/>
        <v>1169411471</v>
      </c>
      <c r="F134" s="1"/>
      <c r="G134" s="205"/>
    </row>
    <row r="135" spans="1:7" s="229" customFormat="1" ht="24.95" customHeight="1">
      <c r="A135" s="224">
        <v>130</v>
      </c>
      <c r="B135" s="225" t="s">
        <v>240</v>
      </c>
      <c r="C135" s="226" t="s">
        <v>604</v>
      </c>
      <c r="D135" s="245">
        <v>3.7400272015798198E-4</v>
      </c>
      <c r="E135" s="246">
        <f t="shared" si="3"/>
        <v>447859712</v>
      </c>
      <c r="F135" s="1"/>
      <c r="G135" s="205"/>
    </row>
    <row r="136" spans="1:7" s="229" customFormat="1" ht="24.95" customHeight="1">
      <c r="A136" s="224">
        <v>131</v>
      </c>
      <c r="B136" s="225" t="s">
        <v>241</v>
      </c>
      <c r="C136" s="226" t="s">
        <v>605</v>
      </c>
      <c r="D136" s="245">
        <v>4.5711443621258298E-4</v>
      </c>
      <c r="E136" s="246">
        <f t="shared" si="3"/>
        <v>547384093</v>
      </c>
      <c r="F136" s="1"/>
      <c r="G136" s="205"/>
    </row>
    <row r="137" spans="1:7" s="229" customFormat="1" ht="24.95" customHeight="1">
      <c r="A137" s="224">
        <v>132</v>
      </c>
      <c r="B137" s="225" t="s">
        <v>242</v>
      </c>
      <c r="C137" s="226" t="s">
        <v>606</v>
      </c>
      <c r="D137" s="245">
        <v>2.3894618250873099E-3</v>
      </c>
      <c r="E137" s="246">
        <f t="shared" si="3"/>
        <v>2861325940.0000057</v>
      </c>
      <c r="F137" s="1"/>
      <c r="G137" s="205"/>
    </row>
    <row r="138" spans="1:7" s="229" customFormat="1" ht="24.95" customHeight="1">
      <c r="A138" s="224">
        <v>133</v>
      </c>
      <c r="B138" s="225" t="s">
        <v>243</v>
      </c>
      <c r="C138" s="226" t="s">
        <v>607</v>
      </c>
      <c r="D138" s="245">
        <v>5.2983718744720003E-4</v>
      </c>
      <c r="E138" s="246">
        <f t="shared" si="3"/>
        <v>634467925.9999994</v>
      </c>
      <c r="F138" s="1"/>
      <c r="G138" s="205"/>
    </row>
    <row r="139" spans="1:7" s="229" customFormat="1" ht="24.95" customHeight="1">
      <c r="A139" s="224">
        <v>134</v>
      </c>
      <c r="B139" s="225" t="s">
        <v>244</v>
      </c>
      <c r="C139" s="226" t="s">
        <v>608</v>
      </c>
      <c r="D139" s="245">
        <v>2.49335147328714E-4</v>
      </c>
      <c r="E139" s="246">
        <f t="shared" si="3"/>
        <v>298573142</v>
      </c>
      <c r="F139" s="1"/>
      <c r="G139" s="205"/>
    </row>
    <row r="140" spans="1:7" s="229" customFormat="1" ht="24.95" customHeight="1">
      <c r="A140" s="224">
        <v>135</v>
      </c>
      <c r="B140" s="225" t="s">
        <v>609</v>
      </c>
      <c r="C140" s="226" t="s">
        <v>554</v>
      </c>
      <c r="D140" s="245">
        <v>6.1294890266671296E-4</v>
      </c>
      <c r="E140" s="246">
        <f t="shared" si="3"/>
        <v>733992306.0000006</v>
      </c>
      <c r="F140" s="1"/>
      <c r="G140" s="205"/>
    </row>
    <row r="141" spans="1:7" s="229" customFormat="1" ht="24.95" customHeight="1">
      <c r="A141" s="224">
        <v>136</v>
      </c>
      <c r="B141" s="225" t="s">
        <v>610</v>
      </c>
      <c r="C141" s="226" t="s">
        <v>555</v>
      </c>
      <c r="D141" s="245">
        <v>6.1294890266671296E-4</v>
      </c>
      <c r="E141" s="246">
        <f t="shared" si="3"/>
        <v>733992306.0000006</v>
      </c>
      <c r="F141" s="1"/>
      <c r="G141" s="205"/>
    </row>
    <row r="142" spans="1:7" s="229" customFormat="1" ht="24.95" customHeight="1">
      <c r="A142" s="224">
        <v>137</v>
      </c>
      <c r="B142" s="225" t="s">
        <v>611</v>
      </c>
      <c r="C142" s="226" t="s">
        <v>556</v>
      </c>
      <c r="D142" s="245">
        <v>4.1555857860282701E-4</v>
      </c>
      <c r="E142" s="246">
        <f t="shared" si="3"/>
        <v>497621903</v>
      </c>
      <c r="F142" s="1"/>
      <c r="G142" s="205"/>
    </row>
    <row r="143" spans="1:7" s="229" customFormat="1" ht="24.95" customHeight="1">
      <c r="A143" s="224">
        <v>138</v>
      </c>
      <c r="B143" s="225" t="s">
        <v>612</v>
      </c>
      <c r="C143" s="226" t="s">
        <v>613</v>
      </c>
      <c r="D143" s="245">
        <v>4.1555857860282701E-4</v>
      </c>
      <c r="E143" s="246">
        <f t="shared" si="3"/>
        <v>497621903</v>
      </c>
      <c r="F143" s="1"/>
      <c r="G143" s="205"/>
    </row>
    <row r="144" spans="1:7" s="229" customFormat="1" ht="24.95" customHeight="1">
      <c r="A144" s="224">
        <v>139</v>
      </c>
      <c r="B144" s="225" t="s">
        <v>614</v>
      </c>
      <c r="C144" s="226" t="s">
        <v>615</v>
      </c>
      <c r="D144" s="245">
        <v>2.2855721768874699E-4</v>
      </c>
      <c r="E144" s="246">
        <f t="shared" si="3"/>
        <v>273692046</v>
      </c>
      <c r="F144" s="1"/>
      <c r="G144" s="205"/>
    </row>
    <row r="145" spans="1:7" s="229" customFormat="1" ht="24.95" customHeight="1">
      <c r="A145" s="224">
        <v>140</v>
      </c>
      <c r="B145" s="225" t="s">
        <v>616</v>
      </c>
      <c r="C145" s="226" t="s">
        <v>617</v>
      </c>
      <c r="D145" s="245">
        <v>2.2855721768874699E-4</v>
      </c>
      <c r="E145" s="246">
        <f t="shared" si="3"/>
        <v>273692046</v>
      </c>
      <c r="F145" s="1"/>
      <c r="G145" s="205"/>
    </row>
    <row r="146" spans="1:7" s="229" customFormat="1" ht="24.95" customHeight="1">
      <c r="A146" s="224">
        <v>141</v>
      </c>
      <c r="B146" s="225" t="s">
        <v>618</v>
      </c>
      <c r="C146" s="226" t="s">
        <v>619</v>
      </c>
      <c r="D146" s="245">
        <v>2.2855721768874699E-4</v>
      </c>
      <c r="E146" s="246">
        <f t="shared" si="3"/>
        <v>273692046</v>
      </c>
      <c r="F146" s="217"/>
      <c r="G146" s="205"/>
    </row>
    <row r="147" spans="1:7" s="217" customFormat="1" ht="30" customHeight="1">
      <c r="A147" s="212">
        <v>142</v>
      </c>
      <c r="B147" s="213" t="s">
        <v>207</v>
      </c>
      <c r="C147" s="214" t="s">
        <v>620</v>
      </c>
      <c r="D147" s="215">
        <f>D148+D159+D170</f>
        <v>0.13105999999934537</v>
      </c>
      <c r="E147" s="216">
        <f t="shared" si="3"/>
        <v>156941355479</v>
      </c>
      <c r="G147" s="205"/>
    </row>
    <row r="148" spans="1:7" s="217" customFormat="1" ht="24.95" customHeight="1">
      <c r="A148" s="218">
        <v>143</v>
      </c>
      <c r="B148" s="242" t="s">
        <v>264</v>
      </c>
      <c r="C148" s="243" t="s">
        <v>566</v>
      </c>
      <c r="D148" s="221">
        <f>SUM(D149:D158)</f>
        <v>4.8492200000400804E-2</v>
      </c>
      <c r="E148" s="244">
        <f t="shared" si="3"/>
        <v>58068301528</v>
      </c>
      <c r="F148" s="1"/>
      <c r="G148" s="205"/>
    </row>
    <row r="149" spans="1:7" s="229" customFormat="1" ht="24.95" customHeight="1">
      <c r="A149" s="224">
        <v>144</v>
      </c>
      <c r="B149" s="225" t="s">
        <v>265</v>
      </c>
      <c r="C149" s="226" t="s">
        <v>527</v>
      </c>
      <c r="D149" s="245">
        <v>2.4246099996860044E-3</v>
      </c>
      <c r="E149" s="246">
        <f t="shared" si="3"/>
        <v>2903415076</v>
      </c>
      <c r="F149" s="1"/>
      <c r="G149" s="205"/>
    </row>
    <row r="150" spans="1:7" s="229" customFormat="1" ht="24.95" customHeight="1">
      <c r="A150" s="224">
        <v>145</v>
      </c>
      <c r="B150" s="225" t="s">
        <v>266</v>
      </c>
      <c r="C150" s="226" t="s">
        <v>528</v>
      </c>
      <c r="D150" s="245">
        <v>4.8492200002070978E-3</v>
      </c>
      <c r="E150" s="246">
        <f t="shared" si="3"/>
        <v>5806830153</v>
      </c>
      <c r="F150" s="1"/>
      <c r="G150" s="205"/>
    </row>
    <row r="151" spans="1:7" s="229" customFormat="1" ht="24.95" customHeight="1">
      <c r="A151" s="224">
        <v>146</v>
      </c>
      <c r="B151" s="225" t="s">
        <v>267</v>
      </c>
      <c r="C151" s="226" t="s">
        <v>536</v>
      </c>
      <c r="D151" s="245">
        <v>2.4246099996860044E-3</v>
      </c>
      <c r="E151" s="246">
        <f t="shared" si="3"/>
        <v>2903415076</v>
      </c>
      <c r="F151" s="1"/>
      <c r="G151" s="205"/>
    </row>
    <row r="152" spans="1:7" s="229" customFormat="1" ht="24.95" customHeight="1">
      <c r="A152" s="224">
        <v>147</v>
      </c>
      <c r="B152" s="225" t="s">
        <v>268</v>
      </c>
      <c r="C152" s="226" t="s">
        <v>621</v>
      </c>
      <c r="D152" s="245">
        <v>4.8492200002070978E-3</v>
      </c>
      <c r="E152" s="246">
        <f t="shared" si="3"/>
        <v>5806830153</v>
      </c>
      <c r="F152" s="1"/>
      <c r="G152" s="205"/>
    </row>
    <row r="153" spans="1:7" s="229" customFormat="1" ht="24.95" customHeight="1">
      <c r="A153" s="224">
        <v>148</v>
      </c>
      <c r="B153" s="225" t="s">
        <v>269</v>
      </c>
      <c r="C153" s="226" t="s">
        <v>622</v>
      </c>
      <c r="D153" s="245">
        <v>9.6984400004141956E-3</v>
      </c>
      <c r="E153" s="246">
        <f t="shared" si="3"/>
        <v>11613660306</v>
      </c>
      <c r="F153" s="1"/>
      <c r="G153" s="205"/>
    </row>
    <row r="154" spans="1:7" s="229" customFormat="1" ht="24.95" customHeight="1">
      <c r="A154" s="224">
        <v>149</v>
      </c>
      <c r="B154" s="225" t="s">
        <v>270</v>
      </c>
      <c r="C154" s="226" t="s">
        <v>623</v>
      </c>
      <c r="D154" s="245">
        <v>7.2738299998931022E-3</v>
      </c>
      <c r="E154" s="246">
        <f t="shared" si="3"/>
        <v>8710245229</v>
      </c>
      <c r="F154" s="1"/>
      <c r="G154" s="205"/>
    </row>
    <row r="155" spans="1:7" s="229" customFormat="1" ht="24.95" customHeight="1">
      <c r="A155" s="224">
        <v>150</v>
      </c>
      <c r="B155" s="225" t="s">
        <v>271</v>
      </c>
      <c r="C155" s="226" t="s">
        <v>624</v>
      </c>
      <c r="D155" s="245">
        <v>5.576603000279917E-3</v>
      </c>
      <c r="E155" s="246">
        <f t="shared" si="3"/>
        <v>6677854676</v>
      </c>
      <c r="F155" s="1"/>
      <c r="G155" s="205"/>
    </row>
    <row r="156" spans="1:7" s="229" customFormat="1" ht="24.95" customHeight="1">
      <c r="A156" s="224">
        <v>151</v>
      </c>
      <c r="B156" s="225" t="s">
        <v>272</v>
      </c>
      <c r="C156" s="226" t="s">
        <v>625</v>
      </c>
      <c r="D156" s="245">
        <v>4.1218370001342786E-3</v>
      </c>
      <c r="E156" s="246">
        <f t="shared" si="3"/>
        <v>4935805630</v>
      </c>
      <c r="F156" s="1"/>
      <c r="G156" s="205"/>
    </row>
    <row r="157" spans="1:7" s="229" customFormat="1" ht="24.95" customHeight="1">
      <c r="A157" s="224">
        <v>152</v>
      </c>
      <c r="B157" s="225" t="s">
        <v>273</v>
      </c>
      <c r="C157" s="226" t="s">
        <v>626</v>
      </c>
      <c r="D157" s="245">
        <v>3.6369149999465511E-3</v>
      </c>
      <c r="E157" s="246">
        <f t="shared" si="3"/>
        <v>4355122614.5</v>
      </c>
      <c r="F157" s="1"/>
      <c r="G157" s="205"/>
    </row>
    <row r="158" spans="1:7" s="229" customFormat="1" ht="24.95" customHeight="1">
      <c r="A158" s="224">
        <v>153</v>
      </c>
      <c r="B158" s="225" t="s">
        <v>627</v>
      </c>
      <c r="C158" s="226" t="s">
        <v>628</v>
      </c>
      <c r="D158" s="245">
        <v>3.6369149999465511E-3</v>
      </c>
      <c r="E158" s="246">
        <f t="shared" si="3"/>
        <v>4355122614.5</v>
      </c>
      <c r="F158" s="235"/>
      <c r="G158" s="205"/>
    </row>
    <row r="159" spans="1:7" s="217" customFormat="1" ht="24.95" customHeight="1">
      <c r="A159" s="218">
        <v>154</v>
      </c>
      <c r="B159" s="242" t="s">
        <v>629</v>
      </c>
      <c r="C159" s="243" t="s">
        <v>630</v>
      </c>
      <c r="D159" s="221">
        <f>SUM(D160:D169)</f>
        <v>3.9318000000054136E-2</v>
      </c>
      <c r="E159" s="244">
        <f t="shared" si="3"/>
        <v>47082406644</v>
      </c>
      <c r="F159" s="1"/>
      <c r="G159" s="205"/>
    </row>
    <row r="160" spans="1:7" s="229" customFormat="1" ht="24.95" customHeight="1">
      <c r="A160" s="224">
        <v>155</v>
      </c>
      <c r="B160" s="225" t="s">
        <v>631</v>
      </c>
      <c r="C160" s="226" t="s">
        <v>561</v>
      </c>
      <c r="D160" s="245">
        <v>1.3368120000886898E-3</v>
      </c>
      <c r="E160" s="246">
        <f t="shared" si="3"/>
        <v>1600801826</v>
      </c>
      <c r="F160" s="1"/>
      <c r="G160" s="205"/>
    </row>
    <row r="161" spans="1:7" s="229" customFormat="1" ht="24.95" customHeight="1">
      <c r="A161" s="224">
        <v>156</v>
      </c>
      <c r="B161" s="225" t="s">
        <v>632</v>
      </c>
      <c r="C161" s="226" t="s">
        <v>633</v>
      </c>
      <c r="D161" s="245">
        <v>7.077240000076551E-3</v>
      </c>
      <c r="E161" s="246">
        <f t="shared" si="3"/>
        <v>8474833196</v>
      </c>
      <c r="F161" s="1"/>
      <c r="G161" s="205"/>
    </row>
    <row r="162" spans="1:7" s="229" customFormat="1" ht="24.95" customHeight="1">
      <c r="A162" s="224">
        <v>157</v>
      </c>
      <c r="B162" s="225" t="s">
        <v>634</v>
      </c>
      <c r="C162" s="226" t="s">
        <v>635</v>
      </c>
      <c r="D162" s="245">
        <v>1.4154480000153102E-2</v>
      </c>
      <c r="E162" s="246">
        <f t="shared" si="3"/>
        <v>16949666392</v>
      </c>
      <c r="F162" s="1"/>
      <c r="G162" s="205"/>
    </row>
    <row r="163" spans="1:7" s="229" customFormat="1" ht="24.95" customHeight="1">
      <c r="A163" s="224">
        <v>158</v>
      </c>
      <c r="B163" s="225" t="s">
        <v>636</v>
      </c>
      <c r="C163" s="226" t="s">
        <v>637</v>
      </c>
      <c r="D163" s="245">
        <v>7.077240000076551E-3</v>
      </c>
      <c r="E163" s="246">
        <f t="shared" si="3"/>
        <v>8474833196</v>
      </c>
      <c r="F163" s="1"/>
      <c r="G163" s="205"/>
    </row>
    <row r="164" spans="1:7" s="229" customFormat="1" ht="24.95" customHeight="1">
      <c r="A164" s="224">
        <v>159</v>
      </c>
      <c r="B164" s="225" t="s">
        <v>638</v>
      </c>
      <c r="C164" s="226" t="s">
        <v>639</v>
      </c>
      <c r="D164" s="245">
        <v>3.9317999963310216E-4</v>
      </c>
      <c r="E164" s="246">
        <f t="shared" si="3"/>
        <v>470824066</v>
      </c>
      <c r="F164" s="1"/>
      <c r="G164" s="205"/>
    </row>
    <row r="165" spans="1:7" s="229" customFormat="1" ht="24.95" customHeight="1">
      <c r="A165" s="224">
        <v>160</v>
      </c>
      <c r="B165" s="225" t="s">
        <v>640</v>
      </c>
      <c r="C165" s="226" t="s">
        <v>641</v>
      </c>
      <c r="D165" s="245">
        <v>7.0772400034169072E-4</v>
      </c>
      <c r="E165" s="246">
        <f t="shared" si="3"/>
        <v>847483320</v>
      </c>
      <c r="F165" s="1"/>
      <c r="G165" s="205"/>
    </row>
    <row r="166" spans="1:7" s="229" customFormat="1" ht="24.95" customHeight="1">
      <c r="A166" s="224">
        <v>161</v>
      </c>
      <c r="B166" s="225" t="s">
        <v>642</v>
      </c>
      <c r="C166" s="226" t="s">
        <v>643</v>
      </c>
      <c r="D166" s="245">
        <v>2.2018079999495859E-3</v>
      </c>
      <c r="E166" s="246">
        <f t="shared" si="3"/>
        <v>2636614772</v>
      </c>
      <c r="F166" s="1"/>
      <c r="G166" s="205"/>
    </row>
    <row r="167" spans="1:7" s="229" customFormat="1" ht="24.95" customHeight="1">
      <c r="A167" s="224">
        <v>162</v>
      </c>
      <c r="B167" s="225" t="s">
        <v>644</v>
      </c>
      <c r="C167" s="226" t="s">
        <v>645</v>
      </c>
      <c r="D167" s="245">
        <v>3.3027119999243788E-3</v>
      </c>
      <c r="E167" s="246">
        <f t="shared" si="3"/>
        <v>3954922158</v>
      </c>
      <c r="F167" s="1"/>
      <c r="G167" s="205"/>
    </row>
    <row r="168" spans="1:7" s="229" customFormat="1" ht="24.95" customHeight="1">
      <c r="A168" s="224">
        <v>163</v>
      </c>
      <c r="B168" s="225" t="s">
        <v>646</v>
      </c>
      <c r="C168" s="226" t="s">
        <v>647</v>
      </c>
      <c r="D168" s="245">
        <v>1.1009039999747929E-3</v>
      </c>
      <c r="E168" s="246">
        <f t="shared" si="3"/>
        <v>1318307386</v>
      </c>
      <c r="F168" s="1"/>
      <c r="G168" s="205"/>
    </row>
    <row r="169" spans="1:7" s="229" customFormat="1" ht="24.95" customHeight="1">
      <c r="A169" s="224">
        <v>164</v>
      </c>
      <c r="B169" s="225" t="s">
        <v>648</v>
      </c>
      <c r="C169" s="226" t="s">
        <v>536</v>
      </c>
      <c r="D169" s="245">
        <v>1.9658999998356888E-3</v>
      </c>
      <c r="E169" s="246">
        <f t="shared" si="3"/>
        <v>2354120332</v>
      </c>
      <c r="F169" s="217"/>
      <c r="G169" s="205"/>
    </row>
    <row r="170" spans="1:7" s="217" customFormat="1" ht="24.95" customHeight="1">
      <c r="A170" s="218">
        <v>165</v>
      </c>
      <c r="B170" s="242" t="s">
        <v>274</v>
      </c>
      <c r="C170" s="243" t="s">
        <v>601</v>
      </c>
      <c r="D170" s="221">
        <f>SUM(D171:D188)</f>
        <v>4.324979999889042E-2</v>
      </c>
      <c r="E170" s="244">
        <f t="shared" si="3"/>
        <v>51790647307</v>
      </c>
      <c r="F170" s="1"/>
      <c r="G170" s="205"/>
    </row>
    <row r="171" spans="1:7" s="229" customFormat="1" ht="24.95" customHeight="1">
      <c r="A171" s="224">
        <v>166</v>
      </c>
      <c r="B171" s="225" t="s">
        <v>275</v>
      </c>
      <c r="C171" s="226" t="s">
        <v>542</v>
      </c>
      <c r="D171" s="245">
        <v>4.3249799993044802E-4</v>
      </c>
      <c r="E171" s="246">
        <f t="shared" si="3"/>
        <v>517906473</v>
      </c>
      <c r="F171" s="1"/>
      <c r="G171" s="205"/>
    </row>
    <row r="172" spans="1:7" s="229" customFormat="1" ht="24.95" customHeight="1">
      <c r="A172" s="224">
        <v>167</v>
      </c>
      <c r="B172" s="225" t="s">
        <v>276</v>
      </c>
      <c r="C172" s="226" t="s">
        <v>543</v>
      </c>
      <c r="D172" s="245">
        <v>4.2817302003970506E-3</v>
      </c>
      <c r="E172" s="246">
        <f t="shared" si="3"/>
        <v>5127274084</v>
      </c>
      <c r="F172" s="1"/>
      <c r="G172" s="205"/>
    </row>
    <row r="173" spans="1:7" s="229" customFormat="1" ht="24.95" customHeight="1">
      <c r="A173" s="224">
        <v>168</v>
      </c>
      <c r="B173" s="225" t="s">
        <v>277</v>
      </c>
      <c r="C173" s="226" t="s">
        <v>544</v>
      </c>
      <c r="D173" s="245">
        <v>4.3249800001395689E-3</v>
      </c>
      <c r="E173" s="246">
        <f t="shared" si="3"/>
        <v>5179064731</v>
      </c>
      <c r="F173" s="1"/>
      <c r="G173" s="205"/>
    </row>
    <row r="174" spans="1:7" s="229" customFormat="1" ht="24.95" customHeight="1">
      <c r="A174" s="224">
        <v>169</v>
      </c>
      <c r="B174" s="225" t="s">
        <v>278</v>
      </c>
      <c r="C174" s="226" t="s">
        <v>545</v>
      </c>
      <c r="D174" s="245">
        <v>4.3249800001395689E-3</v>
      </c>
      <c r="E174" s="246">
        <f t="shared" si="3"/>
        <v>5179064731</v>
      </c>
      <c r="F174" s="1"/>
      <c r="G174" s="205"/>
    </row>
    <row r="175" spans="1:7" s="229" customFormat="1" ht="24.95" customHeight="1">
      <c r="A175" s="224">
        <v>170</v>
      </c>
      <c r="B175" s="225" t="s">
        <v>279</v>
      </c>
      <c r="C175" s="226" t="s">
        <v>546</v>
      </c>
      <c r="D175" s="245">
        <v>3.4599840002786731E-3</v>
      </c>
      <c r="E175" s="246">
        <f t="shared" si="3"/>
        <v>4143251785</v>
      </c>
      <c r="F175" s="1"/>
      <c r="G175" s="205"/>
    </row>
    <row r="176" spans="1:7" s="229" customFormat="1" ht="24.95" customHeight="1">
      <c r="A176" s="224">
        <v>171</v>
      </c>
      <c r="B176" s="225" t="s">
        <v>280</v>
      </c>
      <c r="C176" s="226" t="s">
        <v>547</v>
      </c>
      <c r="D176" s="245">
        <v>2.16248999965224E-3</v>
      </c>
      <c r="E176" s="246">
        <f t="shared" si="3"/>
        <v>2589532365</v>
      </c>
      <c r="F176" s="1"/>
      <c r="G176" s="205"/>
    </row>
    <row r="177" spans="1:7" s="229" customFormat="1" ht="24.95" customHeight="1">
      <c r="A177" s="224">
        <v>172</v>
      </c>
      <c r="B177" s="225" t="s">
        <v>281</v>
      </c>
      <c r="C177" s="226" t="s">
        <v>548</v>
      </c>
      <c r="D177" s="245">
        <v>1.7299919997217921E-3</v>
      </c>
      <c r="E177" s="246">
        <f t="shared" ref="E177:E240" si="4">$F$6*D177</f>
        <v>2071625892</v>
      </c>
      <c r="F177" s="1"/>
      <c r="G177" s="205"/>
    </row>
    <row r="178" spans="1:7" s="229" customFormat="1" ht="24.95" customHeight="1">
      <c r="A178" s="224">
        <v>173</v>
      </c>
      <c r="B178" s="225" t="s">
        <v>282</v>
      </c>
      <c r="C178" s="226" t="s">
        <v>549</v>
      </c>
      <c r="D178" s="245">
        <v>1.0812450002436645E-3</v>
      </c>
      <c r="E178" s="246">
        <f t="shared" si="4"/>
        <v>1294766183</v>
      </c>
      <c r="F178" s="1"/>
      <c r="G178" s="205"/>
    </row>
    <row r="179" spans="1:7" s="229" customFormat="1" ht="24.95" customHeight="1">
      <c r="A179" s="224">
        <v>174</v>
      </c>
      <c r="B179" s="225" t="s">
        <v>283</v>
      </c>
      <c r="C179" s="226" t="s">
        <v>550</v>
      </c>
      <c r="D179" s="245">
        <v>2.16248999965224E-3</v>
      </c>
      <c r="E179" s="246">
        <f t="shared" si="4"/>
        <v>2589532365</v>
      </c>
      <c r="F179" s="1"/>
      <c r="G179" s="205"/>
    </row>
    <row r="180" spans="1:7" s="229" customFormat="1" ht="24.95" customHeight="1">
      <c r="A180" s="224">
        <v>175</v>
      </c>
      <c r="B180" s="225" t="s">
        <v>284</v>
      </c>
      <c r="C180" s="226" t="s">
        <v>551</v>
      </c>
      <c r="D180" s="245">
        <v>1.0812450002436645E-3</v>
      </c>
      <c r="E180" s="246">
        <f t="shared" si="4"/>
        <v>1294766183</v>
      </c>
      <c r="F180" s="1"/>
      <c r="G180" s="205"/>
    </row>
    <row r="181" spans="1:7" s="229" customFormat="1" ht="24.95" customHeight="1">
      <c r="A181" s="224">
        <v>176</v>
      </c>
      <c r="B181" s="225" t="s">
        <v>285</v>
      </c>
      <c r="C181" s="226" t="s">
        <v>552</v>
      </c>
      <c r="D181" s="245">
        <v>1.0812450002436645E-3</v>
      </c>
      <c r="E181" s="246">
        <f t="shared" si="4"/>
        <v>1294766183</v>
      </c>
      <c r="F181" s="1"/>
      <c r="G181" s="205"/>
    </row>
    <row r="182" spans="1:7" s="229" customFormat="1" ht="24.95" customHeight="1">
      <c r="A182" s="224">
        <v>177</v>
      </c>
      <c r="B182" s="225" t="s">
        <v>286</v>
      </c>
      <c r="C182" s="226" t="s">
        <v>649</v>
      </c>
      <c r="D182" s="245">
        <v>6.4874699997918093E-3</v>
      </c>
      <c r="E182" s="246">
        <f t="shared" si="4"/>
        <v>7768597096</v>
      </c>
      <c r="F182" s="1"/>
      <c r="G182" s="205"/>
    </row>
    <row r="183" spans="1:7" s="229" customFormat="1" ht="24.95" customHeight="1">
      <c r="A183" s="224">
        <v>178</v>
      </c>
      <c r="B183" s="225" t="s">
        <v>287</v>
      </c>
      <c r="C183" s="226" t="s">
        <v>554</v>
      </c>
      <c r="D183" s="245">
        <v>2.5949879995826879E-3</v>
      </c>
      <c r="E183" s="246">
        <f t="shared" si="4"/>
        <v>3107438838</v>
      </c>
      <c r="F183" s="1"/>
      <c r="G183" s="205"/>
    </row>
    <row r="184" spans="1:7" s="229" customFormat="1" ht="24.95" customHeight="1">
      <c r="A184" s="224">
        <v>179</v>
      </c>
      <c r="B184" s="225" t="s">
        <v>288</v>
      </c>
      <c r="C184" s="226" t="s">
        <v>555</v>
      </c>
      <c r="D184" s="245">
        <v>2.5949879995826879E-3</v>
      </c>
      <c r="E184" s="246">
        <f t="shared" si="4"/>
        <v>3107438838</v>
      </c>
      <c r="F184" s="1"/>
      <c r="G184" s="205"/>
    </row>
    <row r="185" spans="1:7" s="229" customFormat="1" ht="24.95" customHeight="1">
      <c r="A185" s="224">
        <v>180</v>
      </c>
      <c r="B185" s="225" t="s">
        <v>289</v>
      </c>
      <c r="C185" s="226" t="s">
        <v>556</v>
      </c>
      <c r="D185" s="245">
        <v>1.7299919997217921E-3</v>
      </c>
      <c r="E185" s="246">
        <f t="shared" si="4"/>
        <v>2071625892</v>
      </c>
      <c r="F185" s="1"/>
      <c r="G185" s="205"/>
    </row>
    <row r="186" spans="1:7" s="229" customFormat="1" ht="24.95" customHeight="1">
      <c r="A186" s="224">
        <v>181</v>
      </c>
      <c r="B186" s="225" t="s">
        <v>290</v>
      </c>
      <c r="C186" s="226" t="s">
        <v>557</v>
      </c>
      <c r="D186" s="245">
        <v>1.7299919997217921E-3</v>
      </c>
      <c r="E186" s="246">
        <f t="shared" si="4"/>
        <v>2071625892</v>
      </c>
      <c r="F186" s="1"/>
      <c r="G186" s="205"/>
    </row>
    <row r="187" spans="1:7" s="229" customFormat="1" ht="24.95" customHeight="1">
      <c r="A187" s="224">
        <v>182</v>
      </c>
      <c r="B187" s="225" t="s">
        <v>291</v>
      </c>
      <c r="C187" s="226" t="s">
        <v>558</v>
      </c>
      <c r="D187" s="245">
        <v>1.0812450002436645E-3</v>
      </c>
      <c r="E187" s="246">
        <f t="shared" si="4"/>
        <v>1294766183</v>
      </c>
      <c r="F187" s="1"/>
      <c r="G187" s="205"/>
    </row>
    <row r="188" spans="1:7" s="229" customFormat="1" ht="24.95" customHeight="1">
      <c r="A188" s="224">
        <v>183</v>
      </c>
      <c r="B188" s="225" t="s">
        <v>292</v>
      </c>
      <c r="C188" s="226" t="s">
        <v>560</v>
      </c>
      <c r="D188" s="245">
        <v>9.082457996034141E-4</v>
      </c>
      <c r="E188" s="246">
        <f t="shared" si="4"/>
        <v>1087603593</v>
      </c>
      <c r="F188" s="232">
        <v>-4679266.8838272104</v>
      </c>
      <c r="G188" s="205"/>
    </row>
    <row r="189" spans="1:7" s="217" customFormat="1" ht="30" customHeight="1">
      <c r="A189" s="212">
        <v>184</v>
      </c>
      <c r="B189" s="213" t="s">
        <v>208</v>
      </c>
      <c r="C189" s="214" t="s">
        <v>452</v>
      </c>
      <c r="D189" s="230">
        <f>D190+D201</f>
        <v>2.3138252804603431E-2</v>
      </c>
      <c r="E189" s="231">
        <f t="shared" si="4"/>
        <v>27707529059.883827</v>
      </c>
      <c r="G189" s="205"/>
    </row>
    <row r="190" spans="1:7" s="217" customFormat="1" ht="24.95" customHeight="1">
      <c r="A190" s="218">
        <v>185</v>
      </c>
      <c r="B190" s="242" t="s">
        <v>293</v>
      </c>
      <c r="C190" s="243" t="s">
        <v>566</v>
      </c>
      <c r="D190" s="221">
        <f>SUM(D191:D200)</f>
        <v>1.2720113805425525E-2</v>
      </c>
      <c r="E190" s="247">
        <f t="shared" si="4"/>
        <v>15232045646.883827</v>
      </c>
      <c r="F190" s="1"/>
      <c r="G190" s="205"/>
    </row>
    <row r="191" spans="1:7" s="229" customFormat="1" ht="24.95" customHeight="1">
      <c r="A191" s="224">
        <v>186</v>
      </c>
      <c r="B191" s="225" t="s">
        <v>294</v>
      </c>
      <c r="C191" s="226" t="s">
        <v>527</v>
      </c>
      <c r="D191" s="245">
        <v>6.3620269231019939E-4</v>
      </c>
      <c r="E191" s="246">
        <f t="shared" si="4"/>
        <v>761838187.78460705</v>
      </c>
      <c r="F191" s="1"/>
      <c r="G191" s="205"/>
    </row>
    <row r="192" spans="1:7" s="229" customFormat="1" ht="24.95" customHeight="1">
      <c r="A192" s="224">
        <v>187</v>
      </c>
      <c r="B192" s="225" t="s">
        <v>295</v>
      </c>
      <c r="C192" s="226" t="s">
        <v>528</v>
      </c>
      <c r="D192" s="245">
        <v>1.2724053854554986E-3</v>
      </c>
      <c r="E192" s="246">
        <f t="shared" si="4"/>
        <v>1523676376.569227</v>
      </c>
      <c r="F192" s="1"/>
      <c r="G192" s="205"/>
    </row>
    <row r="193" spans="1:7" s="229" customFormat="1" ht="24.95" customHeight="1">
      <c r="A193" s="224">
        <v>188</v>
      </c>
      <c r="B193" s="225" t="s">
        <v>296</v>
      </c>
      <c r="C193" s="226" t="s">
        <v>529</v>
      </c>
      <c r="D193" s="245">
        <v>1.2724053854554986E-3</v>
      </c>
      <c r="E193" s="246">
        <f t="shared" si="4"/>
        <v>1523676376.569227</v>
      </c>
      <c r="F193" s="1"/>
      <c r="G193" s="205"/>
    </row>
    <row r="194" spans="1:7" s="229" customFormat="1" ht="24.95" customHeight="1">
      <c r="A194" s="224">
        <v>189</v>
      </c>
      <c r="B194" s="225" t="s">
        <v>297</v>
      </c>
      <c r="C194" s="226" t="s">
        <v>530</v>
      </c>
      <c r="D194" s="245">
        <v>2.5448107700758969E-3</v>
      </c>
      <c r="E194" s="246">
        <f t="shared" si="4"/>
        <v>3047352752.1384406</v>
      </c>
      <c r="F194" s="1"/>
      <c r="G194" s="205"/>
    </row>
    <row r="195" spans="1:7" s="229" customFormat="1" ht="24.95" customHeight="1">
      <c r="A195" s="224">
        <v>190</v>
      </c>
      <c r="B195" s="225" t="s">
        <v>298</v>
      </c>
      <c r="C195" s="226" t="s">
        <v>531</v>
      </c>
      <c r="D195" s="245">
        <v>1.9086080777656978E-3</v>
      </c>
      <c r="E195" s="246">
        <f t="shared" si="4"/>
        <v>2285514564.3538337</v>
      </c>
      <c r="F195" s="1"/>
      <c r="G195" s="205"/>
    </row>
    <row r="196" spans="1:7" s="229" customFormat="1" ht="24.95" customHeight="1">
      <c r="A196" s="224">
        <v>191</v>
      </c>
      <c r="B196" s="225" t="s">
        <v>299</v>
      </c>
      <c r="C196" s="226" t="s">
        <v>600</v>
      </c>
      <c r="D196" s="245">
        <v>1.1428008188519429E-3</v>
      </c>
      <c r="E196" s="246">
        <f t="shared" si="4"/>
        <v>1368477869.3272617</v>
      </c>
      <c r="F196" s="1"/>
      <c r="G196" s="205"/>
    </row>
    <row r="197" spans="1:7" s="229" customFormat="1" ht="24.95" customHeight="1">
      <c r="A197" s="224">
        <v>192</v>
      </c>
      <c r="B197" s="225" t="s">
        <v>300</v>
      </c>
      <c r="C197" s="226" t="s">
        <v>533</v>
      </c>
      <c r="D197" s="245">
        <v>7.6186721312469503E-4</v>
      </c>
      <c r="E197" s="246">
        <f t="shared" si="4"/>
        <v>912318580.21818292</v>
      </c>
      <c r="F197" s="1"/>
      <c r="G197" s="205"/>
    </row>
    <row r="198" spans="1:7" s="229" customFormat="1" ht="24.95" customHeight="1">
      <c r="A198" s="224">
        <v>193</v>
      </c>
      <c r="B198" s="225" t="s">
        <v>301</v>
      </c>
      <c r="C198" s="226" t="s">
        <v>534</v>
      </c>
      <c r="D198" s="245">
        <v>1.2724053850379485E-3</v>
      </c>
      <c r="E198" s="246">
        <f t="shared" si="4"/>
        <v>1523676376.0692203</v>
      </c>
      <c r="F198" s="1"/>
      <c r="G198" s="205"/>
    </row>
    <row r="199" spans="1:7" s="229" customFormat="1" ht="24.95" customHeight="1">
      <c r="A199" s="224">
        <v>194</v>
      </c>
      <c r="B199" s="225" t="s">
        <v>302</v>
      </c>
      <c r="C199" s="226" t="s">
        <v>535</v>
      </c>
      <c r="D199" s="245">
        <v>1.2724053850379485E-3</v>
      </c>
      <c r="E199" s="246">
        <f t="shared" si="4"/>
        <v>1523676376.0692203</v>
      </c>
      <c r="F199" s="1"/>
      <c r="G199" s="205"/>
    </row>
    <row r="200" spans="1:7" s="229" customFormat="1" ht="24.95" customHeight="1">
      <c r="A200" s="224">
        <v>195</v>
      </c>
      <c r="B200" s="225" t="s">
        <v>650</v>
      </c>
      <c r="C200" s="226" t="s">
        <v>536</v>
      </c>
      <c r="D200" s="245">
        <v>6.3620269231019939E-4</v>
      </c>
      <c r="E200" s="246">
        <f t="shared" si="4"/>
        <v>761838187.78460705</v>
      </c>
      <c r="F200" s="217"/>
      <c r="G200" s="205"/>
    </row>
    <row r="201" spans="1:7" s="217" customFormat="1" ht="24.95" customHeight="1">
      <c r="A201" s="218">
        <v>196</v>
      </c>
      <c r="B201" s="242" t="s">
        <v>303</v>
      </c>
      <c r="C201" s="243" t="s">
        <v>601</v>
      </c>
      <c r="D201" s="221">
        <f>SUM(D202:D216)</f>
        <v>1.0418138999177906E-2</v>
      </c>
      <c r="E201" s="244">
        <f t="shared" si="4"/>
        <v>12475483413</v>
      </c>
      <c r="F201" s="1"/>
      <c r="G201" s="205"/>
    </row>
    <row r="202" spans="1:7" s="229" customFormat="1" ht="24.95" customHeight="1">
      <c r="A202" s="224">
        <v>197</v>
      </c>
      <c r="B202" s="225" t="s">
        <v>651</v>
      </c>
      <c r="C202" s="226" t="s">
        <v>542</v>
      </c>
      <c r="D202" s="245">
        <v>1.0418138988321749E-4</v>
      </c>
      <c r="E202" s="246">
        <f t="shared" si="4"/>
        <v>124754834</v>
      </c>
      <c r="F202" s="1"/>
      <c r="G202" s="205"/>
    </row>
    <row r="203" spans="1:7" s="229" customFormat="1" ht="24.95" customHeight="1">
      <c r="A203" s="224">
        <v>198</v>
      </c>
      <c r="B203" s="225" t="s">
        <v>305</v>
      </c>
      <c r="C203" s="226" t="s">
        <v>602</v>
      </c>
      <c r="D203" s="245">
        <v>2.5732803327877568E-3</v>
      </c>
      <c r="E203" s="246">
        <f t="shared" si="4"/>
        <v>3081444403</v>
      </c>
      <c r="F203" s="1"/>
      <c r="G203" s="205"/>
    </row>
    <row r="204" spans="1:7" s="229" customFormat="1" ht="24.95" customHeight="1">
      <c r="A204" s="224">
        <v>199</v>
      </c>
      <c r="B204" s="225" t="s">
        <v>306</v>
      </c>
      <c r="C204" s="226" t="s">
        <v>603</v>
      </c>
      <c r="D204" s="245">
        <v>9.7930506607136905E-4</v>
      </c>
      <c r="E204" s="246">
        <f t="shared" si="4"/>
        <v>1172695441</v>
      </c>
      <c r="F204" s="1"/>
      <c r="G204" s="205"/>
    </row>
    <row r="205" spans="1:7" s="229" customFormat="1" ht="24.95" customHeight="1">
      <c r="A205" s="224">
        <v>200</v>
      </c>
      <c r="B205" s="225" t="s">
        <v>307</v>
      </c>
      <c r="C205" s="226" t="s">
        <v>604</v>
      </c>
      <c r="D205" s="245">
        <v>3.7505300408063636E-4</v>
      </c>
      <c r="E205" s="246">
        <f t="shared" si="4"/>
        <v>449117403</v>
      </c>
      <c r="F205" s="1"/>
      <c r="G205" s="205"/>
    </row>
    <row r="206" spans="1:7" s="229" customFormat="1" ht="24.95" customHeight="1">
      <c r="A206" s="224">
        <v>201</v>
      </c>
      <c r="B206" s="225" t="s">
        <v>308</v>
      </c>
      <c r="C206" s="226" t="s">
        <v>605</v>
      </c>
      <c r="D206" s="245">
        <v>4.5839811582019257E-4</v>
      </c>
      <c r="E206" s="246">
        <f t="shared" si="4"/>
        <v>548921270</v>
      </c>
      <c r="F206" s="1"/>
      <c r="G206" s="205"/>
    </row>
    <row r="207" spans="1:7" s="229" customFormat="1" ht="24.95" customHeight="1">
      <c r="A207" s="224">
        <v>202</v>
      </c>
      <c r="B207" s="225" t="s">
        <v>309</v>
      </c>
      <c r="C207" s="226" t="s">
        <v>652</v>
      </c>
      <c r="D207" s="245">
        <v>2.3961719698192691E-3</v>
      </c>
      <c r="E207" s="246">
        <f t="shared" si="4"/>
        <v>2869361185</v>
      </c>
      <c r="F207" s="1"/>
      <c r="G207" s="205"/>
    </row>
    <row r="208" spans="1:7" s="229" customFormat="1" ht="24.95" customHeight="1">
      <c r="A208" s="224">
        <v>203</v>
      </c>
      <c r="B208" s="225" t="s">
        <v>310</v>
      </c>
      <c r="C208" s="226" t="s">
        <v>607</v>
      </c>
      <c r="D208" s="245">
        <v>5.3132508890546255E-4</v>
      </c>
      <c r="E208" s="246">
        <f t="shared" si="4"/>
        <v>636249654</v>
      </c>
      <c r="F208" s="1"/>
      <c r="G208" s="205"/>
    </row>
    <row r="209" spans="1:7" s="229" customFormat="1" ht="24.95" customHeight="1">
      <c r="A209" s="224">
        <v>204</v>
      </c>
      <c r="B209" s="225" t="s">
        <v>653</v>
      </c>
      <c r="C209" s="226" t="s">
        <v>608</v>
      </c>
      <c r="D209" s="245">
        <v>2.5003533605375759E-4</v>
      </c>
      <c r="E209" s="246">
        <f t="shared" si="4"/>
        <v>299411602</v>
      </c>
      <c r="F209" s="1"/>
      <c r="G209" s="205"/>
    </row>
    <row r="210" spans="1:7" s="229" customFormat="1" ht="24.95" customHeight="1">
      <c r="A210" s="224">
        <v>205</v>
      </c>
      <c r="B210" s="225" t="s">
        <v>654</v>
      </c>
      <c r="C210" s="226" t="s">
        <v>554</v>
      </c>
      <c r="D210" s="245">
        <v>6.1467020064501882E-4</v>
      </c>
      <c r="E210" s="246">
        <f t="shared" si="4"/>
        <v>736053521</v>
      </c>
      <c r="F210" s="1"/>
      <c r="G210" s="205"/>
    </row>
    <row r="211" spans="1:7" s="229" customFormat="1" ht="24.95" customHeight="1">
      <c r="A211" s="224">
        <v>206</v>
      </c>
      <c r="B211" s="225" t="s">
        <v>655</v>
      </c>
      <c r="C211" s="226" t="s">
        <v>555</v>
      </c>
      <c r="D211" s="245">
        <v>6.1467020064501882E-4</v>
      </c>
      <c r="E211" s="246">
        <f t="shared" si="4"/>
        <v>736053521</v>
      </c>
      <c r="F211" s="1"/>
      <c r="G211" s="205"/>
    </row>
    <row r="212" spans="1:7" s="229" customFormat="1" ht="24.95" customHeight="1">
      <c r="A212" s="224">
        <v>207</v>
      </c>
      <c r="B212" s="225" t="s">
        <v>656</v>
      </c>
      <c r="C212" s="226" t="s">
        <v>556</v>
      </c>
      <c r="D212" s="245">
        <v>4.1672556036795896E-4</v>
      </c>
      <c r="E212" s="246">
        <f t="shared" si="4"/>
        <v>499019337</v>
      </c>
      <c r="F212" s="1"/>
      <c r="G212" s="205"/>
    </row>
    <row r="213" spans="1:7" s="229" customFormat="1" ht="24.95" customHeight="1">
      <c r="A213" s="224">
        <v>208</v>
      </c>
      <c r="B213" s="225" t="s">
        <v>657</v>
      </c>
      <c r="C213" s="226" t="s">
        <v>613</v>
      </c>
      <c r="D213" s="245">
        <v>4.1672556036795896E-4</v>
      </c>
      <c r="E213" s="246">
        <f t="shared" si="4"/>
        <v>499019337</v>
      </c>
      <c r="F213" s="1"/>
      <c r="G213" s="205"/>
    </row>
    <row r="214" spans="1:7" s="229" customFormat="1" ht="24.95" customHeight="1">
      <c r="A214" s="224">
        <v>209</v>
      </c>
      <c r="B214" s="225" t="s">
        <v>658</v>
      </c>
      <c r="C214" s="226" t="s">
        <v>615</v>
      </c>
      <c r="D214" s="245">
        <v>2.2919905791009629E-4</v>
      </c>
      <c r="E214" s="246">
        <f t="shared" si="4"/>
        <v>274460635</v>
      </c>
      <c r="F214" s="1"/>
      <c r="G214" s="205"/>
    </row>
    <row r="215" spans="1:7" s="229" customFormat="1" ht="24.95" customHeight="1">
      <c r="A215" s="224">
        <v>210</v>
      </c>
      <c r="B215" s="225" t="s">
        <v>659</v>
      </c>
      <c r="C215" s="226" t="s">
        <v>617</v>
      </c>
      <c r="D215" s="245">
        <v>2.2919905791009629E-4</v>
      </c>
      <c r="E215" s="246">
        <f t="shared" si="4"/>
        <v>274460635</v>
      </c>
      <c r="F215" s="1"/>
      <c r="G215" s="205"/>
    </row>
    <row r="216" spans="1:7" s="229" customFormat="1" ht="24.95" customHeight="1">
      <c r="A216" s="224">
        <v>211</v>
      </c>
      <c r="B216" s="225" t="s">
        <v>660</v>
      </c>
      <c r="C216" s="226" t="s">
        <v>619</v>
      </c>
      <c r="D216" s="245">
        <v>2.2919905791009629E-4</v>
      </c>
      <c r="E216" s="246">
        <f t="shared" si="4"/>
        <v>274460635</v>
      </c>
      <c r="F216" s="217"/>
      <c r="G216" s="205"/>
    </row>
    <row r="217" spans="1:7" s="217" customFormat="1" ht="30" customHeight="1">
      <c r="A217" s="212">
        <v>212</v>
      </c>
      <c r="B217" s="213" t="s">
        <v>209</v>
      </c>
      <c r="C217" s="214" t="s">
        <v>661</v>
      </c>
      <c r="D217" s="215">
        <f>D218+D229+D240</f>
        <v>0.13105999999934537</v>
      </c>
      <c r="E217" s="216">
        <f t="shared" si="4"/>
        <v>156941355479</v>
      </c>
      <c r="G217" s="205"/>
    </row>
    <row r="218" spans="1:7" s="217" customFormat="1" ht="24.95" customHeight="1">
      <c r="A218" s="218">
        <v>213</v>
      </c>
      <c r="B218" s="242" t="s">
        <v>330</v>
      </c>
      <c r="C218" s="243" t="s">
        <v>566</v>
      </c>
      <c r="D218" s="221">
        <f>SUM(D219:D228)</f>
        <v>4.8492200000400804E-2</v>
      </c>
      <c r="E218" s="244">
        <f t="shared" si="4"/>
        <v>58068301528</v>
      </c>
      <c r="F218" s="1"/>
      <c r="G218" s="205"/>
    </row>
    <row r="219" spans="1:7" s="229" customFormat="1" ht="24.95" customHeight="1">
      <c r="A219" s="224">
        <v>214</v>
      </c>
      <c r="B219" s="225" t="s">
        <v>331</v>
      </c>
      <c r="C219" s="226" t="s">
        <v>527</v>
      </c>
      <c r="D219" s="245">
        <v>2.4246099996860044E-3</v>
      </c>
      <c r="E219" s="246">
        <f t="shared" si="4"/>
        <v>2903415076</v>
      </c>
      <c r="F219" s="1"/>
      <c r="G219" s="205"/>
    </row>
    <row r="220" spans="1:7" s="229" customFormat="1" ht="24.95" customHeight="1">
      <c r="A220" s="224">
        <v>215</v>
      </c>
      <c r="B220" s="225" t="s">
        <v>332</v>
      </c>
      <c r="C220" s="226" t="s">
        <v>528</v>
      </c>
      <c r="D220" s="245">
        <v>4.8492200002070978E-3</v>
      </c>
      <c r="E220" s="246">
        <f t="shared" si="4"/>
        <v>5806830153</v>
      </c>
      <c r="F220" s="1"/>
      <c r="G220" s="205"/>
    </row>
    <row r="221" spans="1:7" s="229" customFormat="1" ht="24.95" customHeight="1">
      <c r="A221" s="224">
        <v>216</v>
      </c>
      <c r="B221" s="225" t="s">
        <v>333</v>
      </c>
      <c r="C221" s="226" t="s">
        <v>536</v>
      </c>
      <c r="D221" s="245">
        <v>2.4246099996860044E-3</v>
      </c>
      <c r="E221" s="246">
        <f t="shared" si="4"/>
        <v>2903415076</v>
      </c>
      <c r="F221" s="1"/>
      <c r="G221" s="205"/>
    </row>
    <row r="222" spans="1:7" s="229" customFormat="1" ht="24.95" customHeight="1">
      <c r="A222" s="224">
        <v>217</v>
      </c>
      <c r="B222" s="225" t="s">
        <v>334</v>
      </c>
      <c r="C222" s="226" t="s">
        <v>621</v>
      </c>
      <c r="D222" s="245">
        <v>4.8492200002070978E-3</v>
      </c>
      <c r="E222" s="246">
        <f t="shared" si="4"/>
        <v>5806830153</v>
      </c>
      <c r="F222" s="1"/>
      <c r="G222" s="205"/>
    </row>
    <row r="223" spans="1:7" s="229" customFormat="1" ht="24.95" customHeight="1">
      <c r="A223" s="224">
        <v>218</v>
      </c>
      <c r="B223" s="225" t="s">
        <v>335</v>
      </c>
      <c r="C223" s="226" t="s">
        <v>622</v>
      </c>
      <c r="D223" s="245">
        <v>9.6984400004141956E-3</v>
      </c>
      <c r="E223" s="246">
        <f t="shared" si="4"/>
        <v>11613660306</v>
      </c>
      <c r="F223" s="1"/>
      <c r="G223" s="205"/>
    </row>
    <row r="224" spans="1:7" s="229" customFormat="1" ht="24.95" customHeight="1">
      <c r="A224" s="224">
        <v>219</v>
      </c>
      <c r="B224" s="225" t="s">
        <v>336</v>
      </c>
      <c r="C224" s="226" t="s">
        <v>623</v>
      </c>
      <c r="D224" s="245">
        <v>7.2738299998931022E-3</v>
      </c>
      <c r="E224" s="246">
        <f t="shared" si="4"/>
        <v>8710245229</v>
      </c>
      <c r="F224" s="1"/>
      <c r="G224" s="205"/>
    </row>
    <row r="225" spans="1:7" s="229" customFormat="1" ht="24.95" customHeight="1">
      <c r="A225" s="224">
        <v>220</v>
      </c>
      <c r="B225" s="225" t="s">
        <v>337</v>
      </c>
      <c r="C225" s="226" t="s">
        <v>624</v>
      </c>
      <c r="D225" s="245">
        <v>5.576603000279917E-3</v>
      </c>
      <c r="E225" s="246">
        <f t="shared" si="4"/>
        <v>6677854676</v>
      </c>
      <c r="F225" s="1"/>
      <c r="G225" s="205"/>
    </row>
    <row r="226" spans="1:7" s="229" customFormat="1" ht="24.95" customHeight="1">
      <c r="A226" s="224">
        <v>221</v>
      </c>
      <c r="B226" s="225" t="s">
        <v>338</v>
      </c>
      <c r="C226" s="226" t="s">
        <v>625</v>
      </c>
      <c r="D226" s="245">
        <v>4.1218370001342786E-3</v>
      </c>
      <c r="E226" s="246">
        <f t="shared" si="4"/>
        <v>4935805630</v>
      </c>
      <c r="F226" s="1"/>
      <c r="G226" s="205"/>
    </row>
    <row r="227" spans="1:7" s="229" customFormat="1" ht="24.95" customHeight="1">
      <c r="A227" s="224">
        <v>222</v>
      </c>
      <c r="B227" s="225" t="s">
        <v>339</v>
      </c>
      <c r="C227" s="226" t="s">
        <v>626</v>
      </c>
      <c r="D227" s="245">
        <v>3.6369149999465511E-3</v>
      </c>
      <c r="E227" s="246">
        <f t="shared" si="4"/>
        <v>4355122614.5</v>
      </c>
      <c r="F227" s="1"/>
      <c r="G227" s="205"/>
    </row>
    <row r="228" spans="1:7" s="229" customFormat="1" ht="24.95" customHeight="1">
      <c r="A228" s="224">
        <v>223</v>
      </c>
      <c r="B228" s="225" t="s">
        <v>662</v>
      </c>
      <c r="C228" s="226" t="s">
        <v>628</v>
      </c>
      <c r="D228" s="245">
        <v>3.6369149999465511E-3</v>
      </c>
      <c r="E228" s="246">
        <f t="shared" si="4"/>
        <v>4355122614.5</v>
      </c>
      <c r="F228" s="235"/>
      <c r="G228" s="205"/>
    </row>
    <row r="229" spans="1:7" s="217" customFormat="1" ht="24.95" customHeight="1">
      <c r="A229" s="218">
        <v>224</v>
      </c>
      <c r="B229" s="242" t="s">
        <v>663</v>
      </c>
      <c r="C229" s="243" t="s">
        <v>630</v>
      </c>
      <c r="D229" s="221">
        <f>SUM(D230:D239)</f>
        <v>3.9318000000054136E-2</v>
      </c>
      <c r="E229" s="244">
        <f t="shared" si="4"/>
        <v>47082406644</v>
      </c>
      <c r="F229" s="1"/>
      <c r="G229" s="205"/>
    </row>
    <row r="230" spans="1:7" s="229" customFormat="1" ht="24.95" customHeight="1">
      <c r="A230" s="224">
        <v>225</v>
      </c>
      <c r="B230" s="225" t="s">
        <v>664</v>
      </c>
      <c r="C230" s="226" t="s">
        <v>561</v>
      </c>
      <c r="D230" s="245">
        <v>1.3368120000886898E-3</v>
      </c>
      <c r="E230" s="246">
        <f t="shared" si="4"/>
        <v>1600801826</v>
      </c>
      <c r="F230" s="1"/>
      <c r="G230" s="205"/>
    </row>
    <row r="231" spans="1:7" s="229" customFormat="1" ht="24.95" customHeight="1">
      <c r="A231" s="224">
        <v>226</v>
      </c>
      <c r="B231" s="225" t="s">
        <v>665</v>
      </c>
      <c r="C231" s="226" t="s">
        <v>633</v>
      </c>
      <c r="D231" s="245">
        <v>7.077240000076551E-3</v>
      </c>
      <c r="E231" s="246">
        <f t="shared" si="4"/>
        <v>8474833196</v>
      </c>
      <c r="F231" s="1"/>
      <c r="G231" s="205"/>
    </row>
    <row r="232" spans="1:7" s="229" customFormat="1" ht="24.95" customHeight="1">
      <c r="A232" s="224">
        <v>227</v>
      </c>
      <c r="B232" s="225" t="s">
        <v>666</v>
      </c>
      <c r="C232" s="226" t="s">
        <v>635</v>
      </c>
      <c r="D232" s="245">
        <v>1.4154480000153102E-2</v>
      </c>
      <c r="E232" s="246">
        <f t="shared" si="4"/>
        <v>16949666392</v>
      </c>
      <c r="F232" s="1"/>
      <c r="G232" s="205"/>
    </row>
    <row r="233" spans="1:7" s="229" customFormat="1" ht="24.95" customHeight="1">
      <c r="A233" s="224">
        <v>228</v>
      </c>
      <c r="B233" s="225" t="s">
        <v>667</v>
      </c>
      <c r="C233" s="226" t="s">
        <v>637</v>
      </c>
      <c r="D233" s="245">
        <v>7.077240000076551E-3</v>
      </c>
      <c r="E233" s="246">
        <f t="shared" si="4"/>
        <v>8474833196</v>
      </c>
      <c r="F233" s="1"/>
      <c r="G233" s="205"/>
    </row>
    <row r="234" spans="1:7" s="229" customFormat="1" ht="24.95" customHeight="1">
      <c r="A234" s="224">
        <v>229</v>
      </c>
      <c r="B234" s="225" t="s">
        <v>668</v>
      </c>
      <c r="C234" s="226" t="s">
        <v>639</v>
      </c>
      <c r="D234" s="245">
        <v>3.9317999963310216E-4</v>
      </c>
      <c r="E234" s="246">
        <f t="shared" si="4"/>
        <v>470824066</v>
      </c>
      <c r="F234" s="1"/>
      <c r="G234" s="205"/>
    </row>
    <row r="235" spans="1:7" s="229" customFormat="1" ht="24.95" customHeight="1">
      <c r="A235" s="224">
        <v>230</v>
      </c>
      <c r="B235" s="225" t="s">
        <v>669</v>
      </c>
      <c r="C235" s="226" t="s">
        <v>641</v>
      </c>
      <c r="D235" s="245">
        <v>7.0772400034169072E-4</v>
      </c>
      <c r="E235" s="246">
        <f t="shared" si="4"/>
        <v>847483320</v>
      </c>
      <c r="F235" s="1"/>
      <c r="G235" s="205"/>
    </row>
    <row r="236" spans="1:7" s="229" customFormat="1" ht="24.95" customHeight="1">
      <c r="A236" s="224">
        <v>231</v>
      </c>
      <c r="B236" s="225" t="s">
        <v>670</v>
      </c>
      <c r="C236" s="226" t="s">
        <v>643</v>
      </c>
      <c r="D236" s="245">
        <v>2.2018079999495859E-3</v>
      </c>
      <c r="E236" s="246">
        <f t="shared" si="4"/>
        <v>2636614772</v>
      </c>
      <c r="F236" s="1"/>
      <c r="G236" s="205"/>
    </row>
    <row r="237" spans="1:7" s="229" customFormat="1" ht="24.95" customHeight="1">
      <c r="A237" s="224">
        <v>232</v>
      </c>
      <c r="B237" s="225" t="s">
        <v>671</v>
      </c>
      <c r="C237" s="226" t="s">
        <v>645</v>
      </c>
      <c r="D237" s="245">
        <v>3.3027119999243788E-3</v>
      </c>
      <c r="E237" s="246">
        <f t="shared" si="4"/>
        <v>3954922158</v>
      </c>
      <c r="F237" s="1"/>
      <c r="G237" s="205"/>
    </row>
    <row r="238" spans="1:7" s="229" customFormat="1" ht="24.95" customHeight="1">
      <c r="A238" s="224">
        <v>233</v>
      </c>
      <c r="B238" s="225" t="s">
        <v>672</v>
      </c>
      <c r="C238" s="226" t="s">
        <v>647</v>
      </c>
      <c r="D238" s="245">
        <v>1.1009039999747929E-3</v>
      </c>
      <c r="E238" s="246">
        <f t="shared" si="4"/>
        <v>1318307386</v>
      </c>
      <c r="F238" s="1"/>
      <c r="G238" s="205"/>
    </row>
    <row r="239" spans="1:7" s="229" customFormat="1" ht="24.95" customHeight="1">
      <c r="A239" s="224">
        <v>234</v>
      </c>
      <c r="B239" s="225" t="s">
        <v>673</v>
      </c>
      <c r="C239" s="226" t="s">
        <v>536</v>
      </c>
      <c r="D239" s="245">
        <v>1.9658999998356888E-3</v>
      </c>
      <c r="E239" s="246">
        <f t="shared" si="4"/>
        <v>2354120332</v>
      </c>
      <c r="F239" s="217"/>
      <c r="G239" s="205"/>
    </row>
    <row r="240" spans="1:7" s="217" customFormat="1" ht="24.95" customHeight="1">
      <c r="A240" s="218">
        <v>235</v>
      </c>
      <c r="B240" s="242" t="s">
        <v>340</v>
      </c>
      <c r="C240" s="243" t="s">
        <v>601</v>
      </c>
      <c r="D240" s="221">
        <f>SUM(D241:D258)</f>
        <v>4.324979999889042E-2</v>
      </c>
      <c r="E240" s="244">
        <f t="shared" si="4"/>
        <v>51790647307</v>
      </c>
      <c r="F240" s="1"/>
      <c r="G240" s="205"/>
    </row>
    <row r="241" spans="1:7" s="229" customFormat="1" ht="24.95" customHeight="1">
      <c r="A241" s="224">
        <v>236</v>
      </c>
      <c r="B241" s="225" t="s">
        <v>341</v>
      </c>
      <c r="C241" s="226" t="s">
        <v>542</v>
      </c>
      <c r="D241" s="245">
        <v>4.3249799993044802E-4</v>
      </c>
      <c r="E241" s="246">
        <f t="shared" ref="E241:E304" si="5">$F$6*D241</f>
        <v>517906473</v>
      </c>
      <c r="F241" s="1"/>
      <c r="G241" s="205"/>
    </row>
    <row r="242" spans="1:7" s="229" customFormat="1" ht="24.95" customHeight="1">
      <c r="A242" s="224">
        <v>237</v>
      </c>
      <c r="B242" s="225" t="s">
        <v>342</v>
      </c>
      <c r="C242" s="226" t="s">
        <v>543</v>
      </c>
      <c r="D242" s="245">
        <v>4.2817302003970506E-3</v>
      </c>
      <c r="E242" s="246">
        <f t="shared" si="5"/>
        <v>5127274084</v>
      </c>
      <c r="F242" s="1"/>
      <c r="G242" s="205"/>
    </row>
    <row r="243" spans="1:7" s="229" customFormat="1" ht="24.95" customHeight="1">
      <c r="A243" s="224">
        <v>238</v>
      </c>
      <c r="B243" s="225" t="s">
        <v>343</v>
      </c>
      <c r="C243" s="226" t="s">
        <v>544</v>
      </c>
      <c r="D243" s="245">
        <v>4.3249800001395689E-3</v>
      </c>
      <c r="E243" s="246">
        <f t="shared" si="5"/>
        <v>5179064731</v>
      </c>
      <c r="F243" s="1"/>
      <c r="G243" s="205"/>
    </row>
    <row r="244" spans="1:7" s="229" customFormat="1" ht="24.95" customHeight="1">
      <c r="A244" s="224">
        <v>239</v>
      </c>
      <c r="B244" s="225" t="s">
        <v>344</v>
      </c>
      <c r="C244" s="226" t="s">
        <v>545</v>
      </c>
      <c r="D244" s="245">
        <v>4.3249800001395689E-3</v>
      </c>
      <c r="E244" s="246">
        <f t="shared" si="5"/>
        <v>5179064731</v>
      </c>
      <c r="F244" s="1"/>
      <c r="G244" s="205"/>
    </row>
    <row r="245" spans="1:7" s="229" customFormat="1" ht="24.95" customHeight="1">
      <c r="A245" s="224">
        <v>240</v>
      </c>
      <c r="B245" s="225" t="s">
        <v>345</v>
      </c>
      <c r="C245" s="226" t="s">
        <v>546</v>
      </c>
      <c r="D245" s="245">
        <v>3.4599840002786731E-3</v>
      </c>
      <c r="E245" s="246">
        <f t="shared" si="5"/>
        <v>4143251785</v>
      </c>
      <c r="F245" s="1"/>
      <c r="G245" s="205"/>
    </row>
    <row r="246" spans="1:7" s="229" customFormat="1" ht="24.95" customHeight="1">
      <c r="A246" s="224">
        <v>241</v>
      </c>
      <c r="B246" s="225" t="s">
        <v>346</v>
      </c>
      <c r="C246" s="226" t="s">
        <v>547</v>
      </c>
      <c r="D246" s="245">
        <v>2.16248999965224E-3</v>
      </c>
      <c r="E246" s="246">
        <f t="shared" si="5"/>
        <v>2589532365</v>
      </c>
      <c r="F246" s="1"/>
      <c r="G246" s="205"/>
    </row>
    <row r="247" spans="1:7" s="229" customFormat="1" ht="24.95" customHeight="1">
      <c r="A247" s="224">
        <v>242</v>
      </c>
      <c r="B247" s="225" t="s">
        <v>347</v>
      </c>
      <c r="C247" s="226" t="s">
        <v>548</v>
      </c>
      <c r="D247" s="245">
        <v>1.7299919997217921E-3</v>
      </c>
      <c r="E247" s="246">
        <f t="shared" si="5"/>
        <v>2071625892</v>
      </c>
      <c r="F247" s="1"/>
      <c r="G247" s="205"/>
    </row>
    <row r="248" spans="1:7" s="229" customFormat="1" ht="24.95" customHeight="1">
      <c r="A248" s="224">
        <v>243</v>
      </c>
      <c r="B248" s="225" t="s">
        <v>348</v>
      </c>
      <c r="C248" s="226" t="s">
        <v>549</v>
      </c>
      <c r="D248" s="245">
        <v>1.0812450002436645E-3</v>
      </c>
      <c r="E248" s="246">
        <f t="shared" si="5"/>
        <v>1294766183</v>
      </c>
      <c r="F248" s="1"/>
      <c r="G248" s="205"/>
    </row>
    <row r="249" spans="1:7" s="229" customFormat="1" ht="24.95" customHeight="1">
      <c r="A249" s="224">
        <v>244</v>
      </c>
      <c r="B249" s="225" t="s">
        <v>349</v>
      </c>
      <c r="C249" s="226" t="s">
        <v>550</v>
      </c>
      <c r="D249" s="245">
        <v>2.16248999965224E-3</v>
      </c>
      <c r="E249" s="246">
        <f t="shared" si="5"/>
        <v>2589532365</v>
      </c>
      <c r="F249" s="1"/>
      <c r="G249" s="205"/>
    </row>
    <row r="250" spans="1:7" s="229" customFormat="1" ht="24.95" customHeight="1">
      <c r="A250" s="224">
        <v>245</v>
      </c>
      <c r="B250" s="225" t="s">
        <v>350</v>
      </c>
      <c r="C250" s="226" t="s">
        <v>551</v>
      </c>
      <c r="D250" s="245">
        <v>1.0812450002436645E-3</v>
      </c>
      <c r="E250" s="246">
        <f t="shared" si="5"/>
        <v>1294766183</v>
      </c>
      <c r="F250" s="1"/>
      <c r="G250" s="205"/>
    </row>
    <row r="251" spans="1:7" s="229" customFormat="1" ht="24.95" customHeight="1">
      <c r="A251" s="224">
        <v>246</v>
      </c>
      <c r="B251" s="225" t="s">
        <v>351</v>
      </c>
      <c r="C251" s="226" t="s">
        <v>552</v>
      </c>
      <c r="D251" s="245">
        <v>1.0812450002436645E-3</v>
      </c>
      <c r="E251" s="246">
        <f t="shared" si="5"/>
        <v>1294766183</v>
      </c>
      <c r="F251" s="1"/>
      <c r="G251" s="205"/>
    </row>
    <row r="252" spans="1:7" s="229" customFormat="1" ht="24.95" customHeight="1">
      <c r="A252" s="224">
        <v>247</v>
      </c>
      <c r="B252" s="225" t="s">
        <v>352</v>
      </c>
      <c r="C252" s="226" t="s">
        <v>649</v>
      </c>
      <c r="D252" s="245">
        <v>6.4874699997918093E-3</v>
      </c>
      <c r="E252" s="246">
        <f t="shared" si="5"/>
        <v>7768597096</v>
      </c>
      <c r="F252" s="1"/>
      <c r="G252" s="205"/>
    </row>
    <row r="253" spans="1:7" s="229" customFormat="1" ht="24.95" customHeight="1">
      <c r="A253" s="224">
        <v>248</v>
      </c>
      <c r="B253" s="225" t="s">
        <v>353</v>
      </c>
      <c r="C253" s="226" t="s">
        <v>554</v>
      </c>
      <c r="D253" s="245">
        <v>2.5949879995826879E-3</v>
      </c>
      <c r="E253" s="246">
        <f t="shared" si="5"/>
        <v>3107438838</v>
      </c>
      <c r="F253" s="1"/>
      <c r="G253" s="205"/>
    </row>
    <row r="254" spans="1:7" s="229" customFormat="1" ht="24.95" customHeight="1">
      <c r="A254" s="224">
        <v>249</v>
      </c>
      <c r="B254" s="225" t="s">
        <v>354</v>
      </c>
      <c r="C254" s="226" t="s">
        <v>555</v>
      </c>
      <c r="D254" s="245">
        <v>2.5949879995826879E-3</v>
      </c>
      <c r="E254" s="246">
        <f t="shared" si="5"/>
        <v>3107438838</v>
      </c>
      <c r="F254" s="1"/>
      <c r="G254" s="205"/>
    </row>
    <row r="255" spans="1:7" s="229" customFormat="1" ht="24.95" customHeight="1">
      <c r="A255" s="224">
        <v>250</v>
      </c>
      <c r="B255" s="225" t="s">
        <v>355</v>
      </c>
      <c r="C255" s="226" t="s">
        <v>556</v>
      </c>
      <c r="D255" s="245">
        <v>1.7299919997217921E-3</v>
      </c>
      <c r="E255" s="246">
        <f t="shared" si="5"/>
        <v>2071625892</v>
      </c>
      <c r="F255" s="1"/>
      <c r="G255" s="205"/>
    </row>
    <row r="256" spans="1:7" s="229" customFormat="1" ht="24.95" customHeight="1">
      <c r="A256" s="224">
        <v>251</v>
      </c>
      <c r="B256" s="225" t="s">
        <v>356</v>
      </c>
      <c r="C256" s="226" t="s">
        <v>557</v>
      </c>
      <c r="D256" s="245">
        <v>1.7299919997217921E-3</v>
      </c>
      <c r="E256" s="246">
        <f t="shared" si="5"/>
        <v>2071625892</v>
      </c>
      <c r="F256" s="1"/>
      <c r="G256" s="205"/>
    </row>
    <row r="257" spans="1:7" s="229" customFormat="1" ht="24.95" customHeight="1">
      <c r="A257" s="224">
        <v>252</v>
      </c>
      <c r="B257" s="225" t="s">
        <v>357</v>
      </c>
      <c r="C257" s="226" t="s">
        <v>558</v>
      </c>
      <c r="D257" s="245">
        <v>1.0812450002436645E-3</v>
      </c>
      <c r="E257" s="246">
        <f t="shared" si="5"/>
        <v>1294766183</v>
      </c>
      <c r="F257" s="1"/>
      <c r="G257" s="205"/>
    </row>
    <row r="258" spans="1:7" s="229" customFormat="1" ht="24.95" customHeight="1">
      <c r="A258" s="224">
        <v>253</v>
      </c>
      <c r="B258" s="225" t="s">
        <v>358</v>
      </c>
      <c r="C258" s="226" t="s">
        <v>560</v>
      </c>
      <c r="D258" s="245">
        <v>9.082457996034141E-4</v>
      </c>
      <c r="E258" s="246">
        <f t="shared" si="5"/>
        <v>1087603593</v>
      </c>
      <c r="F258" s="232"/>
      <c r="G258" s="205"/>
    </row>
    <row r="259" spans="1:7" s="217" customFormat="1" ht="30" customHeight="1">
      <c r="A259" s="212">
        <v>254</v>
      </c>
      <c r="B259" s="213" t="s">
        <v>214</v>
      </c>
      <c r="C259" s="214" t="s">
        <v>453</v>
      </c>
      <c r="D259" s="230">
        <f>D260+D271</f>
        <v>2.3147512398109797E-2</v>
      </c>
      <c r="E259" s="231">
        <f t="shared" si="5"/>
        <v>27718617211.540173</v>
      </c>
      <c r="F259" s="232"/>
      <c r="G259" s="205"/>
    </row>
    <row r="260" spans="1:7" s="217" customFormat="1" ht="24.95" customHeight="1">
      <c r="A260" s="218">
        <v>255</v>
      </c>
      <c r="B260" s="242" t="s">
        <v>359</v>
      </c>
      <c r="C260" s="243" t="s">
        <v>566</v>
      </c>
      <c r="D260" s="221">
        <f>SUM(D261:D270)</f>
        <v>1.2729373398931891E-2</v>
      </c>
      <c r="E260" s="247">
        <f t="shared" si="5"/>
        <v>15243133798.540174</v>
      </c>
      <c r="F260" s="1"/>
      <c r="G260" s="205"/>
    </row>
    <row r="261" spans="1:7" s="229" customFormat="1" ht="24.95" customHeight="1">
      <c r="A261" s="224">
        <v>256</v>
      </c>
      <c r="B261" s="225" t="s">
        <v>360</v>
      </c>
      <c r="C261" s="226" t="s">
        <v>527</v>
      </c>
      <c r="D261" s="245">
        <v>6.367361335119703E-4</v>
      </c>
      <c r="E261" s="246">
        <f t="shared" si="5"/>
        <v>762476971.43541348</v>
      </c>
      <c r="F261" s="1"/>
      <c r="G261" s="205"/>
    </row>
    <row r="262" spans="1:7" s="229" customFormat="1" ht="24.95" customHeight="1">
      <c r="A262" s="224">
        <v>257</v>
      </c>
      <c r="B262" s="225" t="s">
        <v>361</v>
      </c>
      <c r="C262" s="226" t="s">
        <v>528</v>
      </c>
      <c r="D262" s="245">
        <v>1.2734722670239408E-3</v>
      </c>
      <c r="E262" s="246">
        <f t="shared" si="5"/>
        <v>1524953942.8708272</v>
      </c>
      <c r="F262" s="1"/>
      <c r="G262" s="205"/>
    </row>
    <row r="263" spans="1:7" s="229" customFormat="1" ht="24.95" customHeight="1">
      <c r="A263" s="224">
        <v>258</v>
      </c>
      <c r="B263" s="225" t="s">
        <v>362</v>
      </c>
      <c r="C263" s="226" t="s">
        <v>529</v>
      </c>
      <c r="D263" s="245">
        <v>1.2734722670239408E-3</v>
      </c>
      <c r="E263" s="246">
        <f t="shared" si="5"/>
        <v>1524953942.8708272</v>
      </c>
      <c r="F263" s="1"/>
      <c r="G263" s="205"/>
    </row>
    <row r="264" spans="1:7" s="229" customFormat="1" ht="24.95" customHeight="1">
      <c r="A264" s="224">
        <v>259</v>
      </c>
      <c r="B264" s="225" t="s">
        <v>363</v>
      </c>
      <c r="C264" s="226" t="s">
        <v>530</v>
      </c>
      <c r="D264" s="245">
        <v>2.5469445340478816E-3</v>
      </c>
      <c r="E264" s="246">
        <f t="shared" si="5"/>
        <v>3049907885.7416544</v>
      </c>
      <c r="F264" s="1"/>
      <c r="G264" s="205"/>
    </row>
    <row r="265" spans="1:7" s="229" customFormat="1" ht="24.95" customHeight="1">
      <c r="A265" s="224">
        <v>260</v>
      </c>
      <c r="B265" s="225" t="s">
        <v>364</v>
      </c>
      <c r="C265" s="226" t="s">
        <v>531</v>
      </c>
      <c r="D265" s="245">
        <v>1.9102084005359111E-3</v>
      </c>
      <c r="E265" s="246">
        <f t="shared" si="5"/>
        <v>2287430914.3062406</v>
      </c>
      <c r="F265" s="1"/>
      <c r="G265" s="205"/>
    </row>
    <row r="266" spans="1:7" s="229" customFormat="1" ht="24.95" customHeight="1">
      <c r="A266" s="224">
        <v>261</v>
      </c>
      <c r="B266" s="225" t="s">
        <v>365</v>
      </c>
      <c r="C266" s="226" t="s">
        <v>600</v>
      </c>
      <c r="D266" s="245">
        <v>1.1429154772029635E-3</v>
      </c>
      <c r="E266" s="246">
        <f t="shared" si="5"/>
        <v>1368615170.0828412</v>
      </c>
      <c r="F266" s="1"/>
      <c r="G266" s="205"/>
    </row>
    <row r="267" spans="1:7" s="229" customFormat="1" ht="24.95" customHeight="1">
      <c r="A267" s="224">
        <v>262</v>
      </c>
      <c r="B267" s="225" t="s">
        <v>366</v>
      </c>
      <c r="C267" s="226" t="s">
        <v>533</v>
      </c>
      <c r="D267" s="245">
        <v>7.6194365202543143E-4</v>
      </c>
      <c r="E267" s="246">
        <f t="shared" si="5"/>
        <v>912410114.05530298</v>
      </c>
      <c r="F267" s="1"/>
      <c r="G267" s="205"/>
    </row>
    <row r="268" spans="1:7" s="229" customFormat="1" ht="24.95" customHeight="1">
      <c r="A268" s="224">
        <v>263</v>
      </c>
      <c r="B268" s="225" t="s">
        <v>367</v>
      </c>
      <c r="C268" s="226" t="s">
        <v>534</v>
      </c>
      <c r="D268" s="245">
        <v>1.2734722670239408E-3</v>
      </c>
      <c r="E268" s="246">
        <f t="shared" si="5"/>
        <v>1524953942.8708272</v>
      </c>
      <c r="F268" s="1"/>
      <c r="G268" s="205"/>
    </row>
    <row r="269" spans="1:7" s="229" customFormat="1" ht="24.95" customHeight="1">
      <c r="A269" s="224">
        <v>264</v>
      </c>
      <c r="B269" s="225" t="s">
        <v>368</v>
      </c>
      <c r="C269" s="226" t="s">
        <v>535</v>
      </c>
      <c r="D269" s="245">
        <v>1.2734722670239408E-3</v>
      </c>
      <c r="E269" s="246">
        <f t="shared" si="5"/>
        <v>1524953942.8708272</v>
      </c>
      <c r="F269" s="1"/>
      <c r="G269" s="205"/>
    </row>
    <row r="270" spans="1:7" s="229" customFormat="1" ht="24.95" customHeight="1">
      <c r="A270" s="224">
        <v>265</v>
      </c>
      <c r="B270" s="225" t="s">
        <v>674</v>
      </c>
      <c r="C270" s="226" t="s">
        <v>536</v>
      </c>
      <c r="D270" s="245">
        <v>6.3673613351197041E-4</v>
      </c>
      <c r="E270" s="246">
        <f t="shared" si="5"/>
        <v>762476971.4354136</v>
      </c>
      <c r="F270" s="1"/>
      <c r="G270" s="205"/>
    </row>
    <row r="271" spans="1:7" s="217" customFormat="1" ht="24.95" customHeight="1">
      <c r="A271" s="218">
        <v>266</v>
      </c>
      <c r="B271" s="242" t="s">
        <v>369</v>
      </c>
      <c r="C271" s="243" t="s">
        <v>601</v>
      </c>
      <c r="D271" s="221">
        <f>SUM(D272:D286)</f>
        <v>1.0418138999177906E-2</v>
      </c>
      <c r="E271" s="244">
        <f t="shared" si="5"/>
        <v>12475483413</v>
      </c>
      <c r="F271" s="1"/>
      <c r="G271" s="205"/>
    </row>
    <row r="272" spans="1:7" s="229" customFormat="1" ht="24.95" customHeight="1">
      <c r="A272" s="224">
        <v>267</v>
      </c>
      <c r="B272" s="225" t="s">
        <v>370</v>
      </c>
      <c r="C272" s="226" t="s">
        <v>542</v>
      </c>
      <c r="D272" s="245">
        <v>1.0418138988321749E-4</v>
      </c>
      <c r="E272" s="246">
        <f t="shared" si="5"/>
        <v>124754834</v>
      </c>
      <c r="F272" s="1"/>
      <c r="G272" s="205"/>
    </row>
    <row r="273" spans="1:7" s="229" customFormat="1" ht="24.95" customHeight="1">
      <c r="A273" s="224">
        <v>268</v>
      </c>
      <c r="B273" s="225" t="s">
        <v>371</v>
      </c>
      <c r="C273" s="226" t="s">
        <v>602</v>
      </c>
      <c r="D273" s="245">
        <v>2.5732803327877568E-3</v>
      </c>
      <c r="E273" s="246">
        <f t="shared" si="5"/>
        <v>3081444403</v>
      </c>
      <c r="F273" s="1"/>
      <c r="G273" s="205"/>
    </row>
    <row r="274" spans="1:7" s="229" customFormat="1" ht="24.95" customHeight="1">
      <c r="A274" s="224">
        <v>269</v>
      </c>
      <c r="B274" s="225" t="s">
        <v>372</v>
      </c>
      <c r="C274" s="226" t="s">
        <v>603</v>
      </c>
      <c r="D274" s="245">
        <v>9.7930506607136905E-4</v>
      </c>
      <c r="E274" s="246">
        <f t="shared" si="5"/>
        <v>1172695441</v>
      </c>
      <c r="F274" s="1"/>
      <c r="G274" s="205"/>
    </row>
    <row r="275" spans="1:7" s="229" customFormat="1" ht="24.95" customHeight="1">
      <c r="A275" s="224">
        <v>270</v>
      </c>
      <c r="B275" s="225" t="s">
        <v>373</v>
      </c>
      <c r="C275" s="226" t="s">
        <v>604</v>
      </c>
      <c r="D275" s="245">
        <v>3.7505300408063636E-4</v>
      </c>
      <c r="E275" s="246">
        <f t="shared" si="5"/>
        <v>449117403</v>
      </c>
      <c r="F275" s="1"/>
      <c r="G275" s="205"/>
    </row>
    <row r="276" spans="1:7" s="229" customFormat="1" ht="24.95" customHeight="1">
      <c r="A276" s="224">
        <v>271</v>
      </c>
      <c r="B276" s="225" t="s">
        <v>374</v>
      </c>
      <c r="C276" s="226" t="s">
        <v>605</v>
      </c>
      <c r="D276" s="245">
        <v>4.5839811582019257E-4</v>
      </c>
      <c r="E276" s="246">
        <f t="shared" si="5"/>
        <v>548921270</v>
      </c>
      <c r="F276" s="1"/>
      <c r="G276" s="205"/>
    </row>
    <row r="277" spans="1:7" s="229" customFormat="1" ht="24.95" customHeight="1">
      <c r="A277" s="224">
        <v>272</v>
      </c>
      <c r="B277" s="225" t="s">
        <v>375</v>
      </c>
      <c r="C277" s="226" t="s">
        <v>652</v>
      </c>
      <c r="D277" s="245">
        <v>2.3961719698192691E-3</v>
      </c>
      <c r="E277" s="246">
        <f t="shared" si="5"/>
        <v>2869361185</v>
      </c>
      <c r="F277" s="1"/>
      <c r="G277" s="205"/>
    </row>
    <row r="278" spans="1:7" s="229" customFormat="1" ht="24.95" customHeight="1">
      <c r="A278" s="224">
        <v>273</v>
      </c>
      <c r="B278" s="225" t="s">
        <v>376</v>
      </c>
      <c r="C278" s="226" t="s">
        <v>607</v>
      </c>
      <c r="D278" s="245">
        <v>5.3132508890546255E-4</v>
      </c>
      <c r="E278" s="246">
        <f t="shared" si="5"/>
        <v>636249654</v>
      </c>
      <c r="F278" s="1"/>
      <c r="G278" s="205"/>
    </row>
    <row r="279" spans="1:7" s="229" customFormat="1" ht="24.95" customHeight="1">
      <c r="A279" s="224">
        <v>274</v>
      </c>
      <c r="B279" s="225" t="s">
        <v>377</v>
      </c>
      <c r="C279" s="226" t="s">
        <v>608</v>
      </c>
      <c r="D279" s="245">
        <v>2.5003533605375759E-4</v>
      </c>
      <c r="E279" s="246">
        <f t="shared" si="5"/>
        <v>299411602</v>
      </c>
      <c r="F279" s="1"/>
      <c r="G279" s="205"/>
    </row>
    <row r="280" spans="1:7" s="229" customFormat="1" ht="24.95" customHeight="1">
      <c r="A280" s="224">
        <v>275</v>
      </c>
      <c r="B280" s="225" t="s">
        <v>675</v>
      </c>
      <c r="C280" s="226" t="s">
        <v>554</v>
      </c>
      <c r="D280" s="245">
        <v>6.1467020064501882E-4</v>
      </c>
      <c r="E280" s="246">
        <f t="shared" si="5"/>
        <v>736053521</v>
      </c>
      <c r="F280" s="1"/>
      <c r="G280" s="205"/>
    </row>
    <row r="281" spans="1:7" s="229" customFormat="1" ht="24.95" customHeight="1">
      <c r="A281" s="224">
        <v>276</v>
      </c>
      <c r="B281" s="225" t="s">
        <v>676</v>
      </c>
      <c r="C281" s="226" t="s">
        <v>555</v>
      </c>
      <c r="D281" s="245">
        <v>6.1467020064501882E-4</v>
      </c>
      <c r="E281" s="246">
        <f t="shared" si="5"/>
        <v>736053521</v>
      </c>
      <c r="F281" s="1"/>
      <c r="G281" s="205"/>
    </row>
    <row r="282" spans="1:7" s="229" customFormat="1" ht="24.95" customHeight="1">
      <c r="A282" s="224">
        <v>277</v>
      </c>
      <c r="B282" s="225" t="s">
        <v>677</v>
      </c>
      <c r="C282" s="226" t="s">
        <v>556</v>
      </c>
      <c r="D282" s="245">
        <v>4.1672556036795896E-4</v>
      </c>
      <c r="E282" s="246">
        <f t="shared" si="5"/>
        <v>499019337</v>
      </c>
      <c r="F282" s="1"/>
      <c r="G282" s="205"/>
    </row>
    <row r="283" spans="1:7" s="229" customFormat="1" ht="24.95" customHeight="1">
      <c r="A283" s="224">
        <v>278</v>
      </c>
      <c r="B283" s="225" t="s">
        <v>678</v>
      </c>
      <c r="C283" s="226" t="s">
        <v>613</v>
      </c>
      <c r="D283" s="245">
        <v>4.1672556036795896E-4</v>
      </c>
      <c r="E283" s="246">
        <f t="shared" si="5"/>
        <v>499019337</v>
      </c>
      <c r="F283" s="1"/>
      <c r="G283" s="205"/>
    </row>
    <row r="284" spans="1:7" s="229" customFormat="1" ht="24.95" customHeight="1">
      <c r="A284" s="224">
        <v>279</v>
      </c>
      <c r="B284" s="225" t="s">
        <v>679</v>
      </c>
      <c r="C284" s="226" t="s">
        <v>615</v>
      </c>
      <c r="D284" s="245">
        <v>2.2919905791009629E-4</v>
      </c>
      <c r="E284" s="246">
        <f t="shared" si="5"/>
        <v>274460635</v>
      </c>
      <c r="F284" s="1"/>
      <c r="G284" s="205"/>
    </row>
    <row r="285" spans="1:7" s="229" customFormat="1" ht="24.95" customHeight="1">
      <c r="A285" s="224">
        <v>280</v>
      </c>
      <c r="B285" s="225" t="s">
        <v>680</v>
      </c>
      <c r="C285" s="226" t="s">
        <v>617</v>
      </c>
      <c r="D285" s="245">
        <v>2.2919905791009629E-4</v>
      </c>
      <c r="E285" s="246">
        <f t="shared" si="5"/>
        <v>274460635</v>
      </c>
      <c r="F285" s="1"/>
      <c r="G285" s="205"/>
    </row>
    <row r="286" spans="1:7" s="229" customFormat="1" ht="24.95" customHeight="1">
      <c r="A286" s="224">
        <v>281</v>
      </c>
      <c r="B286" s="225" t="s">
        <v>681</v>
      </c>
      <c r="C286" s="226" t="s">
        <v>619</v>
      </c>
      <c r="D286" s="245">
        <v>2.2919905791009629E-4</v>
      </c>
      <c r="E286" s="246">
        <f t="shared" si="5"/>
        <v>274460635</v>
      </c>
      <c r="F286" s="217"/>
      <c r="G286" s="205"/>
    </row>
    <row r="287" spans="1:7" s="217" customFormat="1" ht="30" customHeight="1">
      <c r="A287" s="212">
        <v>282</v>
      </c>
      <c r="B287" s="213" t="s">
        <v>397</v>
      </c>
      <c r="C287" s="214" t="s">
        <v>682</v>
      </c>
      <c r="D287" s="215">
        <f>D288+D299+D310</f>
        <v>0.13105999999934537</v>
      </c>
      <c r="E287" s="216">
        <f t="shared" si="5"/>
        <v>156941355479</v>
      </c>
      <c r="G287" s="205"/>
    </row>
    <row r="288" spans="1:7" s="217" customFormat="1" ht="24.95" customHeight="1">
      <c r="A288" s="218">
        <v>283</v>
      </c>
      <c r="B288" s="242" t="s">
        <v>398</v>
      </c>
      <c r="C288" s="243" t="s">
        <v>566</v>
      </c>
      <c r="D288" s="221">
        <f>SUM(D289:D298)</f>
        <v>4.8492200000400804E-2</v>
      </c>
      <c r="E288" s="244">
        <f t="shared" si="5"/>
        <v>58068301528</v>
      </c>
      <c r="F288" s="1"/>
      <c r="G288" s="205"/>
    </row>
    <row r="289" spans="1:7" s="229" customFormat="1" ht="24.95" customHeight="1">
      <c r="A289" s="224">
        <v>284</v>
      </c>
      <c r="B289" s="225" t="s">
        <v>399</v>
      </c>
      <c r="C289" s="226" t="s">
        <v>527</v>
      </c>
      <c r="D289" s="245">
        <v>2.4246099996860044E-3</v>
      </c>
      <c r="E289" s="246">
        <f t="shared" si="5"/>
        <v>2903415076</v>
      </c>
      <c r="F289" s="1"/>
      <c r="G289" s="205"/>
    </row>
    <row r="290" spans="1:7" s="229" customFormat="1" ht="24.95" customHeight="1">
      <c r="A290" s="224">
        <v>285</v>
      </c>
      <c r="B290" s="225" t="s">
        <v>400</v>
      </c>
      <c r="C290" s="226" t="s">
        <v>528</v>
      </c>
      <c r="D290" s="245">
        <v>4.8492200002070978E-3</v>
      </c>
      <c r="E290" s="246">
        <f t="shared" si="5"/>
        <v>5806830153</v>
      </c>
      <c r="F290" s="1"/>
      <c r="G290" s="205"/>
    </row>
    <row r="291" spans="1:7" s="229" customFormat="1" ht="24.95" customHeight="1">
      <c r="A291" s="224">
        <v>286</v>
      </c>
      <c r="B291" s="225" t="s">
        <v>401</v>
      </c>
      <c r="C291" s="226" t="s">
        <v>536</v>
      </c>
      <c r="D291" s="245">
        <v>2.4246099996860044E-3</v>
      </c>
      <c r="E291" s="246">
        <f t="shared" si="5"/>
        <v>2903415076</v>
      </c>
      <c r="F291" s="1"/>
      <c r="G291" s="205"/>
    </row>
    <row r="292" spans="1:7" s="229" customFormat="1" ht="24.95" customHeight="1">
      <c r="A292" s="224">
        <v>287</v>
      </c>
      <c r="B292" s="225" t="s">
        <v>402</v>
      </c>
      <c r="C292" s="226" t="s">
        <v>621</v>
      </c>
      <c r="D292" s="245">
        <v>4.8492200002070978E-3</v>
      </c>
      <c r="E292" s="246">
        <f t="shared" si="5"/>
        <v>5806830153</v>
      </c>
      <c r="F292" s="1"/>
      <c r="G292" s="205"/>
    </row>
    <row r="293" spans="1:7" s="229" customFormat="1" ht="24.95" customHeight="1">
      <c r="A293" s="224">
        <v>288</v>
      </c>
      <c r="B293" s="225" t="s">
        <v>403</v>
      </c>
      <c r="C293" s="226" t="s">
        <v>622</v>
      </c>
      <c r="D293" s="245">
        <v>9.6984400004141956E-3</v>
      </c>
      <c r="E293" s="246">
        <f t="shared" si="5"/>
        <v>11613660306</v>
      </c>
      <c r="F293" s="1"/>
      <c r="G293" s="205"/>
    </row>
    <row r="294" spans="1:7" s="229" customFormat="1" ht="24.95" customHeight="1">
      <c r="A294" s="224">
        <v>289</v>
      </c>
      <c r="B294" s="225" t="s">
        <v>404</v>
      </c>
      <c r="C294" s="226" t="s">
        <v>623</v>
      </c>
      <c r="D294" s="245">
        <v>7.2738299998931022E-3</v>
      </c>
      <c r="E294" s="246">
        <f t="shared" si="5"/>
        <v>8710245229</v>
      </c>
      <c r="F294" s="1"/>
      <c r="G294" s="205"/>
    </row>
    <row r="295" spans="1:7" s="229" customFormat="1" ht="24.95" customHeight="1">
      <c r="A295" s="224">
        <v>290</v>
      </c>
      <c r="B295" s="225" t="s">
        <v>405</v>
      </c>
      <c r="C295" s="226" t="s">
        <v>624</v>
      </c>
      <c r="D295" s="245">
        <v>5.576603000279917E-3</v>
      </c>
      <c r="E295" s="246">
        <f t="shared" si="5"/>
        <v>6677854676</v>
      </c>
      <c r="F295" s="1"/>
      <c r="G295" s="205"/>
    </row>
    <row r="296" spans="1:7" s="229" customFormat="1" ht="24.95" customHeight="1">
      <c r="A296" s="224">
        <v>291</v>
      </c>
      <c r="B296" s="225" t="s">
        <v>406</v>
      </c>
      <c r="C296" s="226" t="s">
        <v>625</v>
      </c>
      <c r="D296" s="245">
        <v>4.1218370001342786E-3</v>
      </c>
      <c r="E296" s="246">
        <f t="shared" si="5"/>
        <v>4935805630</v>
      </c>
      <c r="F296" s="1"/>
      <c r="G296" s="205"/>
    </row>
    <row r="297" spans="1:7" s="229" customFormat="1" ht="24.95" customHeight="1">
      <c r="A297" s="224">
        <v>292</v>
      </c>
      <c r="B297" s="225" t="s">
        <v>407</v>
      </c>
      <c r="C297" s="226" t="s">
        <v>626</v>
      </c>
      <c r="D297" s="245">
        <v>3.6369149999465511E-3</v>
      </c>
      <c r="E297" s="246">
        <f t="shared" si="5"/>
        <v>4355122614.5</v>
      </c>
      <c r="F297" s="1"/>
      <c r="G297" s="205"/>
    </row>
    <row r="298" spans="1:7" s="229" customFormat="1" ht="24.95" customHeight="1">
      <c r="A298" s="224">
        <v>293</v>
      </c>
      <c r="B298" s="225" t="s">
        <v>683</v>
      </c>
      <c r="C298" s="226" t="s">
        <v>628</v>
      </c>
      <c r="D298" s="245">
        <v>3.6369149999465511E-3</v>
      </c>
      <c r="E298" s="246">
        <f t="shared" si="5"/>
        <v>4355122614.5</v>
      </c>
      <c r="F298" s="235" t="e">
        <f>D299-#REF!</f>
        <v>#REF!</v>
      </c>
      <c r="G298" s="205"/>
    </row>
    <row r="299" spans="1:7" s="217" customFormat="1" ht="24.95" customHeight="1">
      <c r="A299" s="218">
        <v>294</v>
      </c>
      <c r="B299" s="242" t="s">
        <v>684</v>
      </c>
      <c r="C299" s="243" t="s">
        <v>630</v>
      </c>
      <c r="D299" s="221">
        <f>SUM(D300:D309)</f>
        <v>3.9318000000054136E-2</v>
      </c>
      <c r="E299" s="244">
        <f t="shared" si="5"/>
        <v>47082406644</v>
      </c>
      <c r="F299" s="1"/>
      <c r="G299" s="205"/>
    </row>
    <row r="300" spans="1:7" s="229" customFormat="1" ht="24.95" customHeight="1">
      <c r="A300" s="224">
        <v>295</v>
      </c>
      <c r="B300" s="225" t="s">
        <v>685</v>
      </c>
      <c r="C300" s="226" t="s">
        <v>561</v>
      </c>
      <c r="D300" s="245">
        <v>1.3368120000886898E-3</v>
      </c>
      <c r="E300" s="246">
        <f t="shared" si="5"/>
        <v>1600801826</v>
      </c>
      <c r="F300" s="1"/>
      <c r="G300" s="205"/>
    </row>
    <row r="301" spans="1:7" s="229" customFormat="1" ht="24.95" customHeight="1">
      <c r="A301" s="224">
        <v>296</v>
      </c>
      <c r="B301" s="225" t="s">
        <v>686</v>
      </c>
      <c r="C301" s="226" t="s">
        <v>633</v>
      </c>
      <c r="D301" s="245">
        <v>7.077240000076551E-3</v>
      </c>
      <c r="E301" s="246">
        <f t="shared" si="5"/>
        <v>8474833196</v>
      </c>
      <c r="F301" s="1"/>
      <c r="G301" s="205"/>
    </row>
    <row r="302" spans="1:7" s="229" customFormat="1" ht="24.95" customHeight="1">
      <c r="A302" s="224">
        <v>297</v>
      </c>
      <c r="B302" s="225" t="s">
        <v>687</v>
      </c>
      <c r="C302" s="226" t="s">
        <v>635</v>
      </c>
      <c r="D302" s="245">
        <v>1.4154480000153102E-2</v>
      </c>
      <c r="E302" s="246">
        <f t="shared" si="5"/>
        <v>16949666392</v>
      </c>
      <c r="F302" s="1"/>
      <c r="G302" s="205"/>
    </row>
    <row r="303" spans="1:7" s="229" customFormat="1" ht="24.95" customHeight="1">
      <c r="A303" s="224">
        <v>298</v>
      </c>
      <c r="B303" s="225" t="s">
        <v>688</v>
      </c>
      <c r="C303" s="226" t="s">
        <v>637</v>
      </c>
      <c r="D303" s="245">
        <v>7.077240000076551E-3</v>
      </c>
      <c r="E303" s="246">
        <f t="shared" si="5"/>
        <v>8474833196</v>
      </c>
      <c r="F303" s="1"/>
      <c r="G303" s="205"/>
    </row>
    <row r="304" spans="1:7" s="229" customFormat="1" ht="24.95" customHeight="1">
      <c r="A304" s="224">
        <v>299</v>
      </c>
      <c r="B304" s="225" t="s">
        <v>689</v>
      </c>
      <c r="C304" s="226" t="s">
        <v>639</v>
      </c>
      <c r="D304" s="245">
        <v>3.9317999963310216E-4</v>
      </c>
      <c r="E304" s="246">
        <f t="shared" si="5"/>
        <v>470824066</v>
      </c>
      <c r="F304" s="1"/>
      <c r="G304" s="205"/>
    </row>
    <row r="305" spans="1:7" s="229" customFormat="1" ht="24.95" customHeight="1">
      <c r="A305" s="224">
        <v>300</v>
      </c>
      <c r="B305" s="225" t="s">
        <v>690</v>
      </c>
      <c r="C305" s="226" t="s">
        <v>641</v>
      </c>
      <c r="D305" s="245">
        <v>7.0772400034169072E-4</v>
      </c>
      <c r="E305" s="246">
        <f t="shared" ref="E305:E333" si="6">$F$6*D305</f>
        <v>847483320</v>
      </c>
      <c r="F305" s="1"/>
      <c r="G305" s="205"/>
    </row>
    <row r="306" spans="1:7" s="229" customFormat="1" ht="24.95" customHeight="1">
      <c r="A306" s="224">
        <v>301</v>
      </c>
      <c r="B306" s="225" t="s">
        <v>691</v>
      </c>
      <c r="C306" s="226" t="s">
        <v>643</v>
      </c>
      <c r="D306" s="245">
        <v>2.2018079999495859E-3</v>
      </c>
      <c r="E306" s="246">
        <f t="shared" si="6"/>
        <v>2636614772</v>
      </c>
      <c r="F306" s="1"/>
      <c r="G306" s="205"/>
    </row>
    <row r="307" spans="1:7" s="229" customFormat="1" ht="24.95" customHeight="1">
      <c r="A307" s="224">
        <v>302</v>
      </c>
      <c r="B307" s="225" t="s">
        <v>692</v>
      </c>
      <c r="C307" s="226" t="s">
        <v>645</v>
      </c>
      <c r="D307" s="245">
        <v>3.3027119999243788E-3</v>
      </c>
      <c r="E307" s="246">
        <f t="shared" si="6"/>
        <v>3954922158</v>
      </c>
      <c r="F307" s="1"/>
      <c r="G307" s="205"/>
    </row>
    <row r="308" spans="1:7" s="229" customFormat="1" ht="24.95" customHeight="1">
      <c r="A308" s="224">
        <v>303</v>
      </c>
      <c r="B308" s="225" t="s">
        <v>693</v>
      </c>
      <c r="C308" s="226" t="s">
        <v>647</v>
      </c>
      <c r="D308" s="245">
        <v>1.1009039999747929E-3</v>
      </c>
      <c r="E308" s="246">
        <f t="shared" si="6"/>
        <v>1318307386</v>
      </c>
      <c r="F308" s="1"/>
      <c r="G308" s="205"/>
    </row>
    <row r="309" spans="1:7" s="229" customFormat="1" ht="24.95" customHeight="1">
      <c r="A309" s="224">
        <v>304</v>
      </c>
      <c r="B309" s="225" t="s">
        <v>694</v>
      </c>
      <c r="C309" s="226" t="s">
        <v>536</v>
      </c>
      <c r="D309" s="245">
        <v>1.9658999998356888E-3</v>
      </c>
      <c r="E309" s="246">
        <f t="shared" si="6"/>
        <v>2354120332</v>
      </c>
      <c r="F309" s="217"/>
      <c r="G309" s="205"/>
    </row>
    <row r="310" spans="1:7" s="217" customFormat="1" ht="24.95" customHeight="1">
      <c r="A310" s="218">
        <v>305</v>
      </c>
      <c r="B310" s="242" t="s">
        <v>408</v>
      </c>
      <c r="C310" s="243" t="s">
        <v>601</v>
      </c>
      <c r="D310" s="221">
        <f>SUM(D311:D328)</f>
        <v>4.324979999889042E-2</v>
      </c>
      <c r="E310" s="244">
        <f t="shared" si="6"/>
        <v>51790647307</v>
      </c>
      <c r="F310" s="1"/>
      <c r="G310" s="205"/>
    </row>
    <row r="311" spans="1:7" s="229" customFormat="1" ht="24.95" customHeight="1">
      <c r="A311" s="224">
        <v>306</v>
      </c>
      <c r="B311" s="225" t="s">
        <v>409</v>
      </c>
      <c r="C311" s="226" t="s">
        <v>542</v>
      </c>
      <c r="D311" s="245">
        <v>4.3249799993044802E-4</v>
      </c>
      <c r="E311" s="246">
        <f t="shared" si="6"/>
        <v>517906473</v>
      </c>
      <c r="F311" s="1"/>
      <c r="G311" s="205"/>
    </row>
    <row r="312" spans="1:7" s="229" customFormat="1" ht="24.95" customHeight="1">
      <c r="A312" s="224">
        <v>307</v>
      </c>
      <c r="B312" s="225" t="s">
        <v>410</v>
      </c>
      <c r="C312" s="226" t="s">
        <v>543</v>
      </c>
      <c r="D312" s="245">
        <v>4.2817302003970506E-3</v>
      </c>
      <c r="E312" s="246">
        <f t="shared" si="6"/>
        <v>5127274084</v>
      </c>
      <c r="F312" s="1"/>
      <c r="G312" s="205"/>
    </row>
    <row r="313" spans="1:7" s="229" customFormat="1" ht="24.95" customHeight="1">
      <c r="A313" s="224">
        <v>308</v>
      </c>
      <c r="B313" s="225" t="s">
        <v>411</v>
      </c>
      <c r="C313" s="226" t="s">
        <v>544</v>
      </c>
      <c r="D313" s="245">
        <v>4.3249800001395689E-3</v>
      </c>
      <c r="E313" s="246">
        <f t="shared" si="6"/>
        <v>5179064731</v>
      </c>
      <c r="F313" s="1"/>
      <c r="G313" s="205"/>
    </row>
    <row r="314" spans="1:7" s="229" customFormat="1" ht="24.95" customHeight="1">
      <c r="A314" s="224">
        <v>309</v>
      </c>
      <c r="B314" s="225" t="s">
        <v>412</v>
      </c>
      <c r="C314" s="226" t="s">
        <v>545</v>
      </c>
      <c r="D314" s="245">
        <v>4.3249800001395689E-3</v>
      </c>
      <c r="E314" s="246">
        <f t="shared" si="6"/>
        <v>5179064731</v>
      </c>
      <c r="F314" s="1"/>
      <c r="G314" s="205"/>
    </row>
    <row r="315" spans="1:7" s="229" customFormat="1" ht="24.95" customHeight="1">
      <c r="A315" s="224">
        <v>310</v>
      </c>
      <c r="B315" s="225" t="s">
        <v>413</v>
      </c>
      <c r="C315" s="226" t="s">
        <v>546</v>
      </c>
      <c r="D315" s="245">
        <v>3.4599840002786731E-3</v>
      </c>
      <c r="E315" s="246">
        <f t="shared" si="6"/>
        <v>4143251785</v>
      </c>
      <c r="F315" s="1"/>
      <c r="G315" s="205"/>
    </row>
    <row r="316" spans="1:7" s="229" customFormat="1" ht="24.95" customHeight="1">
      <c r="A316" s="224">
        <v>311</v>
      </c>
      <c r="B316" s="225" t="s">
        <v>414</v>
      </c>
      <c r="C316" s="226" t="s">
        <v>547</v>
      </c>
      <c r="D316" s="245">
        <v>2.16248999965224E-3</v>
      </c>
      <c r="E316" s="246">
        <f t="shared" si="6"/>
        <v>2589532365</v>
      </c>
      <c r="F316" s="1"/>
      <c r="G316" s="205"/>
    </row>
    <row r="317" spans="1:7" s="229" customFormat="1" ht="24.95" customHeight="1">
      <c r="A317" s="224">
        <v>312</v>
      </c>
      <c r="B317" s="225" t="s">
        <v>415</v>
      </c>
      <c r="C317" s="226" t="s">
        <v>548</v>
      </c>
      <c r="D317" s="245">
        <v>1.7299919997217921E-3</v>
      </c>
      <c r="E317" s="246">
        <f t="shared" si="6"/>
        <v>2071625892</v>
      </c>
      <c r="F317" s="1"/>
      <c r="G317" s="205"/>
    </row>
    <row r="318" spans="1:7" s="229" customFormat="1" ht="24.95" customHeight="1">
      <c r="A318" s="224">
        <v>313</v>
      </c>
      <c r="B318" s="225" t="s">
        <v>416</v>
      </c>
      <c r="C318" s="226" t="s">
        <v>549</v>
      </c>
      <c r="D318" s="245">
        <v>1.0812450002436645E-3</v>
      </c>
      <c r="E318" s="246">
        <f t="shared" si="6"/>
        <v>1294766183</v>
      </c>
      <c r="F318" s="1"/>
      <c r="G318" s="205"/>
    </row>
    <row r="319" spans="1:7" s="229" customFormat="1" ht="24.95" customHeight="1">
      <c r="A319" s="224">
        <v>314</v>
      </c>
      <c r="B319" s="225" t="s">
        <v>417</v>
      </c>
      <c r="C319" s="226" t="s">
        <v>550</v>
      </c>
      <c r="D319" s="245">
        <v>2.16248999965224E-3</v>
      </c>
      <c r="E319" s="246">
        <f t="shared" si="6"/>
        <v>2589532365</v>
      </c>
      <c r="F319" s="1"/>
      <c r="G319" s="205"/>
    </row>
    <row r="320" spans="1:7" s="229" customFormat="1" ht="24.95" customHeight="1">
      <c r="A320" s="224">
        <v>315</v>
      </c>
      <c r="B320" s="225" t="s">
        <v>418</v>
      </c>
      <c r="C320" s="226" t="s">
        <v>551</v>
      </c>
      <c r="D320" s="245">
        <v>1.0812450002436645E-3</v>
      </c>
      <c r="E320" s="246">
        <f t="shared" si="6"/>
        <v>1294766183</v>
      </c>
      <c r="F320" s="1"/>
      <c r="G320" s="205"/>
    </row>
    <row r="321" spans="1:7" s="229" customFormat="1" ht="24.95" customHeight="1">
      <c r="A321" s="224">
        <v>316</v>
      </c>
      <c r="B321" s="225" t="s">
        <v>419</v>
      </c>
      <c r="C321" s="226" t="s">
        <v>552</v>
      </c>
      <c r="D321" s="245">
        <v>1.0812450002436645E-3</v>
      </c>
      <c r="E321" s="246">
        <f t="shared" si="6"/>
        <v>1294766183</v>
      </c>
      <c r="F321" s="1"/>
      <c r="G321" s="205"/>
    </row>
    <row r="322" spans="1:7" s="229" customFormat="1" ht="24.95" customHeight="1">
      <c r="A322" s="224">
        <v>317</v>
      </c>
      <c r="B322" s="225" t="s">
        <v>420</v>
      </c>
      <c r="C322" s="226" t="s">
        <v>649</v>
      </c>
      <c r="D322" s="245">
        <v>6.4874699997918093E-3</v>
      </c>
      <c r="E322" s="246">
        <f t="shared" si="6"/>
        <v>7768597096</v>
      </c>
      <c r="F322" s="1"/>
      <c r="G322" s="205"/>
    </row>
    <row r="323" spans="1:7" s="229" customFormat="1" ht="24.95" customHeight="1">
      <c r="A323" s="224">
        <v>318</v>
      </c>
      <c r="B323" s="225" t="s">
        <v>421</v>
      </c>
      <c r="C323" s="226" t="s">
        <v>554</v>
      </c>
      <c r="D323" s="245">
        <v>2.5949879995826879E-3</v>
      </c>
      <c r="E323" s="246">
        <f t="shared" si="6"/>
        <v>3107438838</v>
      </c>
      <c r="F323" s="1"/>
      <c r="G323" s="205"/>
    </row>
    <row r="324" spans="1:7" s="229" customFormat="1" ht="24.95" customHeight="1">
      <c r="A324" s="224">
        <v>319</v>
      </c>
      <c r="B324" s="225" t="s">
        <v>422</v>
      </c>
      <c r="C324" s="226" t="s">
        <v>555</v>
      </c>
      <c r="D324" s="245">
        <v>2.5949879995826879E-3</v>
      </c>
      <c r="E324" s="246">
        <f t="shared" si="6"/>
        <v>3107438838</v>
      </c>
      <c r="F324" s="1"/>
      <c r="G324" s="205"/>
    </row>
    <row r="325" spans="1:7" s="229" customFormat="1" ht="24.95" customHeight="1">
      <c r="A325" s="224">
        <v>320</v>
      </c>
      <c r="B325" s="225" t="s">
        <v>423</v>
      </c>
      <c r="C325" s="226" t="s">
        <v>556</v>
      </c>
      <c r="D325" s="245">
        <v>1.7299919997217921E-3</v>
      </c>
      <c r="E325" s="246">
        <f t="shared" si="6"/>
        <v>2071625892</v>
      </c>
      <c r="F325" s="1"/>
      <c r="G325" s="205"/>
    </row>
    <row r="326" spans="1:7" s="229" customFormat="1" ht="24.95" customHeight="1">
      <c r="A326" s="224">
        <v>321</v>
      </c>
      <c r="B326" s="225" t="s">
        <v>424</v>
      </c>
      <c r="C326" s="226" t="s">
        <v>557</v>
      </c>
      <c r="D326" s="245">
        <v>1.7299919997217921E-3</v>
      </c>
      <c r="E326" s="246">
        <f t="shared" si="6"/>
        <v>2071625892</v>
      </c>
      <c r="F326" s="1"/>
      <c r="G326" s="205"/>
    </row>
    <row r="327" spans="1:7" s="229" customFormat="1" ht="24.95" customHeight="1">
      <c r="A327" s="224">
        <v>322</v>
      </c>
      <c r="B327" s="225" t="s">
        <v>425</v>
      </c>
      <c r="C327" s="226" t="s">
        <v>558</v>
      </c>
      <c r="D327" s="245">
        <v>1.0812450002436645E-3</v>
      </c>
      <c r="E327" s="246">
        <f t="shared" si="6"/>
        <v>1294766183</v>
      </c>
      <c r="F327" s="1"/>
      <c r="G327" s="205"/>
    </row>
    <row r="328" spans="1:7" s="229" customFormat="1" ht="24.95" customHeight="1">
      <c r="A328" s="224">
        <v>323</v>
      </c>
      <c r="B328" s="225" t="s">
        <v>426</v>
      </c>
      <c r="C328" s="226" t="s">
        <v>560</v>
      </c>
      <c r="D328" s="245">
        <v>9.082457996034141E-4</v>
      </c>
      <c r="E328" s="246">
        <f t="shared" si="6"/>
        <v>1087603593</v>
      </c>
      <c r="F328" s="217"/>
      <c r="G328" s="205"/>
    </row>
    <row r="329" spans="1:7" s="217" customFormat="1" ht="30" customHeight="1">
      <c r="A329" s="212">
        <v>324</v>
      </c>
      <c r="B329" s="213" t="s">
        <v>695</v>
      </c>
      <c r="C329" s="214" t="s">
        <v>565</v>
      </c>
      <c r="D329" s="215">
        <v>3.9647647114819523E-2</v>
      </c>
      <c r="E329" s="216">
        <f t="shared" si="6"/>
        <v>47477151532</v>
      </c>
      <c r="F329" s="211"/>
      <c r="G329" s="205"/>
    </row>
    <row r="330" spans="1:7" customFormat="1" ht="30" customHeight="1">
      <c r="A330" s="206">
        <v>325</v>
      </c>
      <c r="B330" s="207">
        <v>1.7</v>
      </c>
      <c r="C330" s="208" t="s">
        <v>454</v>
      </c>
      <c r="D330" s="209">
        <f>SUM(D331:D333)</f>
        <v>1.2E-2</v>
      </c>
      <c r="E330" s="210">
        <f t="shared" si="6"/>
        <v>14369725818.384001</v>
      </c>
      <c r="F330" s="217"/>
      <c r="G330" s="205"/>
    </row>
    <row r="331" spans="1:7" s="217" customFormat="1" ht="30" customHeight="1">
      <c r="A331" s="212">
        <v>326</v>
      </c>
      <c r="B331" s="213" t="s">
        <v>165</v>
      </c>
      <c r="C331" s="214" t="s">
        <v>166</v>
      </c>
      <c r="D331" s="215">
        <v>5.0000000000000001E-3</v>
      </c>
      <c r="E331" s="216">
        <f t="shared" si="6"/>
        <v>5987385757.6599998</v>
      </c>
      <c r="G331" s="205"/>
    </row>
    <row r="332" spans="1:7" s="217" customFormat="1" ht="30" customHeight="1">
      <c r="A332" s="212">
        <v>327</v>
      </c>
      <c r="B332" s="213" t="s">
        <v>167</v>
      </c>
      <c r="C332" s="214" t="s">
        <v>168</v>
      </c>
      <c r="D332" s="215">
        <v>3.0000000000000001E-3</v>
      </c>
      <c r="E332" s="216">
        <f t="shared" si="6"/>
        <v>3592431454.5960002</v>
      </c>
      <c r="G332" s="205"/>
    </row>
    <row r="333" spans="1:7" s="217" customFormat="1" ht="30" customHeight="1">
      <c r="A333" s="212">
        <v>328</v>
      </c>
      <c r="B333" s="213" t="s">
        <v>169</v>
      </c>
      <c r="C333" s="214" t="s">
        <v>170</v>
      </c>
      <c r="D333" s="215">
        <v>4.0000000000000001E-3</v>
      </c>
      <c r="E333" s="216">
        <f t="shared" si="6"/>
        <v>4789908606.1280003</v>
      </c>
      <c r="F333" s="1"/>
      <c r="G333" s="1"/>
    </row>
  </sheetData>
  <mergeCells count="5">
    <mergeCell ref="C1:C4"/>
    <mergeCell ref="D1:E2"/>
    <mergeCell ref="D3:E3"/>
    <mergeCell ref="A4:B4"/>
    <mergeCell ref="D4:E4"/>
  </mergeCells>
  <printOptions horizontalCentered="1"/>
  <pageMargins left="0.39370078740157483" right="0.39370078740157483" top="0.39370078740157483" bottom="0.59055118110236227" header="0.31496062992125984" footer="0.27559055118110237"/>
  <pageSetup paperSize="9" scale="80" fitToHeight="0" orientation="portrait" r:id="rId1"/>
  <headerFooter>
    <oddFooter xml:space="preserve">&amp;L&amp;"B Nazanin,Regular"نماینده مشارکت:
&amp;C&amp;"B Nazanin,Regular"نماینده مشاور:
صفحه: &amp;P از &amp;N&amp;R&amp;"B Nazanin,Regular"نماینده کارفرما:
</oddFooter>
  </headerFooter>
  <rowBreaks count="10" manualBreakCount="10">
    <brk id="31" max="4" man="1"/>
    <brk id="56" max="4" man="1"/>
    <brk id="87" max="4" man="1"/>
    <brk id="116" max="4" man="1"/>
    <brk id="146" max="4" man="1"/>
    <brk id="175" max="4" man="1"/>
    <brk id="207" max="4" man="1"/>
    <brk id="239" max="4" man="1"/>
    <brk id="270" max="4" man="1"/>
    <brk id="303" max="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28</vt:i4>
      </vt:variant>
    </vt:vector>
  </HeadingPairs>
  <TitlesOfParts>
    <vt:vector size="46" baseType="lpstr">
      <vt:lpstr>فروش كالا و خدمات</vt:lpstr>
      <vt:lpstr>summary</vt:lpstr>
      <vt:lpstr>summary-2</vt:lpstr>
      <vt:lpstr>summary-Adjustment</vt:lpstr>
      <vt:lpstr>خلاصه متره کارکرد</vt:lpstr>
      <vt:lpstr>خلاصه مالي صورت وضعیت</vt:lpstr>
      <vt:lpstr>جمع بندي صورت وضعیت</vt:lpstr>
      <vt:lpstr>سازمان دهی و برنامه ریزی پروژه</vt:lpstr>
      <vt:lpstr>بیمه نامه ها</vt:lpstr>
      <vt:lpstr>تجهیز کارگاه اولیه</vt:lpstr>
      <vt:lpstr>تجهیز کارگاه مستمر</vt:lpstr>
      <vt:lpstr>خدمات طراحي  مهندسي پیش از اجرا</vt:lpstr>
      <vt:lpstr>خدمات طراحي و مهندسي حین اجرا</vt:lpstr>
      <vt:lpstr>خدمات مهندسي حين اجرا</vt:lpstr>
      <vt:lpstr>خدمات تامین</vt:lpstr>
      <vt:lpstr>خدمات اجرایی </vt:lpstr>
      <vt:lpstr>اختتامیه</vt:lpstr>
      <vt:lpstr>CBS</vt:lpstr>
      <vt:lpstr>CBS!Print_Area</vt:lpstr>
      <vt:lpstr>summary!Print_Area</vt:lpstr>
      <vt:lpstr>'summary-2'!Print_Area</vt:lpstr>
      <vt:lpstr>'summary-Adjustment'!Print_Area</vt:lpstr>
      <vt:lpstr>اختتامیه!Print_Area</vt:lpstr>
      <vt:lpstr>'بیمه نامه ها'!Print_Area</vt:lpstr>
      <vt:lpstr>'تجهیز کارگاه اولیه'!Print_Area</vt:lpstr>
      <vt:lpstr>'تجهیز کارگاه مستمر'!Print_Area</vt:lpstr>
      <vt:lpstr>'جمع بندي صورت وضعیت'!Print_Area</vt:lpstr>
      <vt:lpstr>'خدمات اجرایی '!Print_Area</vt:lpstr>
      <vt:lpstr>'خدمات تامین'!Print_Area</vt:lpstr>
      <vt:lpstr>'خدمات طراحي  مهندسي پیش از اجرا'!Print_Area</vt:lpstr>
      <vt:lpstr>'خدمات طراحي و مهندسي حین اجرا'!Print_Area</vt:lpstr>
      <vt:lpstr>'خدمات مهندسي حين اجرا'!Print_Area</vt:lpstr>
      <vt:lpstr>'خلاصه مالي صورت وضعیت'!Print_Area</vt:lpstr>
      <vt:lpstr>'خلاصه متره کارکرد'!Print_Area</vt:lpstr>
      <vt:lpstr>'سازمان دهی و برنامه ریزی پروژه'!Print_Area</vt:lpstr>
      <vt:lpstr>CBS!Print_Titles</vt:lpstr>
      <vt:lpstr>اختتامیه!Print_Titles</vt:lpstr>
      <vt:lpstr>'بیمه نامه ها'!Print_Titles</vt:lpstr>
      <vt:lpstr>'تجهیز کارگاه اولیه'!Print_Titles</vt:lpstr>
      <vt:lpstr>'تجهیز کارگاه مستمر'!Print_Titles</vt:lpstr>
      <vt:lpstr>'خدمات اجرایی '!Print_Titles</vt:lpstr>
      <vt:lpstr>'خدمات تامین'!Print_Titles</vt:lpstr>
      <vt:lpstr>'خدمات طراحي  مهندسي پیش از اجرا'!Print_Titles</vt:lpstr>
      <vt:lpstr>'خلاصه مالي صورت وضعیت'!Print_Titles</vt:lpstr>
      <vt:lpstr>'خلاصه متره کارکرد'!Print_Titles</vt:lpstr>
      <vt:lpstr>'سازمان دهی و برنامه ریزی پروژه'!Print_Titles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pedram</dc:creator>
  <cp:lastModifiedBy>Arash Tootoonchi</cp:lastModifiedBy>
  <cp:lastPrinted>2025-08-04T12:09:04Z</cp:lastPrinted>
  <dcterms:created xsi:type="dcterms:W3CDTF">2015-04-06T12:23:04Z</dcterms:created>
  <dcterms:modified xsi:type="dcterms:W3CDTF">2025-12-04T17:26:54Z</dcterms:modified>
</cp:coreProperties>
</file>