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4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sh\Desktop\"/>
    </mc:Choice>
  </mc:AlternateContent>
  <xr:revisionPtr revIDLastSave="0" documentId="8_{21CB76D7-F6C7-4E64-A638-AC249E1BDED3}" xr6:coauthVersionLast="47" xr6:coauthVersionMax="47" xr10:uidLastSave="{00000000-0000-0000-0000-000000000000}"/>
  <bookViews>
    <workbookView xWindow="-98" yWindow="-98" windowWidth="21795" windowHeight="13875" tabRatio="901" firstSheet="7" activeTab="12" xr2:uid="{00000000-000D-0000-FFFF-FFFF00000000}"/>
  </bookViews>
  <sheets>
    <sheet name="summary" sheetId="25" state="hidden" r:id="rId1"/>
    <sheet name="summary-2" sheetId="26" r:id="rId2"/>
    <sheet name="summary-Adjustment" sheetId="27" r:id="rId3"/>
    <sheet name="خلاصه مالي صورت وضعیت" sheetId="17" r:id="rId4"/>
    <sheet name="جمع بندي صورت وضعیت" sheetId="8" state="hidden" r:id="rId5"/>
    <sheet name="سازمان دهی و برنامه ریزی پروژه" sheetId="20" r:id="rId6"/>
    <sheet name="بیمه نامه ها" sheetId="2" r:id="rId7"/>
    <sheet name="تجهیز کارگاه اولیه" sheetId="19" r:id="rId8"/>
    <sheet name="تجهیز کارگاه مستمر" sheetId="9" r:id="rId9"/>
    <sheet name="خدمات طراحي  مهندسي پیش از اجرا" sheetId="18" r:id="rId10"/>
    <sheet name="خدمات طراحي و مهندسي حین اجرا" sheetId="10" r:id="rId11"/>
    <sheet name="خدمات مهندسي حين اجرا" sheetId="16" state="hidden" r:id="rId12"/>
    <sheet name="خدمات تامین" sheetId="12" r:id="rId13"/>
    <sheet name="خدمات اجرایی " sheetId="23" r:id="rId14"/>
    <sheet name="اختتامیه" sheetId="15" r:id="rId15"/>
    <sheet name="فصل13ریل" sheetId="33" r:id="rId16"/>
    <sheet name="CBS" sheetId="22" state="hidden" r:id="rId17"/>
  </sheets>
  <externalReferences>
    <externalReference r:id="rId18"/>
  </externalReferences>
  <definedNames>
    <definedName name="_xlnm._FilterDatabase" localSheetId="13" hidden="1">'خدمات اجرایی '!$C$6:$I$219</definedName>
    <definedName name="_xlnm._FilterDatabase" localSheetId="12" hidden="1">'خدمات تامین'!$B$6:$O$29</definedName>
    <definedName name="_xlnm.Print_Area" localSheetId="16">CBS!$A$1:$E$333</definedName>
    <definedName name="_xlnm.Print_Area" localSheetId="0">summary!$A$1:$R$43</definedName>
    <definedName name="_xlnm.Print_Area" localSheetId="1">'summary-2'!$A$1:$U$83</definedName>
    <definedName name="_xlnm.Print_Area" localSheetId="2">'summary-Adjustment'!$A$1:$U$71</definedName>
    <definedName name="_xlnm.Print_Area" localSheetId="14">اختتامیه!$A$1:$P$11</definedName>
    <definedName name="_xlnm.Print_Area" localSheetId="6">'بیمه نامه ها'!$A$1:$P$12</definedName>
    <definedName name="_xlnm.Print_Area" localSheetId="7">'تجهیز کارگاه اولیه'!$A$1:$P$20</definedName>
    <definedName name="_xlnm.Print_Area" localSheetId="8">'تجهیز کارگاه مستمر'!$A$1:$P$18</definedName>
    <definedName name="_xlnm.Print_Area" localSheetId="4">'جمع بندي صورت وضعیت'!$A$1:$O$29</definedName>
    <definedName name="_xlnm.Print_Area" localSheetId="13">'خدمات اجرایی '!$A$1:$P$217</definedName>
    <definedName name="_xlnm.Print_Area" localSheetId="12">'خدمات تامین'!$A$1:$P$27</definedName>
    <definedName name="_xlnm.Print_Area" localSheetId="9">'خدمات طراحي  مهندسي پیش از اجرا'!$A$1:$P$51</definedName>
    <definedName name="_xlnm.Print_Area" localSheetId="10">'خدمات طراحي و مهندسي حین اجرا'!$A$1:$P$15</definedName>
    <definedName name="_xlnm.Print_Area" localSheetId="11">'خدمات مهندسي حين اجرا'!$A$1:$O$33</definedName>
    <definedName name="_xlnm.Print_Area" localSheetId="3">'خلاصه مالي صورت وضعیت'!$A$1:$H$33</definedName>
    <definedName name="_xlnm.Print_Area" localSheetId="5">'سازمان دهی و برنامه ریزی پروژه'!$A$1:$P$17</definedName>
    <definedName name="_xlnm.Print_Titles" localSheetId="16">CBS!$1:$5</definedName>
    <definedName name="_xlnm.Print_Titles" localSheetId="14">اختتامیه!$1:$7</definedName>
    <definedName name="_xlnm.Print_Titles" localSheetId="6">'بیمه نامه ها'!$1:$7</definedName>
    <definedName name="_xlnm.Print_Titles" localSheetId="7">'تجهیز کارگاه اولیه'!$1:$7</definedName>
    <definedName name="_xlnm.Print_Titles" localSheetId="8">'تجهیز کارگاه مستمر'!$1:$7</definedName>
    <definedName name="_xlnm.Print_Titles" localSheetId="13">'خدمات اجرایی '!$1:$7</definedName>
    <definedName name="_xlnm.Print_Titles" localSheetId="12">'خدمات تامین'!$1:$7</definedName>
    <definedName name="_xlnm.Print_Titles" localSheetId="9">'خدمات طراحي  مهندسي پیش از اجرا'!$1:$7</definedName>
    <definedName name="_xlnm.Print_Titles" localSheetId="3">'خلاصه مالي صورت وضعیت'!$1:$7</definedName>
    <definedName name="_xlnm.Print_Titles" localSheetId="5">'سازمان دهی و برنامه ریزی پروژه'!$1:$7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6" i="23" l="1"/>
  <c r="I216" i="23"/>
  <c r="E216" i="23"/>
  <c r="L215" i="23"/>
  <c r="E215" i="23"/>
  <c r="L214" i="23"/>
  <c r="E214" i="23"/>
  <c r="L213" i="23"/>
  <c r="E213" i="23"/>
  <c r="L212" i="23"/>
  <c r="E212" i="23"/>
  <c r="L211" i="23"/>
  <c r="E211" i="23"/>
  <c r="L210" i="23"/>
  <c r="E210" i="23"/>
  <c r="L209" i="23"/>
  <c r="E209" i="23"/>
  <c r="L208" i="23"/>
  <c r="E208" i="23"/>
  <c r="L207" i="23"/>
  <c r="E207" i="23"/>
  <c r="L206" i="23"/>
  <c r="E206" i="23"/>
  <c r="L205" i="23"/>
  <c r="E205" i="23"/>
  <c r="E204" i="23"/>
  <c r="E203" i="23"/>
  <c r="E202" i="23"/>
  <c r="E201" i="23"/>
  <c r="D200" i="23"/>
  <c r="E199" i="23"/>
  <c r="E198" i="23"/>
  <c r="E197" i="23"/>
  <c r="E196" i="23"/>
  <c r="E195" i="23"/>
  <c r="E194" i="23"/>
  <c r="E193" i="23"/>
  <c r="E192" i="23"/>
  <c r="E191" i="23"/>
  <c r="D190" i="23"/>
  <c r="L188" i="23"/>
  <c r="E188" i="23"/>
  <c r="L187" i="23"/>
  <c r="E187" i="23"/>
  <c r="L186" i="23"/>
  <c r="E186" i="23"/>
  <c r="L185" i="23"/>
  <c r="E185" i="23"/>
  <c r="L184" i="23"/>
  <c r="E184" i="23"/>
  <c r="L183" i="23"/>
  <c r="E183" i="23"/>
  <c r="L182" i="23"/>
  <c r="E182" i="23"/>
  <c r="L181" i="23"/>
  <c r="E181" i="23"/>
  <c r="L180" i="23"/>
  <c r="E180" i="23"/>
  <c r="L179" i="23"/>
  <c r="E179" i="23"/>
  <c r="L178" i="23"/>
  <c r="E178" i="23"/>
  <c r="Q177" i="23"/>
  <c r="E177" i="23"/>
  <c r="L176" i="23"/>
  <c r="E176" i="23"/>
  <c r="L175" i="23"/>
  <c r="E175" i="23"/>
  <c r="L174" i="23"/>
  <c r="E174" i="23"/>
  <c r="L173" i="23"/>
  <c r="E173" i="23"/>
  <c r="E172" i="23"/>
  <c r="E171" i="23"/>
  <c r="D170" i="23"/>
  <c r="E168" i="23"/>
  <c r="E167" i="23"/>
  <c r="E166" i="23"/>
  <c r="E165" i="23"/>
  <c r="E164" i="23"/>
  <c r="E163" i="23"/>
  <c r="E162" i="23"/>
  <c r="E161" i="23"/>
  <c r="E160" i="23"/>
  <c r="E159" i="23"/>
  <c r="D158" i="23"/>
  <c r="L157" i="23"/>
  <c r="E157" i="23"/>
  <c r="L156" i="23"/>
  <c r="E156" i="23"/>
  <c r="L155" i="23"/>
  <c r="E155" i="23"/>
  <c r="L154" i="23"/>
  <c r="E154" i="23"/>
  <c r="L153" i="23"/>
  <c r="E153" i="23"/>
  <c r="L152" i="23"/>
  <c r="E152" i="23"/>
  <c r="L151" i="23"/>
  <c r="E151" i="23"/>
  <c r="L150" i="23"/>
  <c r="E150" i="23"/>
  <c r="L149" i="23"/>
  <c r="E149" i="23"/>
  <c r="D148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D131" i="23"/>
  <c r="E130" i="23"/>
  <c r="E129" i="23"/>
  <c r="E128" i="23"/>
  <c r="E127" i="23"/>
  <c r="E126" i="23"/>
  <c r="E125" i="23"/>
  <c r="E124" i="23"/>
  <c r="E123" i="23"/>
  <c r="E122" i="23"/>
  <c r="D121" i="23"/>
  <c r="D120" i="23" s="1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D101" i="23"/>
  <c r="L100" i="23"/>
  <c r="E99" i="23"/>
  <c r="E98" i="23"/>
  <c r="E97" i="23"/>
  <c r="E96" i="23"/>
  <c r="E95" i="23"/>
  <c r="E94" i="23"/>
  <c r="E93" i="23"/>
  <c r="E92" i="23"/>
  <c r="E91" i="23"/>
  <c r="E90" i="23"/>
  <c r="D89" i="23"/>
  <c r="E88" i="23"/>
  <c r="E87" i="23"/>
  <c r="E86" i="23"/>
  <c r="E85" i="23"/>
  <c r="E84" i="23"/>
  <c r="E83" i="23"/>
  <c r="E82" i="23"/>
  <c r="E81" i="23"/>
  <c r="E80" i="23"/>
  <c r="D79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D62" i="23"/>
  <c r="E61" i="23"/>
  <c r="E60" i="23"/>
  <c r="E59" i="23"/>
  <c r="E58" i="23"/>
  <c r="E57" i="23"/>
  <c r="E56" i="23"/>
  <c r="E55" i="23"/>
  <c r="E54" i="23"/>
  <c r="E53" i="23"/>
  <c r="D52" i="23"/>
  <c r="D51" i="23" s="1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D32" i="23"/>
  <c r="E30" i="23"/>
  <c r="E29" i="23"/>
  <c r="E28" i="23"/>
  <c r="E27" i="23"/>
  <c r="E26" i="23"/>
  <c r="E25" i="23"/>
  <c r="E24" i="23"/>
  <c r="E23" i="23"/>
  <c r="E22" i="23"/>
  <c r="E21" i="23"/>
  <c r="D20" i="23"/>
  <c r="E20" i="23" s="1"/>
  <c r="E19" i="23"/>
  <c r="E18" i="23"/>
  <c r="E17" i="23"/>
  <c r="E16" i="23"/>
  <c r="E15" i="23"/>
  <c r="E14" i="23"/>
  <c r="E13" i="23"/>
  <c r="E12" i="23"/>
  <c r="E11" i="23"/>
  <c r="D10" i="23"/>
  <c r="D9" i="23"/>
  <c r="D78" i="23" l="1"/>
  <c r="D189" i="23"/>
  <c r="D147" i="23"/>
  <c r="D8" i="23" s="1"/>
  <c r="D222" i="23"/>
  <c r="D221" i="23"/>
  <c r="J63" i="23" l="1"/>
  <c r="T8" i="15" l="1"/>
  <c r="AA8" i="15"/>
  <c r="AB8" i="15"/>
  <c r="AC8" i="15"/>
  <c r="AD8" i="15"/>
  <c r="AE8" i="15"/>
  <c r="J192" i="23"/>
  <c r="L192" i="23" s="1"/>
  <c r="J193" i="23"/>
  <c r="L193" i="23" s="1"/>
  <c r="J194" i="23"/>
  <c r="L194" i="23" s="1"/>
  <c r="J195" i="23"/>
  <c r="L195" i="23" s="1"/>
  <c r="J196" i="23"/>
  <c r="L196" i="23" s="1"/>
  <c r="J197" i="23"/>
  <c r="L197" i="23" s="1"/>
  <c r="J198" i="23"/>
  <c r="L198" i="23" s="1"/>
  <c r="J199" i="23"/>
  <c r="L199" i="23" s="1"/>
  <c r="J191" i="23"/>
  <c r="L191" i="23" s="1"/>
  <c r="J123" i="23"/>
  <c r="J124" i="23"/>
  <c r="J125" i="23"/>
  <c r="J126" i="23"/>
  <c r="J127" i="23"/>
  <c r="J128" i="23"/>
  <c r="J129" i="23"/>
  <c r="J130" i="23"/>
  <c r="J122" i="23"/>
  <c r="J204" i="23" l="1"/>
  <c r="L204" i="23" s="1"/>
  <c r="J202" i="23"/>
  <c r="J201" i="23"/>
  <c r="L201" i="23" s="1"/>
  <c r="J172" i="23"/>
  <c r="J171" i="23"/>
  <c r="L171" i="23" s="1"/>
  <c r="J168" i="23"/>
  <c r="L168" i="23" s="1"/>
  <c r="J167" i="23"/>
  <c r="L167" i="23" s="1"/>
  <c r="J166" i="23"/>
  <c r="L166" i="23" s="1"/>
  <c r="J165" i="23"/>
  <c r="L165" i="23" s="1"/>
  <c r="J164" i="23"/>
  <c r="L164" i="23" s="1"/>
  <c r="J163" i="23"/>
  <c r="L163" i="23" s="1"/>
  <c r="J162" i="23"/>
  <c r="L162" i="23" s="1"/>
  <c r="J161" i="23"/>
  <c r="L161" i="23" s="1"/>
  <c r="J160" i="23"/>
  <c r="L160" i="23" s="1"/>
  <c r="J159" i="23"/>
  <c r="L159" i="23" s="1"/>
  <c r="J135" i="23"/>
  <c r="J133" i="23"/>
  <c r="J134" i="23" s="1"/>
  <c r="J132" i="23"/>
  <c r="J103" i="23"/>
  <c r="J108" i="23" s="1"/>
  <c r="J102" i="23"/>
  <c r="J99" i="23"/>
  <c r="L99" i="23" s="1"/>
  <c r="J98" i="23"/>
  <c r="L98" i="23" s="1"/>
  <c r="J97" i="23"/>
  <c r="L97" i="23" s="1"/>
  <c r="J96" i="23"/>
  <c r="L96" i="23" s="1"/>
  <c r="J95" i="23"/>
  <c r="L95" i="23" s="1"/>
  <c r="J94" i="23"/>
  <c r="L94" i="23" s="1"/>
  <c r="J93" i="23"/>
  <c r="L93" i="23" s="1"/>
  <c r="J92" i="23"/>
  <c r="L92" i="23" s="1"/>
  <c r="J91" i="23"/>
  <c r="L91" i="23" s="1"/>
  <c r="J90" i="23"/>
  <c r="L90" i="23" s="1"/>
  <c r="J66" i="23"/>
  <c r="J64" i="23"/>
  <c r="J65" i="23" s="1"/>
  <c r="J41" i="23"/>
  <c r="J42" i="23" s="1"/>
  <c r="J34" i="23"/>
  <c r="J39" i="23" s="1"/>
  <c r="J33" i="23"/>
  <c r="J22" i="23"/>
  <c r="L22" i="23" s="1"/>
  <c r="J23" i="23"/>
  <c r="L23" i="23" s="1"/>
  <c r="J24" i="23"/>
  <c r="L24" i="23" s="1"/>
  <c r="J25" i="23"/>
  <c r="L25" i="23" s="1"/>
  <c r="J26" i="23"/>
  <c r="L26" i="23" s="1"/>
  <c r="J27" i="23"/>
  <c r="L27" i="23" s="1"/>
  <c r="J28" i="23"/>
  <c r="L28" i="23" s="1"/>
  <c r="J29" i="23"/>
  <c r="L29" i="23" s="1"/>
  <c r="J30" i="23"/>
  <c r="L30" i="23" s="1"/>
  <c r="J21" i="23"/>
  <c r="L21" i="23" s="1"/>
  <c r="L202" i="23" l="1"/>
  <c r="J203" i="23"/>
  <c r="L203" i="23" s="1"/>
  <c r="J177" i="23"/>
  <c r="L177" i="23" s="1"/>
  <c r="L172" i="23"/>
  <c r="J26" i="12"/>
  <c r="J24" i="12" l="1"/>
  <c r="J23" i="12"/>
  <c r="J22" i="12"/>
  <c r="J25" i="12"/>
  <c r="J11" i="10"/>
  <c r="J12" i="10" s="1"/>
  <c r="J13" i="10" s="1"/>
  <c r="J10" i="9"/>
  <c r="J11" i="9" s="1"/>
  <c r="J12" i="9" s="1"/>
  <c r="J13" i="9" s="1"/>
  <c r="J14" i="9" s="1"/>
  <c r="J15" i="9" s="1"/>
  <c r="J16" i="9" s="1"/>
  <c r="J17" i="9" s="1"/>
  <c r="J18" i="9" s="1"/>
  <c r="J10" i="10"/>
  <c r="O170" i="23" l="1"/>
  <c r="N170" i="23"/>
  <c r="O101" i="23"/>
  <c r="N101" i="23"/>
  <c r="D5" i="33" l="1"/>
  <c r="F5" i="33"/>
  <c r="F4" i="33"/>
  <c r="D4" i="33"/>
  <c r="J6" i="33" l="1"/>
  <c r="F38" i="17" l="1"/>
  <c r="G67" i="27" l="1"/>
  <c r="G64" i="27"/>
  <c r="G61" i="27"/>
  <c r="G58" i="27"/>
  <c r="G52" i="27"/>
  <c r="G49" i="27"/>
  <c r="G46" i="27"/>
  <c r="G43" i="27"/>
  <c r="G40" i="27"/>
  <c r="G37" i="27"/>
  <c r="G34" i="27"/>
  <c r="G31" i="27"/>
  <c r="G28" i="27"/>
  <c r="G19" i="27"/>
  <c r="G16" i="27"/>
  <c r="G79" i="26"/>
  <c r="G78" i="26"/>
  <c r="R11" i="26"/>
  <c r="R11" i="27"/>
  <c r="E4" i="23"/>
  <c r="E4" i="12"/>
  <c r="E4" i="9"/>
  <c r="E4" i="2"/>
  <c r="E4" i="19"/>
  <c r="E4" i="20"/>
  <c r="I169" i="23" l="1"/>
  <c r="H100" i="23"/>
  <c r="I100" i="23" s="1"/>
  <c r="H31" i="23"/>
  <c r="I31" i="23" s="1"/>
  <c r="G15" i="27"/>
  <c r="G18" i="27"/>
  <c r="G66" i="27" l="1"/>
  <c r="G63" i="27"/>
  <c r="G60" i="27"/>
  <c r="G57" i="27"/>
  <c r="G51" i="27"/>
  <c r="G48" i="27"/>
  <c r="G45" i="27"/>
  <c r="G42" i="27"/>
  <c r="G39" i="27"/>
  <c r="G36" i="27"/>
  <c r="G33" i="27"/>
  <c r="G30" i="27"/>
  <c r="G27" i="27"/>
  <c r="M68" i="27" l="1"/>
  <c r="J68" i="27" s="1"/>
  <c r="M65" i="27"/>
  <c r="J65" i="27" s="1"/>
  <c r="M62" i="27"/>
  <c r="J62" i="27" s="1"/>
  <c r="M59" i="27"/>
  <c r="J59" i="27" s="1"/>
  <c r="M56" i="27"/>
  <c r="J56" i="27" s="1"/>
  <c r="M53" i="27"/>
  <c r="J53" i="27" s="1"/>
  <c r="M50" i="27"/>
  <c r="J50" i="27" s="1"/>
  <c r="M47" i="27"/>
  <c r="J47" i="27" s="1"/>
  <c r="M44" i="27"/>
  <c r="J44" i="27" s="1"/>
  <c r="M41" i="27"/>
  <c r="J41" i="27" s="1"/>
  <c r="M38" i="27"/>
  <c r="J38" i="27" s="1"/>
  <c r="M35" i="27"/>
  <c r="J35" i="27" s="1"/>
  <c r="M32" i="27"/>
  <c r="J32" i="27" s="1"/>
  <c r="M29" i="27"/>
  <c r="J29" i="27" s="1"/>
  <c r="M26" i="27"/>
  <c r="J26" i="27" s="1"/>
  <c r="M23" i="27"/>
  <c r="J23" i="27" s="1"/>
  <c r="J20" i="27"/>
  <c r="J17" i="27"/>
  <c r="Q5" i="27"/>
  <c r="O5" i="27"/>
  <c r="M5" i="27"/>
  <c r="K5" i="27"/>
  <c r="I5" i="27"/>
  <c r="F5" i="27"/>
  <c r="D5" i="27"/>
  <c r="A5" i="27"/>
  <c r="J80" i="26"/>
  <c r="J77" i="26"/>
  <c r="J74" i="26"/>
  <c r="J71" i="26"/>
  <c r="J68" i="26"/>
  <c r="J65" i="26"/>
  <c r="J62" i="26"/>
  <c r="J59" i="26"/>
  <c r="J56" i="26"/>
  <c r="J53" i="26"/>
  <c r="J50" i="26"/>
  <c r="J47" i="26"/>
  <c r="J44" i="26"/>
  <c r="J41" i="26"/>
  <c r="J38" i="26"/>
  <c r="J35" i="26"/>
  <c r="J32" i="26"/>
  <c r="J23" i="26"/>
  <c r="J20" i="26"/>
  <c r="J17" i="26"/>
  <c r="K10" i="15" l="1"/>
  <c r="K9" i="15"/>
  <c r="K100" i="23" l="1"/>
  <c r="D20" i="12" l="1"/>
  <c r="L20" i="12" s="1"/>
  <c r="D19" i="12"/>
  <c r="L19" i="12" s="1"/>
  <c r="D18" i="12"/>
  <c r="L18" i="12" s="1"/>
  <c r="D17" i="12"/>
  <c r="L17" i="12" s="1"/>
  <c r="L16" i="12" l="1"/>
  <c r="J16" i="12" s="1"/>
  <c r="I17" i="12"/>
  <c r="I19" i="12"/>
  <c r="I20" i="12"/>
  <c r="I18" i="12"/>
  <c r="I16" i="12" l="1"/>
  <c r="N158" i="23" l="1"/>
  <c r="E5" i="23" l="1"/>
  <c r="N121" i="23" l="1"/>
  <c r="O121" i="23" s="1"/>
  <c r="N32" i="23"/>
  <c r="O32" i="23"/>
  <c r="N200" i="23" l="1"/>
  <c r="N189" i="23" s="1"/>
  <c r="N62" i="23" l="1"/>
  <c r="O62" i="23"/>
  <c r="O200" i="23"/>
  <c r="O189" i="23"/>
  <c r="O158" i="23"/>
  <c r="E12" i="2" l="1"/>
  <c r="K12" i="2" s="1"/>
  <c r="E11" i="2"/>
  <c r="K11" i="2" s="1"/>
  <c r="E10" i="2"/>
  <c r="K10" i="2" s="1"/>
  <c r="E9" i="2"/>
  <c r="E19" i="19"/>
  <c r="K19" i="19" s="1"/>
  <c r="E20" i="19"/>
  <c r="K20" i="19" s="1"/>
  <c r="E10" i="19"/>
  <c r="K10" i="19" s="1"/>
  <c r="E11" i="19"/>
  <c r="K11" i="19" s="1"/>
  <c r="E12" i="19"/>
  <c r="K12" i="19" s="1"/>
  <c r="E13" i="19"/>
  <c r="K13" i="19" s="1"/>
  <c r="E14" i="19"/>
  <c r="K14" i="19" s="1"/>
  <c r="E15" i="19"/>
  <c r="K15" i="19" s="1"/>
  <c r="E16" i="19"/>
  <c r="K16" i="19" s="1"/>
  <c r="E17" i="19"/>
  <c r="K17" i="19" s="1"/>
  <c r="E18" i="19"/>
  <c r="K18" i="19" s="1"/>
  <c r="E9" i="19"/>
  <c r="K9" i="19" s="1"/>
  <c r="D38" i="22"/>
  <c r="D57" i="22"/>
  <c r="D63" i="22"/>
  <c r="D75" i="22"/>
  <c r="D81" i="22"/>
  <c r="D94" i="22"/>
  <c r="D104" i="22"/>
  <c r="D107" i="22"/>
  <c r="D110" i="22"/>
  <c r="D112" i="22"/>
  <c r="D120" i="22"/>
  <c r="D131" i="22"/>
  <c r="D148" i="22"/>
  <c r="D159" i="22"/>
  <c r="D170" i="22"/>
  <c r="D190" i="22"/>
  <c r="D201" i="22"/>
  <c r="D218" i="22"/>
  <c r="D229" i="22"/>
  <c r="D240" i="22"/>
  <c r="D260" i="22"/>
  <c r="D271" i="22"/>
  <c r="D288" i="22"/>
  <c r="D299" i="22"/>
  <c r="D310" i="22"/>
  <c r="D330" i="22"/>
  <c r="E9" i="9"/>
  <c r="K9" i="9" s="1"/>
  <c r="E13" i="9"/>
  <c r="K13" i="9" s="1"/>
  <c r="E17" i="9"/>
  <c r="K17" i="9" s="1"/>
  <c r="E18" i="9"/>
  <c r="K18" i="9" s="1"/>
  <c r="E16" i="9"/>
  <c r="K16" i="9" s="1"/>
  <c r="E15" i="9"/>
  <c r="K15" i="9" s="1"/>
  <c r="E14" i="9"/>
  <c r="K14" i="9" s="1"/>
  <c r="E12" i="9"/>
  <c r="K12" i="9" s="1"/>
  <c r="E11" i="9"/>
  <c r="K11" i="9" s="1"/>
  <c r="E10" i="9"/>
  <c r="K10" i="9" s="1"/>
  <c r="K8" i="9" l="1"/>
  <c r="K9" i="2"/>
  <c r="K8" i="2" s="1"/>
  <c r="H9" i="19"/>
  <c r="H9" i="9"/>
  <c r="H10" i="19"/>
  <c r="D50" i="22"/>
  <c r="D49" i="22" s="1"/>
  <c r="D103" i="22"/>
  <c r="D102" i="22" s="1"/>
  <c r="D259" i="22"/>
  <c r="D147" i="22"/>
  <c r="D119" i="22"/>
  <c r="D217" i="22"/>
  <c r="D287" i="22"/>
  <c r="D189" i="22"/>
  <c r="D118" i="22" l="1"/>
  <c r="H11" i="15"/>
  <c r="H10" i="15"/>
  <c r="H9" i="15"/>
  <c r="E17" i="20" l="1"/>
  <c r="K17" i="20" s="1"/>
  <c r="E16" i="20"/>
  <c r="K16" i="20" s="1"/>
  <c r="E15" i="20"/>
  <c r="K15" i="20" s="1"/>
  <c r="E14" i="20"/>
  <c r="K14" i="20" s="1"/>
  <c r="E13" i="20"/>
  <c r="K13" i="20" s="1"/>
  <c r="E12" i="20"/>
  <c r="K12" i="20" s="1"/>
  <c r="E11" i="20"/>
  <c r="K11" i="20" s="1"/>
  <c r="E10" i="20"/>
  <c r="K10" i="20" s="1"/>
  <c r="E9" i="20"/>
  <c r="E8" i="2"/>
  <c r="J8" i="2" s="1"/>
  <c r="H12" i="2"/>
  <c r="H11" i="2"/>
  <c r="H10" i="2"/>
  <c r="H11" i="19"/>
  <c r="H12" i="19"/>
  <c r="H13" i="19"/>
  <c r="H14" i="19"/>
  <c r="H15" i="19"/>
  <c r="H16" i="19"/>
  <c r="H17" i="19"/>
  <c r="H18" i="19"/>
  <c r="H19" i="19"/>
  <c r="H20" i="19"/>
  <c r="H17" i="9"/>
  <c r="H13" i="9"/>
  <c r="H18" i="9"/>
  <c r="H16" i="9"/>
  <c r="H15" i="9"/>
  <c r="H14" i="9"/>
  <c r="H12" i="9"/>
  <c r="H11" i="9"/>
  <c r="H10" i="9"/>
  <c r="K9" i="20" l="1"/>
  <c r="E8" i="20"/>
  <c r="H8" i="9"/>
  <c r="H17" i="20"/>
  <c r="H12" i="20"/>
  <c r="H16" i="20"/>
  <c r="H13" i="20"/>
  <c r="H10" i="20"/>
  <c r="H14" i="20"/>
  <c r="H9" i="20"/>
  <c r="H11" i="20"/>
  <c r="H15" i="20"/>
  <c r="H8" i="19"/>
  <c r="H9" i="2"/>
  <c r="E8" i="19"/>
  <c r="H8" i="20" l="1"/>
  <c r="H8" i="2"/>
  <c r="E8" i="9" l="1"/>
  <c r="E51" i="18"/>
  <c r="K51" i="18" s="1"/>
  <c r="E50" i="18"/>
  <c r="K50" i="18" s="1"/>
  <c r="E49" i="18"/>
  <c r="K49" i="18" s="1"/>
  <c r="E48" i="18"/>
  <c r="K48" i="18" s="1"/>
  <c r="E47" i="18"/>
  <c r="K47" i="18" s="1"/>
  <c r="E46" i="18"/>
  <c r="K46" i="18" s="1"/>
  <c r="E45" i="18"/>
  <c r="K45" i="18" s="1"/>
  <c r="E44" i="18"/>
  <c r="K44" i="18" s="1"/>
  <c r="E43" i="18"/>
  <c r="K43" i="18" s="1"/>
  <c r="E42" i="18"/>
  <c r="K42" i="18" s="1"/>
  <c r="E41" i="18"/>
  <c r="K41" i="18" s="1"/>
  <c r="E40" i="18"/>
  <c r="K40" i="18" s="1"/>
  <c r="E38" i="18"/>
  <c r="K38" i="18" s="1"/>
  <c r="E37" i="18"/>
  <c r="K37" i="18" s="1"/>
  <c r="E36" i="18"/>
  <c r="K36" i="18" s="1"/>
  <c r="E35" i="18"/>
  <c r="K35" i="18" s="1"/>
  <c r="E34" i="18"/>
  <c r="K34" i="18" s="1"/>
  <c r="E32" i="18"/>
  <c r="K32" i="18" s="1"/>
  <c r="E31" i="18"/>
  <c r="K31" i="18" s="1"/>
  <c r="E30" i="18"/>
  <c r="K30" i="18" s="1"/>
  <c r="E29" i="18"/>
  <c r="K29" i="18" s="1"/>
  <c r="E28" i="18"/>
  <c r="K28" i="18" s="1"/>
  <c r="E27" i="18"/>
  <c r="K27" i="18" s="1"/>
  <c r="E26" i="18"/>
  <c r="K26" i="18" s="1"/>
  <c r="E25" i="18"/>
  <c r="K25" i="18" s="1"/>
  <c r="E24" i="18"/>
  <c r="K24" i="18" s="1"/>
  <c r="E23" i="18"/>
  <c r="K23" i="18" s="1"/>
  <c r="E22" i="18"/>
  <c r="K22" i="18" s="1"/>
  <c r="E20" i="18"/>
  <c r="K20" i="18" s="1"/>
  <c r="E19" i="18"/>
  <c r="K19" i="18" s="1"/>
  <c r="E18" i="18"/>
  <c r="K18" i="18" s="1"/>
  <c r="E17" i="18"/>
  <c r="K17" i="18" s="1"/>
  <c r="E16" i="18"/>
  <c r="K16" i="18" s="1"/>
  <c r="E14" i="18"/>
  <c r="K14" i="18" s="1"/>
  <c r="E13" i="18"/>
  <c r="K13" i="18" s="1"/>
  <c r="E12" i="18"/>
  <c r="K12" i="18" s="1"/>
  <c r="E11" i="18"/>
  <c r="K11" i="18" s="1"/>
  <c r="E10" i="18"/>
  <c r="K10" i="18" s="1"/>
  <c r="E9" i="18"/>
  <c r="K9" i="18" s="1"/>
  <c r="E39" i="18"/>
  <c r="E33" i="18"/>
  <c r="K33" i="18" s="1"/>
  <c r="H10" i="18" l="1"/>
  <c r="H11" i="18"/>
  <c r="H46" i="18"/>
  <c r="H9" i="18"/>
  <c r="E15" i="18"/>
  <c r="K15" i="18" s="1"/>
  <c r="E21" i="18" l="1"/>
  <c r="E8" i="18" s="1"/>
  <c r="H19" i="18" l="1"/>
  <c r="H24" i="18"/>
  <c r="H27" i="18"/>
  <c r="H31" i="18"/>
  <c r="H35" i="18"/>
  <c r="H43" i="18"/>
  <c r="H47" i="18"/>
  <c r="H51" i="18"/>
  <c r="H16" i="18"/>
  <c r="H20" i="18"/>
  <c r="H28" i="18"/>
  <c r="H32" i="18"/>
  <c r="H36" i="18"/>
  <c r="H50" i="18"/>
  <c r="H49" i="18"/>
  <c r="H48" i="18"/>
  <c r="H45" i="18"/>
  <c r="H44" i="18"/>
  <c r="H42" i="18"/>
  <c r="H41" i="18"/>
  <c r="H40" i="18"/>
  <c r="H38" i="18"/>
  <c r="H37" i="18"/>
  <c r="H34" i="18"/>
  <c r="H30" i="18"/>
  <c r="H29" i="18"/>
  <c r="H26" i="18"/>
  <c r="H25" i="18"/>
  <c r="H23" i="18"/>
  <c r="H22" i="18"/>
  <c r="H18" i="18"/>
  <c r="H17" i="18"/>
  <c r="H14" i="18"/>
  <c r="H13" i="18"/>
  <c r="H12" i="18"/>
  <c r="H15" i="18" l="1"/>
  <c r="H33" i="18"/>
  <c r="H21" i="18"/>
  <c r="H39" i="18"/>
  <c r="E15" i="10"/>
  <c r="K15" i="10" s="1"/>
  <c r="E14" i="10"/>
  <c r="K14" i="10" s="1"/>
  <c r="E13" i="10"/>
  <c r="K13" i="10" s="1"/>
  <c r="E12" i="10"/>
  <c r="K12" i="10" s="1"/>
  <c r="E11" i="10"/>
  <c r="K11" i="10" s="1"/>
  <c r="E10" i="10"/>
  <c r="K10" i="10" s="1"/>
  <c r="E9" i="10"/>
  <c r="E27" i="12"/>
  <c r="K27" i="12" s="1"/>
  <c r="K9" i="10" l="1"/>
  <c r="K8" i="10" s="1"/>
  <c r="H8" i="18"/>
  <c r="E8" i="10"/>
  <c r="J8" i="10" s="1"/>
  <c r="H27" i="12"/>
  <c r="H13" i="10"/>
  <c r="H10" i="10"/>
  <c r="H14" i="10"/>
  <c r="H11" i="10"/>
  <c r="H15" i="10"/>
  <c r="H12" i="10"/>
  <c r="H9" i="10"/>
  <c r="H8" i="10" l="1"/>
  <c r="E15" i="12"/>
  <c r="K15" i="12" s="1"/>
  <c r="E14" i="12"/>
  <c r="K14" i="12" s="1"/>
  <c r="E12" i="12"/>
  <c r="K12" i="12" s="1"/>
  <c r="E11" i="12"/>
  <c r="K11" i="12" s="1"/>
  <c r="K10" i="12" l="1"/>
  <c r="K9" i="12" s="1"/>
  <c r="H15" i="12"/>
  <c r="H11" i="12"/>
  <c r="H14" i="12"/>
  <c r="H12" i="12"/>
  <c r="E13" i="12"/>
  <c r="E10" i="12"/>
  <c r="H10" i="12" l="1"/>
  <c r="E9" i="12"/>
  <c r="H13" i="12"/>
  <c r="H9" i="12" l="1"/>
  <c r="E333" i="22"/>
  <c r="E332" i="22"/>
  <c r="E331" i="22"/>
  <c r="E330" i="22"/>
  <c r="E329" i="22"/>
  <c r="E328" i="22"/>
  <c r="E327" i="22"/>
  <c r="E326" i="22"/>
  <c r="E325" i="22"/>
  <c r="E324" i="22"/>
  <c r="E323" i="22"/>
  <c r="E322" i="22"/>
  <c r="E321" i="22"/>
  <c r="E320" i="22"/>
  <c r="E319" i="22"/>
  <c r="E318" i="22"/>
  <c r="E317" i="22"/>
  <c r="E316" i="22"/>
  <c r="E315" i="22"/>
  <c r="E314" i="22"/>
  <c r="E313" i="22"/>
  <c r="E312" i="22"/>
  <c r="E311" i="22"/>
  <c r="E310" i="22"/>
  <c r="E309" i="22"/>
  <c r="E308" i="22"/>
  <c r="E307" i="22"/>
  <c r="E306" i="22"/>
  <c r="E305" i="22"/>
  <c r="E304" i="22"/>
  <c r="E303" i="22"/>
  <c r="E302" i="22"/>
  <c r="E301" i="22"/>
  <c r="E300" i="22"/>
  <c r="E299" i="22"/>
  <c r="E297" i="22"/>
  <c r="E296" i="22"/>
  <c r="E295" i="22"/>
  <c r="E294" i="22"/>
  <c r="E293" i="22"/>
  <c r="E292" i="22"/>
  <c r="E291" i="22"/>
  <c r="E290" i="22"/>
  <c r="E289" i="22"/>
  <c r="E287" i="22"/>
  <c r="E286" i="22"/>
  <c r="E285" i="22"/>
  <c r="E284" i="22"/>
  <c r="E283" i="22"/>
  <c r="E282" i="22"/>
  <c r="E281" i="22"/>
  <c r="E280" i="22"/>
  <c r="E279" i="22"/>
  <c r="E278" i="22"/>
  <c r="E277" i="22"/>
  <c r="E276" i="22"/>
  <c r="E275" i="22"/>
  <c r="E274" i="22"/>
  <c r="E273" i="22"/>
  <c r="E272" i="22"/>
  <c r="E271" i="22"/>
  <c r="E270" i="22"/>
  <c r="E269" i="22"/>
  <c r="E268" i="22"/>
  <c r="E267" i="22"/>
  <c r="E266" i="22"/>
  <c r="E265" i="22"/>
  <c r="E264" i="22"/>
  <c r="E263" i="22"/>
  <c r="E262" i="22"/>
  <c r="E261" i="22"/>
  <c r="E259" i="22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6" i="22"/>
  <c r="E215" i="22"/>
  <c r="E214" i="22"/>
  <c r="E213" i="22"/>
  <c r="E212" i="22"/>
  <c r="E211" i="22"/>
  <c r="E210" i="22"/>
  <c r="E209" i="22"/>
  <c r="E208" i="22"/>
  <c r="E207" i="22"/>
  <c r="E205" i="22"/>
  <c r="E204" i="22"/>
  <c r="E203" i="22"/>
  <c r="E202" i="22"/>
  <c r="E200" i="22"/>
  <c r="E199" i="22"/>
  <c r="E198" i="22"/>
  <c r="E197" i="22"/>
  <c r="E196" i="22"/>
  <c r="E195" i="22"/>
  <c r="E194" i="22"/>
  <c r="E193" i="22"/>
  <c r="E192" i="22"/>
  <c r="E191" i="22"/>
  <c r="E190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7" i="22"/>
  <c r="E116" i="22"/>
  <c r="E115" i="22"/>
  <c r="E114" i="22"/>
  <c r="E113" i="22"/>
  <c r="E111" i="22"/>
  <c r="E109" i="22"/>
  <c r="E108" i="22"/>
  <c r="E107" i="22"/>
  <c r="E106" i="22"/>
  <c r="E105" i="22"/>
  <c r="E104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D26" i="22"/>
  <c r="E26" i="22" s="1"/>
  <c r="E25" i="22"/>
  <c r="E24" i="22"/>
  <c r="E23" i="22"/>
  <c r="E22" i="22"/>
  <c r="E21" i="22"/>
  <c r="D20" i="22"/>
  <c r="E20" i="22" s="1"/>
  <c r="E19" i="22"/>
  <c r="E18" i="22"/>
  <c r="E17" i="22"/>
  <c r="E16" i="22"/>
  <c r="E15" i="22"/>
  <c r="E14" i="22"/>
  <c r="E13" i="22"/>
  <c r="E12" i="22"/>
  <c r="E11" i="22"/>
  <c r="D10" i="22"/>
  <c r="E8" i="22"/>
  <c r="E7" i="22"/>
  <c r="E102" i="22" l="1"/>
  <c r="E22" i="12"/>
  <c r="K22" i="12" s="1"/>
  <c r="E288" i="22"/>
  <c r="E112" i="22"/>
  <c r="E110" i="22"/>
  <c r="E119" i="22"/>
  <c r="E217" i="22"/>
  <c r="E260" i="22"/>
  <c r="D9" i="22"/>
  <c r="E9" i="22" s="1"/>
  <c r="E147" i="22"/>
  <c r="E148" i="22"/>
  <c r="E10" i="22"/>
  <c r="E50" i="22"/>
  <c r="E103" i="22"/>
  <c r="H22" i="12" l="1"/>
  <c r="E23" i="12"/>
  <c r="K23" i="12" s="1"/>
  <c r="E8" i="15"/>
  <c r="S8" i="15" s="1"/>
  <c r="E24" i="12" l="1"/>
  <c r="K24" i="12" s="1"/>
  <c r="H23" i="12"/>
  <c r="E25" i="12" l="1"/>
  <c r="K25" i="12" s="1"/>
  <c r="H24" i="12"/>
  <c r="H25" i="12" l="1"/>
  <c r="E26" i="12"/>
  <c r="K26" i="12" s="1"/>
  <c r="F298" i="22"/>
  <c r="E21" i="12" l="1"/>
  <c r="E298" i="22"/>
  <c r="H26" i="12"/>
  <c r="H21" i="12" s="1"/>
  <c r="L4" i="15" l="1"/>
  <c r="E5" i="15"/>
  <c r="I9" i="15" l="1"/>
  <c r="I11" i="15"/>
  <c r="I10" i="15"/>
  <c r="D11" i="15"/>
  <c r="D9" i="15"/>
  <c r="D10" i="15"/>
  <c r="L10" i="15" s="1"/>
  <c r="G32" i="17" s="1"/>
  <c r="L4" i="12"/>
  <c r="E5" i="12"/>
  <c r="L4" i="10"/>
  <c r="E5" i="10"/>
  <c r="L9" i="15" l="1"/>
  <c r="L27" i="12"/>
  <c r="L14" i="12"/>
  <c r="L12" i="12"/>
  <c r="L15" i="12"/>
  <c r="L11" i="12"/>
  <c r="L10" i="12" s="1"/>
  <c r="I12" i="12"/>
  <c r="I11" i="12"/>
  <c r="E16" i="12"/>
  <c r="E8" i="12" s="1"/>
  <c r="E19" i="12"/>
  <c r="K19" i="12" s="1"/>
  <c r="E20" i="12"/>
  <c r="K20" i="12" s="1"/>
  <c r="E17" i="12"/>
  <c r="K17" i="12" s="1"/>
  <c r="E18" i="12"/>
  <c r="K18" i="12" s="1"/>
  <c r="G31" i="17"/>
  <c r="M25" i="26" s="1"/>
  <c r="I8" i="15"/>
  <c r="I14" i="12"/>
  <c r="D10" i="10"/>
  <c r="L10" i="10" s="1"/>
  <c r="D11" i="10"/>
  <c r="L11" i="10" s="1"/>
  <c r="D12" i="10"/>
  <c r="L12" i="10" s="1"/>
  <c r="D13" i="10"/>
  <c r="L13" i="10" s="1"/>
  <c r="D14" i="10"/>
  <c r="L14" i="10" s="1"/>
  <c r="D15" i="10"/>
  <c r="L15" i="10" s="1"/>
  <c r="D9" i="10"/>
  <c r="L9" i="10" s="1"/>
  <c r="L8" i="10" s="1"/>
  <c r="I14" i="10"/>
  <c r="I10" i="10"/>
  <c r="I13" i="10"/>
  <c r="I12" i="10"/>
  <c r="D8" i="10"/>
  <c r="I15" i="10"/>
  <c r="I11" i="10"/>
  <c r="I9" i="10"/>
  <c r="D27" i="12"/>
  <c r="I27" i="12"/>
  <c r="I15" i="12"/>
  <c r="D22" i="12"/>
  <c r="L22" i="12" s="1"/>
  <c r="L21" i="12" s="1"/>
  <c r="D23" i="12"/>
  <c r="L23" i="12" s="1"/>
  <c r="I22" i="12"/>
  <c r="D24" i="12"/>
  <c r="L24" i="12" s="1"/>
  <c r="I23" i="12"/>
  <c r="I24" i="12"/>
  <c r="D25" i="12"/>
  <c r="L25" i="12" s="1"/>
  <c r="I25" i="12"/>
  <c r="D26" i="12"/>
  <c r="L26" i="12" s="1"/>
  <c r="I26" i="12"/>
  <c r="D8" i="15"/>
  <c r="D14" i="12"/>
  <c r="D15" i="12"/>
  <c r="D12" i="12"/>
  <c r="D11" i="12"/>
  <c r="L13" i="12" l="1"/>
  <c r="L9" i="12" s="1"/>
  <c r="I10" i="12"/>
  <c r="K16" i="12"/>
  <c r="G21" i="17"/>
  <c r="D21" i="12"/>
  <c r="J21" i="12" s="1"/>
  <c r="K21" i="12" s="1"/>
  <c r="K8" i="12" s="1"/>
  <c r="H17" i="12"/>
  <c r="H19" i="12"/>
  <c r="H18" i="12"/>
  <c r="H20" i="12"/>
  <c r="G19" i="17"/>
  <c r="G16" i="17"/>
  <c r="F21" i="17"/>
  <c r="I21" i="12"/>
  <c r="I13" i="12"/>
  <c r="D10" i="12"/>
  <c r="D13" i="12"/>
  <c r="L4" i="18"/>
  <c r="E5" i="18"/>
  <c r="L4" i="9"/>
  <c r="E5" i="9"/>
  <c r="E5" i="19"/>
  <c r="L4" i="19"/>
  <c r="E5" i="2"/>
  <c r="L4" i="2"/>
  <c r="E5" i="20"/>
  <c r="L4" i="20"/>
  <c r="G18" i="17" l="1"/>
  <c r="L8" i="12"/>
  <c r="L13" i="9"/>
  <c r="L17" i="9"/>
  <c r="L18" i="9"/>
  <c r="L16" i="9"/>
  <c r="L14" i="9"/>
  <c r="L11" i="9"/>
  <c r="L10" i="9"/>
  <c r="L15" i="9"/>
  <c r="L12" i="9"/>
  <c r="L9" i="9"/>
  <c r="L8" i="9" s="1"/>
  <c r="J8" i="9" s="1"/>
  <c r="F20" i="17"/>
  <c r="D9" i="12"/>
  <c r="J9" i="12" s="1"/>
  <c r="H16" i="12"/>
  <c r="H8" i="12" s="1"/>
  <c r="I9" i="12"/>
  <c r="I9" i="20"/>
  <c r="L10" i="20"/>
  <c r="L16" i="20"/>
  <c r="L13" i="20"/>
  <c r="L17" i="20"/>
  <c r="L12" i="20"/>
  <c r="L9" i="20"/>
  <c r="L11" i="20"/>
  <c r="L14" i="20"/>
  <c r="L15" i="20"/>
  <c r="L13" i="19"/>
  <c r="L10" i="19"/>
  <c r="L11" i="19"/>
  <c r="L14" i="19"/>
  <c r="L15" i="19"/>
  <c r="L17" i="19"/>
  <c r="L20" i="19"/>
  <c r="L12" i="19"/>
  <c r="L18" i="19"/>
  <c r="L19" i="19"/>
  <c r="L9" i="19"/>
  <c r="L16" i="19"/>
  <c r="I9" i="19"/>
  <c r="I10" i="19"/>
  <c r="I13" i="19"/>
  <c r="I15" i="19"/>
  <c r="I17" i="19"/>
  <c r="I11" i="19"/>
  <c r="I9" i="18"/>
  <c r="G20" i="17"/>
  <c r="D17" i="19"/>
  <c r="D13" i="19"/>
  <c r="D9" i="19"/>
  <c r="D10" i="19"/>
  <c r="D20" i="19"/>
  <c r="D16" i="19"/>
  <c r="D12" i="19"/>
  <c r="D18" i="19"/>
  <c r="D19" i="19"/>
  <c r="D15" i="19"/>
  <c r="D11" i="19"/>
  <c r="D14" i="19"/>
  <c r="I16" i="19"/>
  <c r="I19" i="19"/>
  <c r="I12" i="19"/>
  <c r="I18" i="19"/>
  <c r="I20" i="19"/>
  <c r="I14" i="19"/>
  <c r="D8" i="19"/>
  <c r="D41" i="18"/>
  <c r="L41" i="18" s="1"/>
  <c r="D20" i="18"/>
  <c r="L20" i="18" s="1"/>
  <c r="D38" i="18"/>
  <c r="L38" i="18" s="1"/>
  <c r="D12" i="18"/>
  <c r="L12" i="18" s="1"/>
  <c r="D30" i="18"/>
  <c r="L30" i="18" s="1"/>
  <c r="D48" i="18"/>
  <c r="L48" i="18" s="1"/>
  <c r="D13" i="18"/>
  <c r="L13" i="18" s="1"/>
  <c r="D36" i="18"/>
  <c r="L36" i="18" s="1"/>
  <c r="D14" i="18"/>
  <c r="L14" i="18" s="1"/>
  <c r="D32" i="18"/>
  <c r="L32" i="18" s="1"/>
  <c r="D50" i="18"/>
  <c r="L50" i="18" s="1"/>
  <c r="D25" i="18"/>
  <c r="L25" i="18" s="1"/>
  <c r="D47" i="18"/>
  <c r="L47" i="18" s="1"/>
  <c r="D17" i="18"/>
  <c r="L17" i="18" s="1"/>
  <c r="D35" i="18"/>
  <c r="L35" i="18" s="1"/>
  <c r="D9" i="18"/>
  <c r="L9" i="18" s="1"/>
  <c r="D18" i="18"/>
  <c r="L18" i="18" s="1"/>
  <c r="D45" i="18"/>
  <c r="L45" i="18" s="1"/>
  <c r="D19" i="18"/>
  <c r="L19" i="18" s="1"/>
  <c r="D37" i="18"/>
  <c r="L37" i="18" s="1"/>
  <c r="D16" i="18"/>
  <c r="L16" i="18" s="1"/>
  <c r="D29" i="18"/>
  <c r="L29" i="18" s="1"/>
  <c r="D51" i="18"/>
  <c r="L51" i="18" s="1"/>
  <c r="D22" i="18"/>
  <c r="L22" i="18" s="1"/>
  <c r="D40" i="18"/>
  <c r="L40" i="18" s="1"/>
  <c r="D31" i="18"/>
  <c r="L31" i="18" s="1"/>
  <c r="D23" i="18"/>
  <c r="L23" i="18" s="1"/>
  <c r="D49" i="18"/>
  <c r="L49" i="18" s="1"/>
  <c r="D24" i="18"/>
  <c r="L24" i="18" s="1"/>
  <c r="D42" i="18"/>
  <c r="L42" i="18" s="1"/>
  <c r="D43" i="18"/>
  <c r="L43" i="18" s="1"/>
  <c r="D11" i="18"/>
  <c r="L11" i="18" s="1"/>
  <c r="D34" i="18"/>
  <c r="L34" i="18" s="1"/>
  <c r="D39" i="18"/>
  <c r="L39" i="18" s="1"/>
  <c r="D26" i="18"/>
  <c r="L26" i="18" s="1"/>
  <c r="D44" i="18"/>
  <c r="L44" i="18" s="1"/>
  <c r="D33" i="18"/>
  <c r="L33" i="18" s="1"/>
  <c r="D27" i="18"/>
  <c r="L27" i="18" s="1"/>
  <c r="D10" i="18"/>
  <c r="L10" i="18" s="1"/>
  <c r="D28" i="18"/>
  <c r="L28" i="18" s="1"/>
  <c r="D46" i="18"/>
  <c r="L46" i="18" s="1"/>
  <c r="D15" i="18"/>
  <c r="L15" i="18" s="1"/>
  <c r="D21" i="18"/>
  <c r="L21" i="18" s="1"/>
  <c r="I22" i="18"/>
  <c r="I49" i="18"/>
  <c r="I40" i="18"/>
  <c r="I43" i="18"/>
  <c r="I25" i="18"/>
  <c r="I36" i="18"/>
  <c r="I12" i="18"/>
  <c r="I42" i="18"/>
  <c r="I31" i="18"/>
  <c r="I29" i="18"/>
  <c r="I28" i="18"/>
  <c r="I14" i="18"/>
  <c r="I45" i="18"/>
  <c r="I24" i="18"/>
  <c r="I34" i="18"/>
  <c r="I16" i="18"/>
  <c r="I18" i="18"/>
  <c r="I48" i="18"/>
  <c r="D8" i="18"/>
  <c r="I19" i="18"/>
  <c r="I51" i="18"/>
  <c r="I38" i="18"/>
  <c r="I47" i="18"/>
  <c r="I23" i="18"/>
  <c r="I50" i="18"/>
  <c r="I11" i="18"/>
  <c r="I41" i="18"/>
  <c r="I35" i="18"/>
  <c r="I26" i="18"/>
  <c r="I32" i="18"/>
  <c r="I13" i="18"/>
  <c r="I44" i="18"/>
  <c r="I27" i="18"/>
  <c r="I30" i="18"/>
  <c r="I20" i="18"/>
  <c r="I17" i="18"/>
  <c r="I46" i="18"/>
  <c r="I37" i="18"/>
  <c r="I10" i="18"/>
  <c r="D10" i="2"/>
  <c r="L10" i="2" s="1"/>
  <c r="D12" i="2"/>
  <c r="L12" i="2" s="1"/>
  <c r="D11" i="2"/>
  <c r="L11" i="2" s="1"/>
  <c r="D8" i="2"/>
  <c r="I11" i="2"/>
  <c r="D9" i="2"/>
  <c r="L9" i="2" s="1"/>
  <c r="I10" i="2"/>
  <c r="I12" i="2"/>
  <c r="I9" i="2"/>
  <c r="I14" i="9"/>
  <c r="I9" i="9"/>
  <c r="I16" i="9"/>
  <c r="I12" i="9"/>
  <c r="I11" i="9"/>
  <c r="I13" i="9"/>
  <c r="I17" i="9"/>
  <c r="I18" i="9"/>
  <c r="I10" i="9"/>
  <c r="I15" i="9"/>
  <c r="D17" i="9"/>
  <c r="D13" i="9"/>
  <c r="D9" i="9"/>
  <c r="D16" i="9"/>
  <c r="D12" i="9"/>
  <c r="D15" i="9"/>
  <c r="D11" i="9"/>
  <c r="D18" i="9"/>
  <c r="D14" i="9"/>
  <c r="D10" i="9"/>
  <c r="D8" i="9"/>
  <c r="D10" i="20"/>
  <c r="D14" i="20"/>
  <c r="I10" i="20"/>
  <c r="I15" i="20"/>
  <c r="I16" i="20"/>
  <c r="D11" i="20"/>
  <c r="D12" i="20"/>
  <c r="D16" i="20"/>
  <c r="D17" i="20"/>
  <c r="I14" i="20"/>
  <c r="I13" i="20"/>
  <c r="D9" i="20"/>
  <c r="D15" i="20"/>
  <c r="I12" i="20"/>
  <c r="D13" i="20"/>
  <c r="I11" i="20"/>
  <c r="I17" i="20"/>
  <c r="L8" i="18" l="1"/>
  <c r="I8" i="12"/>
  <c r="L8" i="19"/>
  <c r="K8" i="19" s="1"/>
  <c r="L8" i="20"/>
  <c r="L8" i="2"/>
  <c r="G11" i="17" s="1"/>
  <c r="I8" i="19"/>
  <c r="F19" i="17"/>
  <c r="D8" i="12"/>
  <c r="I8" i="9"/>
  <c r="G17" i="17"/>
  <c r="I15" i="18"/>
  <c r="I33" i="18"/>
  <c r="I39" i="18"/>
  <c r="I21" i="18"/>
  <c r="D8" i="20"/>
  <c r="J8" i="18" l="1"/>
  <c r="K8" i="18" s="1"/>
  <c r="G15" i="17"/>
  <c r="G14" i="17" s="1"/>
  <c r="M16" i="26" s="1"/>
  <c r="J16" i="26" s="1"/>
  <c r="D223" i="23"/>
  <c r="D218" i="23"/>
  <c r="J8" i="12"/>
  <c r="R8" i="15"/>
  <c r="G8" i="12"/>
  <c r="J8" i="19"/>
  <c r="K8" i="20"/>
  <c r="J8" i="20"/>
  <c r="G13" i="17"/>
  <c r="I8" i="18"/>
  <c r="G12" i="17"/>
  <c r="G10" i="17"/>
  <c r="F18" i="17"/>
  <c r="D224" i="23" l="1"/>
  <c r="E223" i="23" s="1"/>
  <c r="F223" i="23" s="1"/>
  <c r="F17" i="17"/>
  <c r="M28" i="26"/>
  <c r="G9" i="17"/>
  <c r="M22" i="26"/>
  <c r="D12" i="8"/>
  <c r="D13" i="8"/>
  <c r="D14" i="8"/>
  <c r="D15" i="8"/>
  <c r="D17" i="8"/>
  <c r="D18" i="8"/>
  <c r="D19" i="8"/>
  <c r="D20" i="8"/>
  <c r="D22" i="8"/>
  <c r="D23" i="8"/>
  <c r="D24" i="8"/>
  <c r="D25" i="8"/>
  <c r="M12" i="8"/>
  <c r="E221" i="23" l="1"/>
  <c r="E222" i="23"/>
  <c r="F222" i="23" s="1"/>
  <c r="J28" i="26"/>
  <c r="J22" i="26"/>
  <c r="M16" i="27"/>
  <c r="J16" i="27" s="1"/>
  <c r="M19" i="27"/>
  <c r="J19" i="27" s="1"/>
  <c r="I8" i="2"/>
  <c r="N12" i="8"/>
  <c r="K12" i="8"/>
  <c r="J12" i="8"/>
  <c r="F221" i="23" l="1"/>
  <c r="E224" i="23"/>
  <c r="H12" i="8"/>
  <c r="G12" i="8"/>
  <c r="M30" i="26" l="1"/>
  <c r="M33" i="26"/>
  <c r="M34" i="26"/>
  <c r="M31" i="26"/>
  <c r="M64" i="26"/>
  <c r="M63" i="26"/>
  <c r="F224" i="23"/>
  <c r="I8" i="20"/>
  <c r="W8" i="15" s="1"/>
  <c r="N14" i="8"/>
  <c r="M14" i="8"/>
  <c r="J30" i="26" l="1"/>
  <c r="M21" i="27"/>
  <c r="J21" i="27" s="1"/>
  <c r="M24" i="27"/>
  <c r="J24" i="27" s="1"/>
  <c r="J33" i="26"/>
  <c r="J34" i="26"/>
  <c r="M25" i="27"/>
  <c r="J25" i="27" s="1"/>
  <c r="J31" i="26"/>
  <c r="M22" i="27"/>
  <c r="J22" i="27" s="1"/>
  <c r="M55" i="27"/>
  <c r="J55" i="27" s="1"/>
  <c r="J64" i="26"/>
  <c r="M54" i="27"/>
  <c r="J54" i="27" s="1"/>
  <c r="J63" i="26"/>
  <c r="F10" i="17"/>
  <c r="M27" i="26" s="1"/>
  <c r="J27" i="26" s="1"/>
  <c r="O14" i="8"/>
  <c r="K14" i="8"/>
  <c r="O12" i="8"/>
  <c r="L12" i="8"/>
  <c r="I12" i="8"/>
  <c r="N17" i="8"/>
  <c r="H14" i="8"/>
  <c r="G14" i="8"/>
  <c r="J14" i="8"/>
  <c r="M15" i="27" l="1"/>
  <c r="O17" i="8"/>
  <c r="K17" i="8"/>
  <c r="H17" i="8"/>
  <c r="M17" i="8"/>
  <c r="J17" i="8"/>
  <c r="G17" i="8"/>
  <c r="I14" i="8" l="1"/>
  <c r="F12" i="17"/>
  <c r="L14" i="8"/>
  <c r="L17" i="8"/>
  <c r="M22" i="8"/>
  <c r="M23" i="8"/>
  <c r="M24" i="8"/>
  <c r="J22" i="8"/>
  <c r="J23" i="8"/>
  <c r="G22" i="8"/>
  <c r="G23" i="8"/>
  <c r="G24" i="8"/>
  <c r="I17" i="8" l="1"/>
  <c r="F15" i="17"/>
  <c r="E21" i="8"/>
  <c r="D21" i="8" s="1"/>
  <c r="E7" i="16"/>
  <c r="D7" i="16" s="1"/>
  <c r="O29" i="16"/>
  <c r="N29" i="16"/>
  <c r="L29" i="16"/>
  <c r="K29" i="16"/>
  <c r="I29" i="16"/>
  <c r="H29" i="16"/>
  <c r="O28" i="16"/>
  <c r="N28" i="16"/>
  <c r="L28" i="16"/>
  <c r="K28" i="16"/>
  <c r="I28" i="16"/>
  <c r="H28" i="16"/>
  <c r="O27" i="16"/>
  <c r="N27" i="16"/>
  <c r="L27" i="16"/>
  <c r="K27" i="16"/>
  <c r="I27" i="16"/>
  <c r="H27" i="16"/>
  <c r="O26" i="16"/>
  <c r="N26" i="16"/>
  <c r="L26" i="16"/>
  <c r="K26" i="16"/>
  <c r="I26" i="16"/>
  <c r="H26" i="16"/>
  <c r="O25" i="16"/>
  <c r="N25" i="16"/>
  <c r="L25" i="16"/>
  <c r="K25" i="16"/>
  <c r="I25" i="16"/>
  <c r="H25" i="16"/>
  <c r="O24" i="16"/>
  <c r="N24" i="16"/>
  <c r="L24" i="16"/>
  <c r="K24" i="16"/>
  <c r="I24" i="16"/>
  <c r="H24" i="16"/>
  <c r="O23" i="16"/>
  <c r="N23" i="16"/>
  <c r="L23" i="16"/>
  <c r="K23" i="16"/>
  <c r="I23" i="16"/>
  <c r="H23" i="16"/>
  <c r="O22" i="16"/>
  <c r="N22" i="16"/>
  <c r="L22" i="16"/>
  <c r="K22" i="16"/>
  <c r="I22" i="16"/>
  <c r="H22" i="16"/>
  <c r="O21" i="16"/>
  <c r="N21" i="16"/>
  <c r="L21" i="16"/>
  <c r="K21" i="16"/>
  <c r="I21" i="16"/>
  <c r="H21" i="16"/>
  <c r="O20" i="16"/>
  <c r="N20" i="16"/>
  <c r="L20" i="16"/>
  <c r="K20" i="16"/>
  <c r="I20" i="16"/>
  <c r="H20" i="16"/>
  <c r="O19" i="16"/>
  <c r="N19" i="16"/>
  <c r="L19" i="16"/>
  <c r="K19" i="16"/>
  <c r="I19" i="16"/>
  <c r="H19" i="16"/>
  <c r="O18" i="16"/>
  <c r="N18" i="16"/>
  <c r="L18" i="16"/>
  <c r="K18" i="16"/>
  <c r="I18" i="16"/>
  <c r="H18" i="16"/>
  <c r="O17" i="16"/>
  <c r="N17" i="16"/>
  <c r="L17" i="16"/>
  <c r="K17" i="16"/>
  <c r="I17" i="16"/>
  <c r="H17" i="16"/>
  <c r="O16" i="16"/>
  <c r="N16" i="16"/>
  <c r="L16" i="16"/>
  <c r="K16" i="16"/>
  <c r="I16" i="16"/>
  <c r="H16" i="16"/>
  <c r="O15" i="16"/>
  <c r="N15" i="16"/>
  <c r="L15" i="16"/>
  <c r="K15" i="16"/>
  <c r="I15" i="16"/>
  <c r="H15" i="16"/>
  <c r="N14" i="16"/>
  <c r="K14" i="16"/>
  <c r="H14" i="16"/>
  <c r="D14" i="16"/>
  <c r="O14" i="16" s="1"/>
  <c r="N13" i="16"/>
  <c r="K13" i="16"/>
  <c r="H13" i="16"/>
  <c r="D13" i="16"/>
  <c r="O13" i="16" s="1"/>
  <c r="N12" i="16"/>
  <c r="K12" i="16"/>
  <c r="H12" i="16"/>
  <c r="D12" i="16"/>
  <c r="O12" i="16" s="1"/>
  <c r="N11" i="16"/>
  <c r="K11" i="16"/>
  <c r="H11" i="16"/>
  <c r="D11" i="16"/>
  <c r="O11" i="16" s="1"/>
  <c r="N10" i="16"/>
  <c r="K10" i="16"/>
  <c r="H10" i="16"/>
  <c r="D10" i="16"/>
  <c r="O10" i="16" s="1"/>
  <c r="N9" i="16"/>
  <c r="K9" i="16"/>
  <c r="H9" i="16"/>
  <c r="D9" i="16"/>
  <c r="O9" i="16" s="1"/>
  <c r="N8" i="16"/>
  <c r="K8" i="16"/>
  <c r="K7" i="16" s="1"/>
  <c r="H8" i="16"/>
  <c r="D8" i="16"/>
  <c r="O8" i="16" s="1"/>
  <c r="E11" i="8"/>
  <c r="O7" i="16" l="1"/>
  <c r="G7" i="16"/>
  <c r="J7" i="16"/>
  <c r="M7" i="16"/>
  <c r="H7" i="16"/>
  <c r="N7" i="16"/>
  <c r="D11" i="8"/>
  <c r="I9" i="16"/>
  <c r="L9" i="16"/>
  <c r="I11" i="16"/>
  <c r="L11" i="16"/>
  <c r="I13" i="16"/>
  <c r="L13" i="16"/>
  <c r="I8" i="16"/>
  <c r="L8" i="16"/>
  <c r="I10" i="16"/>
  <c r="L10" i="16"/>
  <c r="I12" i="16"/>
  <c r="L12" i="16"/>
  <c r="I14" i="16"/>
  <c r="L14" i="16"/>
  <c r="L7" i="16" l="1"/>
  <c r="I7" i="16"/>
  <c r="M19" i="8"/>
  <c r="J19" i="8"/>
  <c r="G20" i="8"/>
  <c r="K18" i="8" l="1"/>
  <c r="N18" i="8"/>
  <c r="N15" i="8"/>
  <c r="M15" i="8"/>
  <c r="M21" i="8"/>
  <c r="M18" i="8"/>
  <c r="J18" i="8"/>
  <c r="G18" i="8"/>
  <c r="K15" i="8"/>
  <c r="H15" i="8"/>
  <c r="G15" i="8"/>
  <c r="J15" i="8" l="1"/>
  <c r="M13" i="8"/>
  <c r="J13" i="8"/>
  <c r="G13" i="8"/>
  <c r="H18" i="8" l="1"/>
  <c r="E16" i="8"/>
  <c r="N24" i="8"/>
  <c r="H24" i="8"/>
  <c r="N23" i="8"/>
  <c r="K23" i="8"/>
  <c r="H23" i="8"/>
  <c r="N22" i="8"/>
  <c r="K22" i="8"/>
  <c r="H22" i="8"/>
  <c r="N21" i="8"/>
  <c r="O21" i="8"/>
  <c r="O19" i="8"/>
  <c r="O22" i="8" l="1"/>
  <c r="O23" i="8"/>
  <c r="O24" i="8"/>
  <c r="D16" i="8"/>
  <c r="D8" i="8" s="1"/>
  <c r="E8" i="8"/>
  <c r="G16" i="8"/>
  <c r="H16" i="8" s="1"/>
  <c r="J16" i="8"/>
  <c r="K16" i="8" s="1"/>
  <c r="M16" i="8"/>
  <c r="N16" i="8" s="1"/>
  <c r="L19" i="8"/>
  <c r="I23" i="8" l="1"/>
  <c r="F32" i="17"/>
  <c r="I24" i="8"/>
  <c r="F33" i="17"/>
  <c r="I22" i="8"/>
  <c r="F31" i="17"/>
  <c r="M24" i="26" s="1"/>
  <c r="L23" i="8"/>
  <c r="L22" i="8"/>
  <c r="I16" i="8"/>
  <c r="O16" i="8"/>
  <c r="L16" i="8"/>
  <c r="F30" i="17" l="1"/>
  <c r="N13" i="8"/>
  <c r="K13" i="8"/>
  <c r="I8" i="10"/>
  <c r="H13" i="8"/>
  <c r="O18" i="8" l="1"/>
  <c r="O13" i="8"/>
  <c r="O15" i="8"/>
  <c r="L18" i="8"/>
  <c r="L15" i="8"/>
  <c r="L13" i="8"/>
  <c r="I13" i="8"/>
  <c r="F11" i="17"/>
  <c r="M18" i="26" s="1"/>
  <c r="I15" i="8"/>
  <c r="F13" i="17"/>
  <c r="M21" i="26" s="1"/>
  <c r="M18" i="27" s="1"/>
  <c r="I18" i="8"/>
  <c r="F16" i="17"/>
  <c r="F14" i="17" s="1"/>
  <c r="G11" i="8"/>
  <c r="M15" i="26" l="1"/>
  <c r="F9" i="17"/>
  <c r="M11" i="8"/>
  <c r="J11" i="8"/>
  <c r="O11" i="8" l="1"/>
  <c r="N11" i="8"/>
  <c r="L11" i="8"/>
  <c r="K11" i="8"/>
  <c r="I11" i="8" l="1"/>
  <c r="H11" i="8"/>
  <c r="I19" i="8" l="1"/>
  <c r="G19" i="8"/>
  <c r="M20" i="8" l="1"/>
  <c r="J20" i="8"/>
  <c r="K20" i="8"/>
  <c r="N20" i="8" l="1"/>
  <c r="K19" i="8" l="1"/>
  <c r="N19" i="8"/>
  <c r="H19" i="8"/>
  <c r="E206" i="22"/>
  <c r="E201" i="22"/>
  <c r="O20" i="8" l="1"/>
  <c r="O8" i="8" s="1"/>
  <c r="E189" i="22"/>
  <c r="H20" i="8"/>
  <c r="D6" i="22" l="1"/>
  <c r="E118" i="22"/>
  <c r="E6" i="22" s="1"/>
  <c r="G6" i="22" s="1"/>
  <c r="L20" i="8"/>
  <c r="L8" i="8" s="1"/>
  <c r="I20" i="8" l="1"/>
  <c r="I8" i="8" s="1"/>
  <c r="N131" i="23" l="1"/>
  <c r="O131" i="23" l="1"/>
  <c r="N120" i="23"/>
  <c r="O120" i="23" l="1"/>
  <c r="J18" i="27" l="1"/>
  <c r="J18" i="26"/>
  <c r="J15" i="26"/>
  <c r="J15" i="27"/>
  <c r="J21" i="26"/>
  <c r="I21" i="8" l="1"/>
  <c r="G8" i="15"/>
  <c r="G21" i="8" l="1"/>
  <c r="U8" i="15"/>
  <c r="H8" i="15"/>
  <c r="H21" i="8" l="1"/>
  <c r="V8" i="15"/>
  <c r="J11" i="15" l="1"/>
  <c r="K11" i="15"/>
  <c r="L11" i="15"/>
  <c r="J24" i="8"/>
  <c r="K8" i="15" l="1"/>
  <c r="K24" i="8"/>
  <c r="G33" i="17"/>
  <c r="L8" i="15"/>
  <c r="Z8" i="15" s="1"/>
  <c r="R9" i="15" s="1"/>
  <c r="L24" i="8"/>
  <c r="K21" i="8" l="1"/>
  <c r="Y8" i="15"/>
  <c r="J8" i="15"/>
  <c r="L21" i="8"/>
  <c r="G30" i="17"/>
  <c r="M19" i="26"/>
  <c r="J21" i="8" l="1"/>
  <c r="X8" i="15"/>
  <c r="J19" i="26"/>
  <c r="F29" i="17" l="1"/>
  <c r="K43" i="23"/>
  <c r="L43" i="23" s="1"/>
  <c r="E200" i="23"/>
  <c r="E189" i="23" s="1"/>
  <c r="K195" i="23"/>
  <c r="K199" i="23"/>
  <c r="K174" i="23"/>
  <c r="K178" i="23"/>
  <c r="K182" i="23"/>
  <c r="K186" i="23"/>
  <c r="K163" i="23"/>
  <c r="N155" i="23"/>
  <c r="O155" i="23" s="1"/>
  <c r="K155" i="23"/>
  <c r="K157" i="23"/>
  <c r="K66" i="23"/>
  <c r="L66" i="23" s="1"/>
  <c r="K205" i="23"/>
  <c r="K209" i="23"/>
  <c r="K213" i="23"/>
  <c r="K192" i="23"/>
  <c r="K196" i="23"/>
  <c r="K175" i="23"/>
  <c r="K179" i="23"/>
  <c r="K183" i="23"/>
  <c r="K187" i="23"/>
  <c r="K165" i="23"/>
  <c r="H204" i="23"/>
  <c r="I204" i="23" s="1"/>
  <c r="K204" i="23"/>
  <c r="K212" i="23"/>
  <c r="H212" i="23"/>
  <c r="I212" i="23" s="1"/>
  <c r="E158" i="23"/>
  <c r="K172" i="23"/>
  <c r="E62" i="23"/>
  <c r="N14" i="23"/>
  <c r="O14" i="23" s="1"/>
  <c r="N156" i="23"/>
  <c r="O156" i="23" s="1"/>
  <c r="K156" i="23"/>
  <c r="E32" i="23"/>
  <c r="K206" i="23"/>
  <c r="K193" i="23"/>
  <c r="K176" i="23"/>
  <c r="K184" i="23"/>
  <c r="K68" i="23"/>
  <c r="L68" i="23" s="1"/>
  <c r="K203" i="23"/>
  <c r="K207" i="23"/>
  <c r="K211" i="23"/>
  <c r="K215" i="23"/>
  <c r="K194" i="23"/>
  <c r="K198" i="23"/>
  <c r="K173" i="23"/>
  <c r="K177" i="23"/>
  <c r="H187" i="23"/>
  <c r="I187" i="23" s="1"/>
  <c r="H192" i="23"/>
  <c r="I192" i="23" s="1"/>
  <c r="H178" i="23"/>
  <c r="I178" i="23" s="1"/>
  <c r="H208" i="23"/>
  <c r="I208" i="23"/>
  <c r="K208" i="23"/>
  <c r="E190" i="23"/>
  <c r="H199" i="23"/>
  <c r="I199" i="23" s="1"/>
  <c r="N151" i="23"/>
  <c r="O151" i="23" s="1"/>
  <c r="H151" i="23"/>
  <c r="I151" i="23"/>
  <c r="K151" i="23"/>
  <c r="K159" i="23"/>
  <c r="N16" i="23"/>
  <c r="O16" i="23" s="1"/>
  <c r="H172" i="23"/>
  <c r="I172" i="23" s="1"/>
  <c r="N157" i="23"/>
  <c r="O157" i="23" s="1"/>
  <c r="K19" i="23"/>
  <c r="L19" i="23"/>
  <c r="E101" i="23"/>
  <c r="H206" i="23"/>
  <c r="I206" i="23" s="1"/>
  <c r="H215" i="23"/>
  <c r="I215" i="23" s="1"/>
  <c r="H177" i="23"/>
  <c r="I177" i="23"/>
  <c r="N150" i="23"/>
  <c r="O150" i="23" s="1"/>
  <c r="K150" i="23"/>
  <c r="N153" i="23"/>
  <c r="O153" i="23" s="1"/>
  <c r="K153" i="23"/>
  <c r="K167" i="23"/>
  <c r="K166" i="23"/>
  <c r="K138" i="23"/>
  <c r="L138" i="23" s="1"/>
  <c r="K161" i="23"/>
  <c r="K160" i="23"/>
  <c r="N86" i="23"/>
  <c r="O86" i="23"/>
  <c r="N18" i="23"/>
  <c r="O18" i="23" s="1"/>
  <c r="K214" i="23"/>
  <c r="H214" i="23"/>
  <c r="I214" i="23" s="1"/>
  <c r="K188" i="23"/>
  <c r="N87" i="23"/>
  <c r="O87" i="23" s="1"/>
  <c r="H213" i="23"/>
  <c r="I213" i="23" s="1"/>
  <c r="H196" i="23"/>
  <c r="I196" i="23" s="1"/>
  <c r="H179" i="23"/>
  <c r="I179" i="23"/>
  <c r="H176" i="23"/>
  <c r="I176" i="23" s="1"/>
  <c r="N85" i="23"/>
  <c r="O85" i="23"/>
  <c r="N59" i="23"/>
  <c r="O59" i="23" s="1"/>
  <c r="H203" i="23"/>
  <c r="I203" i="23" s="1"/>
  <c r="K185" i="23"/>
  <c r="K154" i="23"/>
  <c r="K210" i="23"/>
  <c r="H180" i="23"/>
  <c r="I180" i="23" s="1"/>
  <c r="K180" i="23"/>
  <c r="K92" i="23"/>
  <c r="K22" i="23"/>
  <c r="K30" i="23"/>
  <c r="K13" i="23"/>
  <c r="L13" i="23"/>
  <c r="K112" i="23"/>
  <c r="L112" i="23" s="1"/>
  <c r="K72" i="23"/>
  <c r="L72" i="23"/>
  <c r="K42" i="23"/>
  <c r="L42" i="23" s="1"/>
  <c r="K137" i="23"/>
  <c r="L137" i="23" s="1"/>
  <c r="K91" i="23"/>
  <c r="K54" i="23"/>
  <c r="L54" i="23" s="1"/>
  <c r="K50" i="23"/>
  <c r="L50" i="23" s="1"/>
  <c r="K24" i="23"/>
  <c r="N61" i="23"/>
  <c r="O61" i="23" s="1"/>
  <c r="K115" i="23"/>
  <c r="L115" i="23" s="1"/>
  <c r="K71" i="23"/>
  <c r="L71" i="23"/>
  <c r="N88" i="23"/>
  <c r="O88" i="23" s="1"/>
  <c r="K49" i="23"/>
  <c r="L49" i="23" s="1"/>
  <c r="K144" i="23"/>
  <c r="L144" i="23"/>
  <c r="K118" i="23"/>
  <c r="L118" i="23" s="1"/>
  <c r="K36" i="23"/>
  <c r="L36" i="23" s="1"/>
  <c r="K34" i="23"/>
  <c r="L34" i="23" s="1"/>
  <c r="K28" i="23"/>
  <c r="K16" i="23"/>
  <c r="L16" i="23" s="1"/>
  <c r="E170" i="23"/>
  <c r="H153" i="23"/>
  <c r="I153" i="23"/>
  <c r="H65" i="23"/>
  <c r="I65" i="23" s="1"/>
  <c r="K65" i="23"/>
  <c r="L65" i="23" s="1"/>
  <c r="N60" i="23"/>
  <c r="O60" i="23" s="1"/>
  <c r="H182" i="23"/>
  <c r="I182" i="23" s="1"/>
  <c r="N83" i="23"/>
  <c r="O83" i="23" s="1"/>
  <c r="H183" i="23"/>
  <c r="I183" i="23" s="1"/>
  <c r="K152" i="23"/>
  <c r="K148" i="23" s="1"/>
  <c r="H152" i="23"/>
  <c r="I152" i="23" s="1"/>
  <c r="N152" i="23"/>
  <c r="O152" i="23" s="1"/>
  <c r="H156" i="23"/>
  <c r="I156" i="23" s="1"/>
  <c r="H184" i="23"/>
  <c r="I184" i="23" s="1"/>
  <c r="N12" i="23"/>
  <c r="O12" i="23" s="1"/>
  <c r="H207" i="23"/>
  <c r="I207" i="23" s="1"/>
  <c r="H173" i="23"/>
  <c r="I173" i="23"/>
  <c r="H154" i="23"/>
  <c r="I154" i="23" s="1"/>
  <c r="N154" i="23"/>
  <c r="O154" i="23"/>
  <c r="H202" i="23"/>
  <c r="I202" i="23" s="1"/>
  <c r="K202" i="23"/>
  <c r="K197" i="23"/>
  <c r="K164" i="23"/>
  <c r="H164" i="23"/>
  <c r="I164" i="23" s="1"/>
  <c r="M39" i="26" s="1"/>
  <c r="J39" i="26" s="1"/>
  <c r="H138" i="23"/>
  <c r="I138" i="23"/>
  <c r="K162" i="23"/>
  <c r="H160" i="23"/>
  <c r="I160" i="23" s="1"/>
  <c r="E131" i="23"/>
  <c r="H95" i="23"/>
  <c r="I95" i="23" s="1"/>
  <c r="K95" i="23"/>
  <c r="K139" i="23"/>
  <c r="L139" i="23" s="1"/>
  <c r="K105" i="23"/>
  <c r="L105" i="23" s="1"/>
  <c r="K94" i="23"/>
  <c r="K27" i="23"/>
  <c r="K61" i="23"/>
  <c r="L61" i="23"/>
  <c r="K57" i="23"/>
  <c r="L57" i="23" s="1"/>
  <c r="K15" i="23"/>
  <c r="L15" i="23" s="1"/>
  <c r="K99" i="23"/>
  <c r="K98" i="23"/>
  <c r="H98" i="23"/>
  <c r="I98" i="23" s="1"/>
  <c r="K23" i="23"/>
  <c r="K20" i="23" s="1"/>
  <c r="N58" i="23"/>
  <c r="O58" i="23" s="1"/>
  <c r="K18" i="23"/>
  <c r="L18" i="23" s="1"/>
  <c r="K117" i="23"/>
  <c r="L117" i="23" s="1"/>
  <c r="K110" i="23"/>
  <c r="L110" i="23" s="1"/>
  <c r="K146" i="23"/>
  <c r="L146" i="23" s="1"/>
  <c r="N82" i="23"/>
  <c r="O82" i="23" s="1"/>
  <c r="N13" i="23"/>
  <c r="O13" i="23" s="1"/>
  <c r="H185" i="23"/>
  <c r="I185" i="23"/>
  <c r="E148" i="23"/>
  <c r="H162" i="23"/>
  <c r="I162" i="23" s="1"/>
  <c r="E121" i="23"/>
  <c r="E120" i="23" s="1"/>
  <c r="M61" i="26"/>
  <c r="M52" i="27" s="1"/>
  <c r="J52" i="27" s="1"/>
  <c r="E79" i="23"/>
  <c r="K25" i="23"/>
  <c r="H13" i="23"/>
  <c r="I13" i="23" s="1"/>
  <c r="K44" i="23"/>
  <c r="L44" i="23" s="1"/>
  <c r="K140" i="23"/>
  <c r="L140" i="23" s="1"/>
  <c r="K60" i="23"/>
  <c r="L60" i="23" s="1"/>
  <c r="K47" i="23"/>
  <c r="L47" i="23" s="1"/>
  <c r="K126" i="23"/>
  <c r="L126" i="23" s="1"/>
  <c r="H94" i="23"/>
  <c r="I94" i="23" s="1"/>
  <c r="K84" i="23"/>
  <c r="L84" i="23" s="1"/>
  <c r="N84" i="23"/>
  <c r="O84" i="23" s="1"/>
  <c r="K48" i="23"/>
  <c r="L48" i="23" s="1"/>
  <c r="H49" i="23"/>
  <c r="I49" i="23" s="1"/>
  <c r="K76" i="23"/>
  <c r="L76" i="23"/>
  <c r="K46" i="23"/>
  <c r="L46" i="23" s="1"/>
  <c r="H99" i="23"/>
  <c r="I99" i="23" s="1"/>
  <c r="K124" i="23"/>
  <c r="L124" i="23"/>
  <c r="K171" i="23"/>
  <c r="K128" i="23"/>
  <c r="L128" i="23" s="1"/>
  <c r="K87" i="23"/>
  <c r="L87" i="23" s="1"/>
  <c r="K201" i="23"/>
  <c r="K80" i="23"/>
  <c r="L80" i="23" s="1"/>
  <c r="E89" i="23"/>
  <c r="E52" i="23"/>
  <c r="E51" i="23" s="1"/>
  <c r="M52" i="26"/>
  <c r="J52" i="26" s="1"/>
  <c r="L148" i="23"/>
  <c r="J148" i="23" s="1"/>
  <c r="K133" i="23"/>
  <c r="L133" i="23" s="1"/>
  <c r="H211" i="23"/>
  <c r="I211" i="23" s="1"/>
  <c r="H210" i="23"/>
  <c r="I210" i="23"/>
  <c r="H195" i="23"/>
  <c r="I195" i="23" s="1"/>
  <c r="H186" i="23"/>
  <c r="I186" i="23"/>
  <c r="H155" i="23"/>
  <c r="I155" i="23" s="1"/>
  <c r="H19" i="23"/>
  <c r="I19" i="23" s="1"/>
  <c r="N19" i="23"/>
  <c r="O19" i="23" s="1"/>
  <c r="H68" i="23"/>
  <c r="I68" i="23" s="1"/>
  <c r="H194" i="23"/>
  <c r="I194" i="23" s="1"/>
  <c r="H168" i="23"/>
  <c r="I168" i="23"/>
  <c r="K168" i="23"/>
  <c r="H167" i="23"/>
  <c r="I167" i="23" s="1"/>
  <c r="H135" i="23"/>
  <c r="I135" i="23"/>
  <c r="K135" i="23"/>
  <c r="L135" i="23" s="1"/>
  <c r="N15" i="23"/>
  <c r="O15" i="23"/>
  <c r="L20" i="23"/>
  <c r="J20" i="23" s="1"/>
  <c r="M49" i="26"/>
  <c r="M40" i="27" s="1"/>
  <c r="J40" i="27" s="1"/>
  <c r="H30" i="23"/>
  <c r="I30" i="23"/>
  <c r="H35" i="23"/>
  <c r="I35" i="23" s="1"/>
  <c r="K35" i="23"/>
  <c r="L35" i="23"/>
  <c r="H72" i="23"/>
  <c r="I72" i="23" s="1"/>
  <c r="K123" i="23"/>
  <c r="L123" i="23" s="1"/>
  <c r="H140" i="23"/>
  <c r="I140" i="23"/>
  <c r="K114" i="23"/>
  <c r="L114" i="23" s="1"/>
  <c r="H137" i="23"/>
  <c r="I137" i="23" s="1"/>
  <c r="K29" i="23"/>
  <c r="N55" i="23"/>
  <c r="O55" i="23" s="1"/>
  <c r="H97" i="23"/>
  <c r="I97" i="23" s="1"/>
  <c r="K97" i="23"/>
  <c r="K17" i="23"/>
  <c r="L17" i="23" s="1"/>
  <c r="H71" i="23"/>
  <c r="I71" i="23" s="1"/>
  <c r="H88" i="23"/>
  <c r="I88" i="23" s="1"/>
  <c r="K88" i="23"/>
  <c r="L88" i="23" s="1"/>
  <c r="H46" i="23"/>
  <c r="I46" i="23" s="1"/>
  <c r="K73" i="23"/>
  <c r="L73" i="23" s="1"/>
  <c r="H73" i="23"/>
  <c r="I73" i="23" s="1"/>
  <c r="K103" i="23"/>
  <c r="L103" i="23" s="1"/>
  <c r="H37" i="23"/>
  <c r="I37" i="23" s="1"/>
  <c r="K37" i="23"/>
  <c r="L37" i="23" s="1"/>
  <c r="H34" i="23"/>
  <c r="I34" i="23" s="1"/>
  <c r="H77" i="23"/>
  <c r="I77" i="23" s="1"/>
  <c r="K77" i="23"/>
  <c r="L77" i="23" s="1"/>
  <c r="K93" i="23"/>
  <c r="H93" i="23"/>
  <c r="I93" i="23" s="1"/>
  <c r="H16" i="23"/>
  <c r="I16" i="23" s="1"/>
  <c r="H74" i="23"/>
  <c r="I74" i="23"/>
  <c r="K74" i="23"/>
  <c r="L74" i="23" s="1"/>
  <c r="H18" i="23"/>
  <c r="I18" i="23" s="1"/>
  <c r="K38" i="23"/>
  <c r="L38" i="23" s="1"/>
  <c r="K56" i="23"/>
  <c r="L56" i="23" s="1"/>
  <c r="K83" i="23"/>
  <c r="L83" i="23" s="1"/>
  <c r="K96" i="23"/>
  <c r="H146" i="23"/>
  <c r="I146" i="23" s="1"/>
  <c r="K26" i="23"/>
  <c r="L190" i="23"/>
  <c r="H27" i="23"/>
  <c r="I27" i="23" s="1"/>
  <c r="K21" i="23"/>
  <c r="M55" i="26"/>
  <c r="M46" i="27" s="1"/>
  <c r="J46" i="27" s="1"/>
  <c r="H163" i="23"/>
  <c r="I163" i="23" s="1"/>
  <c r="H188" i="23"/>
  <c r="I188" i="23" s="1"/>
  <c r="H205" i="23"/>
  <c r="I205" i="23" s="1"/>
  <c r="H193" i="23"/>
  <c r="I193" i="23" s="1"/>
  <c r="H166" i="23"/>
  <c r="I166" i="23" s="1"/>
  <c r="H111" i="23"/>
  <c r="I111" i="23" s="1"/>
  <c r="K111" i="23"/>
  <c r="L111" i="23" s="1"/>
  <c r="H85" i="23"/>
  <c r="I85" i="23" s="1"/>
  <c r="K85" i="23"/>
  <c r="L85" i="23"/>
  <c r="H123" i="23"/>
  <c r="I123" i="23" s="1"/>
  <c r="H142" i="23"/>
  <c r="I142" i="23" s="1"/>
  <c r="K142" i="23"/>
  <c r="L142" i="23" s="1"/>
  <c r="H104" i="23"/>
  <c r="I104" i="23" s="1"/>
  <c r="K104" i="23"/>
  <c r="L104" i="23" s="1"/>
  <c r="H58" i="23"/>
  <c r="I58" i="23" s="1"/>
  <c r="K58" i="23"/>
  <c r="L58" i="23" s="1"/>
  <c r="H41" i="23"/>
  <c r="I41" i="23" s="1"/>
  <c r="K41" i="23"/>
  <c r="L41" i="23" s="1"/>
  <c r="H86" i="23"/>
  <c r="I86" i="23"/>
  <c r="K86" i="23"/>
  <c r="L86" i="23" s="1"/>
  <c r="H96" i="23"/>
  <c r="I96" i="23" s="1"/>
  <c r="H75" i="23"/>
  <c r="I75" i="23" s="1"/>
  <c r="K75" i="23"/>
  <c r="L75" i="23" s="1"/>
  <c r="H102" i="23"/>
  <c r="K102" i="23"/>
  <c r="L102" i="23"/>
  <c r="H87" i="23"/>
  <c r="I87" i="23" s="1"/>
  <c r="K191" i="23"/>
  <c r="K90" i="23"/>
  <c r="N149" i="23"/>
  <c r="O149" i="23" s="1"/>
  <c r="H132" i="23"/>
  <c r="I132" i="23" s="1"/>
  <c r="K132" i="23"/>
  <c r="L132" i="23"/>
  <c r="H21" i="23"/>
  <c r="H43" i="23"/>
  <c r="I43" i="23" s="1"/>
  <c r="H157" i="23"/>
  <c r="I157" i="23"/>
  <c r="H209" i="23"/>
  <c r="I209" i="23" s="1"/>
  <c r="H165" i="23"/>
  <c r="I165" i="23" s="1"/>
  <c r="N17" i="23"/>
  <c r="H198" i="23"/>
  <c r="I198" i="23" s="1"/>
  <c r="H150" i="23"/>
  <c r="I150" i="23" s="1"/>
  <c r="M40" i="26"/>
  <c r="M31" i="27" s="1"/>
  <c r="J31" i="27" s="1"/>
  <c r="H23" i="23"/>
  <c r="I23" i="23" s="1"/>
  <c r="M46" i="26"/>
  <c r="J46" i="26" s="1"/>
  <c r="H44" i="23"/>
  <c r="I44" i="23" s="1"/>
  <c r="H112" i="23"/>
  <c r="I112" i="23" s="1"/>
  <c r="H45" i="23"/>
  <c r="I45" i="23" s="1"/>
  <c r="K45" i="23"/>
  <c r="L45" i="23" s="1"/>
  <c r="H60" i="23"/>
  <c r="I60" i="23" s="1"/>
  <c r="H91" i="23"/>
  <c r="I91" i="23" s="1"/>
  <c r="H119" i="23"/>
  <c r="I119" i="23" s="1"/>
  <c r="K119" i="23"/>
  <c r="L119" i="23" s="1"/>
  <c r="H55" i="23"/>
  <c r="I55" i="23" s="1"/>
  <c r="K55" i="23"/>
  <c r="L55" i="23"/>
  <c r="H106" i="23"/>
  <c r="I106" i="23" s="1"/>
  <c r="K106" i="23"/>
  <c r="L106" i="23" s="1"/>
  <c r="H84" i="23"/>
  <c r="I84" i="23" s="1"/>
  <c r="H17" i="23"/>
  <c r="I17" i="23" s="1"/>
  <c r="H143" i="23"/>
  <c r="I143" i="23" s="1"/>
  <c r="K143" i="23"/>
  <c r="L143" i="23" s="1"/>
  <c r="H109" i="23"/>
  <c r="I109" i="23" s="1"/>
  <c r="K109" i="23"/>
  <c r="L109" i="23"/>
  <c r="H15" i="23"/>
  <c r="I15" i="23" s="1"/>
  <c r="H118" i="23"/>
  <c r="I118" i="23" s="1"/>
  <c r="H103" i="23"/>
  <c r="I103" i="23" s="1"/>
  <c r="H125" i="23"/>
  <c r="I125" i="23" s="1"/>
  <c r="K125" i="23"/>
  <c r="L125" i="23" s="1"/>
  <c r="K81" i="23"/>
  <c r="L81" i="23" s="1"/>
  <c r="H134" i="23"/>
  <c r="I134" i="23" s="1"/>
  <c r="K134" i="23"/>
  <c r="L134" i="23" s="1"/>
  <c r="H117" i="23"/>
  <c r="I117" i="23" s="1"/>
  <c r="H110" i="23"/>
  <c r="I110" i="23" s="1"/>
  <c r="H70" i="23"/>
  <c r="I70" i="23" s="1"/>
  <c r="K70" i="23"/>
  <c r="L70" i="23" s="1"/>
  <c r="H81" i="23"/>
  <c r="I81" i="23" s="1"/>
  <c r="N81" i="23"/>
  <c r="O81" i="23" s="1"/>
  <c r="H90" i="23"/>
  <c r="I90" i="23" s="1"/>
  <c r="H39" i="23"/>
  <c r="I39" i="23" s="1"/>
  <c r="K39" i="23"/>
  <c r="L39" i="23" s="1"/>
  <c r="H191" i="23"/>
  <c r="I191" i="23" s="1"/>
  <c r="K136" i="23"/>
  <c r="L136" i="23" s="1"/>
  <c r="H136" i="23"/>
  <c r="I136" i="23" s="1"/>
  <c r="N11" i="23"/>
  <c r="O11" i="23" s="1"/>
  <c r="K33" i="23"/>
  <c r="L33" i="23" s="1"/>
  <c r="H197" i="23"/>
  <c r="I197" i="23" s="1"/>
  <c r="H69" i="23"/>
  <c r="I69" i="23"/>
  <c r="K69" i="23"/>
  <c r="L69" i="23" s="1"/>
  <c r="H174" i="23"/>
  <c r="I174" i="23" s="1"/>
  <c r="H66" i="23"/>
  <c r="I66" i="23" s="1"/>
  <c r="K64" i="23"/>
  <c r="L64" i="23" s="1"/>
  <c r="H181" i="23"/>
  <c r="I181" i="23" s="1"/>
  <c r="K181" i="23"/>
  <c r="H161" i="23"/>
  <c r="I161" i="23" s="1"/>
  <c r="H92" i="23"/>
  <c r="I92" i="23" s="1"/>
  <c r="H114" i="23"/>
  <c r="I114" i="23" s="1"/>
  <c r="H47" i="23"/>
  <c r="I47" i="23" s="1"/>
  <c r="H130" i="23"/>
  <c r="I130" i="23" s="1"/>
  <c r="K130" i="23"/>
  <c r="L130" i="23" s="1"/>
  <c r="H145" i="23"/>
  <c r="I145" i="23" s="1"/>
  <c r="K145" i="23"/>
  <c r="L145" i="23" s="1"/>
  <c r="H61" i="23"/>
  <c r="I61" i="23" s="1"/>
  <c r="H115" i="23"/>
  <c r="I115" i="23" s="1"/>
  <c r="H48" i="23"/>
  <c r="I48" i="23" s="1"/>
  <c r="H116" i="23"/>
  <c r="I116" i="23" s="1"/>
  <c r="K116" i="23"/>
  <c r="L116" i="23" s="1"/>
  <c r="H127" i="23"/>
  <c r="I127" i="23" s="1"/>
  <c r="K127" i="23"/>
  <c r="L127" i="23"/>
  <c r="H36" i="23"/>
  <c r="I36" i="23" s="1"/>
  <c r="H113" i="23"/>
  <c r="I113" i="23" s="1"/>
  <c r="K113" i="23"/>
  <c r="L113" i="23" s="1"/>
  <c r="H28" i="23"/>
  <c r="I28" i="23" s="1"/>
  <c r="H107" i="23"/>
  <c r="I107" i="23" s="1"/>
  <c r="K107" i="23"/>
  <c r="L107" i="23" s="1"/>
  <c r="H59" i="23"/>
  <c r="I59" i="23" s="1"/>
  <c r="K59" i="23"/>
  <c r="L59" i="23" s="1"/>
  <c r="H82" i="23"/>
  <c r="I82" i="23" s="1"/>
  <c r="K82" i="23"/>
  <c r="L82" i="23" s="1"/>
  <c r="H80" i="23"/>
  <c r="I80" i="23" s="1"/>
  <c r="N80" i="23"/>
  <c r="O80" i="23" s="1"/>
  <c r="H201" i="23"/>
  <c r="L200" i="23"/>
  <c r="J200" i="23" s="1"/>
  <c r="N53" i="23"/>
  <c r="O53" i="23" s="1"/>
  <c r="H159" i="23"/>
  <c r="I159" i="23" s="1"/>
  <c r="L158" i="23"/>
  <c r="J158" i="23" s="1"/>
  <c r="H24" i="23"/>
  <c r="I24" i="23" s="1"/>
  <c r="H133" i="23"/>
  <c r="I133" i="23" s="1"/>
  <c r="K14" i="23"/>
  <c r="L14" i="23" s="1"/>
  <c r="H53" i="23"/>
  <c r="I53" i="23" s="1"/>
  <c r="K53" i="23"/>
  <c r="L53" i="23" s="1"/>
  <c r="H56" i="23"/>
  <c r="I56" i="23" s="1"/>
  <c r="N56" i="23"/>
  <c r="O56" i="23" s="1"/>
  <c r="H57" i="23"/>
  <c r="I57" i="23" s="1"/>
  <c r="N57" i="23"/>
  <c r="O57" i="23"/>
  <c r="H175" i="23"/>
  <c r="I175" i="23" s="1"/>
  <c r="H54" i="23"/>
  <c r="I54" i="23"/>
  <c r="N54" i="23"/>
  <c r="O54" i="23" s="1"/>
  <c r="H64" i="23"/>
  <c r="I64" i="23" s="1"/>
  <c r="H149" i="23"/>
  <c r="K149" i="23"/>
  <c r="E10" i="23"/>
  <c r="H22" i="23"/>
  <c r="I22" i="23"/>
  <c r="M43" i="26"/>
  <c r="J43" i="26" s="1"/>
  <c r="H29" i="23"/>
  <c r="I29" i="23" s="1"/>
  <c r="M67" i="26"/>
  <c r="J67" i="26" s="1"/>
  <c r="H129" i="23"/>
  <c r="I129" i="23" s="1"/>
  <c r="K129" i="23"/>
  <c r="L129" i="23" s="1"/>
  <c r="H67" i="23"/>
  <c r="I67" i="23" s="1"/>
  <c r="K67" i="23"/>
  <c r="L67" i="23" s="1"/>
  <c r="H139" i="23"/>
  <c r="I139" i="23" s="1"/>
  <c r="H105" i="23"/>
  <c r="I105" i="23"/>
  <c r="H42" i="23"/>
  <c r="I42" i="23" s="1"/>
  <c r="H126" i="23"/>
  <c r="I126" i="23"/>
  <c r="H50" i="23"/>
  <c r="I50" i="23" s="1"/>
  <c r="H76" i="23"/>
  <c r="I76" i="23" s="1"/>
  <c r="H144" i="23"/>
  <c r="I144" i="23" s="1"/>
  <c r="H141" i="23"/>
  <c r="I141" i="23" s="1"/>
  <c r="K141" i="23"/>
  <c r="L141" i="23" s="1"/>
  <c r="H124" i="23"/>
  <c r="I124" i="23"/>
  <c r="H128" i="23"/>
  <c r="I128" i="23" s="1"/>
  <c r="H25" i="23"/>
  <c r="I25" i="23"/>
  <c r="H33" i="23"/>
  <c r="I33" i="23" s="1"/>
  <c r="H63" i="23"/>
  <c r="K63" i="23"/>
  <c r="L63" i="23" s="1"/>
  <c r="H12" i="23"/>
  <c r="I12" i="23" s="1"/>
  <c r="K12" i="23"/>
  <c r="L12" i="23" s="1"/>
  <c r="H122" i="23"/>
  <c r="I122" i="23"/>
  <c r="K122" i="23"/>
  <c r="L122" i="23" s="1"/>
  <c r="K11" i="23"/>
  <c r="L11" i="23" s="1"/>
  <c r="H40" i="23"/>
  <c r="I40" i="23" s="1"/>
  <c r="K40" i="23"/>
  <c r="L40" i="23" s="1"/>
  <c r="H38" i="23"/>
  <c r="I38" i="23" s="1"/>
  <c r="H171" i="23"/>
  <c r="I171" i="23" s="1"/>
  <c r="L170" i="23"/>
  <c r="J170" i="23" s="1"/>
  <c r="H11" i="23"/>
  <c r="I11" i="23" s="1"/>
  <c r="H14" i="23"/>
  <c r="I14" i="23"/>
  <c r="H108" i="23"/>
  <c r="I108" i="23" s="1"/>
  <c r="K108" i="23"/>
  <c r="L108" i="23" s="1"/>
  <c r="H83" i="23"/>
  <c r="I83" i="23" s="1"/>
  <c r="H26" i="23"/>
  <c r="I26" i="23" s="1"/>
  <c r="E147" i="23" l="1"/>
  <c r="K190" i="23"/>
  <c r="N10" i="23"/>
  <c r="N9" i="23" s="1"/>
  <c r="M70" i="26"/>
  <c r="E9" i="23"/>
  <c r="M60" i="26"/>
  <c r="H200" i="23"/>
  <c r="K200" i="23"/>
  <c r="H62" i="23"/>
  <c r="I62" i="23" s="1"/>
  <c r="M48" i="26"/>
  <c r="L131" i="23"/>
  <c r="J131" i="23" s="1"/>
  <c r="M76" i="26"/>
  <c r="H121" i="23"/>
  <c r="K62" i="23"/>
  <c r="K121" i="23"/>
  <c r="O52" i="23"/>
  <c r="O51" i="23" s="1"/>
  <c r="K32" i="23"/>
  <c r="K89" i="23"/>
  <c r="L89" i="23" s="1"/>
  <c r="L222" i="23" s="1"/>
  <c r="N222" i="23" s="1"/>
  <c r="K158" i="23"/>
  <c r="L121" i="23"/>
  <c r="M72" i="26"/>
  <c r="M66" i="26"/>
  <c r="J66" i="26" s="1"/>
  <c r="M73" i="26"/>
  <c r="H148" i="23"/>
  <c r="K189" i="23"/>
  <c r="M57" i="26"/>
  <c r="J57" i="26" s="1"/>
  <c r="I121" i="23"/>
  <c r="I63" i="23"/>
  <c r="K170" i="23"/>
  <c r="E78" i="23"/>
  <c r="E8" i="23" s="1"/>
  <c r="J49" i="26"/>
  <c r="J60" i="26"/>
  <c r="M51" i="27"/>
  <c r="J51" i="27" s="1"/>
  <c r="M37" i="26"/>
  <c r="L10" i="23"/>
  <c r="L101" i="23"/>
  <c r="J101" i="23" s="1"/>
  <c r="I32" i="23"/>
  <c r="M58" i="26"/>
  <c r="M75" i="26"/>
  <c r="I131" i="23"/>
  <c r="I190" i="23"/>
  <c r="M30" i="27"/>
  <c r="J30" i="27" s="1"/>
  <c r="I52" i="23"/>
  <c r="K10" i="23"/>
  <c r="M51" i="26"/>
  <c r="M54" i="26"/>
  <c r="N52" i="23"/>
  <c r="N51" i="23" s="1"/>
  <c r="I79" i="23"/>
  <c r="O17" i="23"/>
  <c r="O10" i="23" s="1"/>
  <c r="O9" i="23" s="1"/>
  <c r="N148" i="23"/>
  <c r="K101" i="23"/>
  <c r="J190" i="23"/>
  <c r="L189" i="23"/>
  <c r="I170" i="23"/>
  <c r="L62" i="23"/>
  <c r="J62" i="23" s="1"/>
  <c r="H190" i="23"/>
  <c r="H89" i="23"/>
  <c r="I89" i="23" s="1"/>
  <c r="K79" i="23"/>
  <c r="M45" i="26"/>
  <c r="K131" i="23"/>
  <c r="H101" i="23"/>
  <c r="I102" i="23"/>
  <c r="I101" i="23" s="1"/>
  <c r="M37" i="27"/>
  <c r="J37" i="27" s="1"/>
  <c r="L79" i="23"/>
  <c r="I10" i="23"/>
  <c r="M42" i="26"/>
  <c r="H52" i="23"/>
  <c r="I158" i="23"/>
  <c r="H79" i="23"/>
  <c r="H78" i="23" s="1"/>
  <c r="M58" i="27"/>
  <c r="J58" i="27" s="1"/>
  <c r="H10" i="23"/>
  <c r="H170" i="23"/>
  <c r="H32" i="23"/>
  <c r="K52" i="23"/>
  <c r="H158" i="23"/>
  <c r="N79" i="23"/>
  <c r="H20" i="23"/>
  <c r="I21" i="23"/>
  <c r="I20" i="23" s="1"/>
  <c r="J55" i="26"/>
  <c r="M34" i="27"/>
  <c r="J34" i="27" s="1"/>
  <c r="I149" i="23"/>
  <c r="I148" i="23" s="1"/>
  <c r="L52" i="23"/>
  <c r="I201" i="23"/>
  <c r="I200" i="23" s="1"/>
  <c r="L32" i="23"/>
  <c r="H131" i="23"/>
  <c r="J61" i="26"/>
  <c r="J40" i="26"/>
  <c r="L147" i="23"/>
  <c r="M43" i="27"/>
  <c r="J43" i="27" s="1"/>
  <c r="I120" i="23" l="1"/>
  <c r="F26" i="17" s="1"/>
  <c r="I51" i="23"/>
  <c r="F24" i="17" s="1"/>
  <c r="K9" i="23"/>
  <c r="H51" i="23"/>
  <c r="K120" i="23"/>
  <c r="H120" i="23"/>
  <c r="H189" i="23"/>
  <c r="J70" i="26"/>
  <c r="M61" i="27"/>
  <c r="J61" i="27" s="1"/>
  <c r="M39" i="27"/>
  <c r="J39" i="27" s="1"/>
  <c r="J48" i="26"/>
  <c r="M67" i="27"/>
  <c r="J67" i="27" s="1"/>
  <c r="J76" i="26"/>
  <c r="L120" i="23"/>
  <c r="J121" i="23"/>
  <c r="M63" i="27"/>
  <c r="J63" i="27" s="1"/>
  <c r="J72" i="26"/>
  <c r="M64" i="27"/>
  <c r="J64" i="27" s="1"/>
  <c r="J73" i="26"/>
  <c r="M57" i="27"/>
  <c r="J57" i="27" s="1"/>
  <c r="K51" i="23"/>
  <c r="L218" i="23"/>
  <c r="L219" i="23" s="1"/>
  <c r="Q12" i="23"/>
  <c r="M48" i="27"/>
  <c r="J48" i="27" s="1"/>
  <c r="K147" i="23"/>
  <c r="H147" i="23"/>
  <c r="H9" i="23"/>
  <c r="Q13" i="23"/>
  <c r="I147" i="23"/>
  <c r="F27" i="17" s="1"/>
  <c r="J52" i="23"/>
  <c r="L51" i="23"/>
  <c r="J147" i="23"/>
  <c r="G27" i="17"/>
  <c r="G10" i="23"/>
  <c r="I9" i="23"/>
  <c r="N78" i="23"/>
  <c r="O78" i="23" s="1"/>
  <c r="O79" i="23"/>
  <c r="J79" i="23"/>
  <c r="L78" i="23"/>
  <c r="I78" i="23"/>
  <c r="F25" i="17" s="1"/>
  <c r="J58" i="26"/>
  <c r="M49" i="27"/>
  <c r="J49" i="27" s="1"/>
  <c r="J120" i="23"/>
  <c r="G26" i="17"/>
  <c r="J45" i="26"/>
  <c r="M36" i="27"/>
  <c r="J36" i="27" s="1"/>
  <c r="I189" i="23"/>
  <c r="F28" i="17" s="1"/>
  <c r="M69" i="26"/>
  <c r="J32" i="23"/>
  <c r="L223" i="23"/>
  <c r="J42" i="26"/>
  <c r="M33" i="27"/>
  <c r="J33" i="27" s="1"/>
  <c r="K78" i="23"/>
  <c r="N147" i="23"/>
  <c r="O147" i="23" s="1"/>
  <c r="O148" i="23"/>
  <c r="J54" i="26"/>
  <c r="M45" i="27"/>
  <c r="J45" i="27" s="1"/>
  <c r="M36" i="26"/>
  <c r="G32" i="23"/>
  <c r="Q14" i="23"/>
  <c r="J10" i="23"/>
  <c r="L221" i="23"/>
  <c r="N221" i="23" s="1"/>
  <c r="L9" i="23"/>
  <c r="J189" i="23"/>
  <c r="G28" i="17"/>
  <c r="J51" i="26"/>
  <c r="M42" i="27"/>
  <c r="J42" i="27" s="1"/>
  <c r="M66" i="27"/>
  <c r="J66" i="27" s="1"/>
  <c r="J75" i="26"/>
  <c r="J37" i="26"/>
  <c r="M28" i="27"/>
  <c r="J28" i="27" s="1"/>
  <c r="M79" i="26"/>
  <c r="H8" i="23" l="1"/>
  <c r="K8" i="23"/>
  <c r="I8" i="23"/>
  <c r="S16" i="23" s="1"/>
  <c r="O8" i="23"/>
  <c r="M60" i="27"/>
  <c r="J60" i="27" s="1"/>
  <c r="J69" i="26"/>
  <c r="G9" i="23"/>
  <c r="F23" i="17"/>
  <c r="F22" i="17" s="1"/>
  <c r="F8" i="17" s="1"/>
  <c r="F39" i="17" s="1"/>
  <c r="N223" i="23"/>
  <c r="N224" i="23" s="1"/>
  <c r="N225" i="23" s="1"/>
  <c r="L224" i="23"/>
  <c r="J51" i="23"/>
  <c r="G24" i="17"/>
  <c r="M27" i="27"/>
  <c r="J27" i="27" s="1"/>
  <c r="J36" i="26"/>
  <c r="M78" i="26"/>
  <c r="J78" i="26" s="1"/>
  <c r="J79" i="26"/>
  <c r="S78" i="26"/>
  <c r="Q15" i="23"/>
  <c r="R12" i="23" s="1"/>
  <c r="S12" i="23" s="1"/>
  <c r="J78" i="23"/>
  <c r="G25" i="17"/>
  <c r="P222" i="23"/>
  <c r="J9" i="23"/>
  <c r="L8" i="23"/>
  <c r="G23" i="17"/>
  <c r="N8" i="23"/>
  <c r="G22" i="17" l="1"/>
  <c r="G8" i="17" s="1"/>
  <c r="I8" i="17" s="1"/>
  <c r="R13" i="23"/>
  <c r="S13" i="23" s="1"/>
  <c r="R14" i="23"/>
  <c r="S14" i="23" s="1"/>
  <c r="J8" i="23"/>
  <c r="Q8" i="23"/>
  <c r="S15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Mrs Binesh</author>
  </authors>
  <commentList>
    <comment ref="J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قرارداد ارسالی به دلیل شرط مندرج در ماد</t>
        </r>
        <r>
          <rPr>
            <sz val="10"/>
            <color indexed="81"/>
            <rFont val="Tahoma"/>
            <family val="2"/>
          </rPr>
          <t>ه7</t>
        </r>
        <r>
          <rPr>
            <sz val="9"/>
            <color indexed="81"/>
            <rFont val="Tahoma"/>
            <family val="2"/>
          </rPr>
          <t xml:space="preserve"> قرارداد با فروشنده، مورد تائید نمی باشد.
این موضوع بارها به صورت شفاهی و در جلسات و نهایتا طی نامه 12108 مورخ 97/05/22 به پیمانکار اعلام شده است</t>
        </r>
      </text>
    </comment>
    <comment ref="J18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علی رغم پرئاخت پیش پرداخت توسط کارفرما در قالب ماده 81 (معادل ریالی 4 دستگاه سوزن) ولی باتوجه به اینکه هیچ سوزنی تامین و وارد کارگاه نگردید لذا این آیتم تائید نگردید</t>
        </r>
      </text>
    </comment>
    <comment ref="J22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علی رغم اینکه هیچ مدرکی ارائه نشده ولی به میزان تراورسهای تامین شده، مدارک مربوطه تائید شد</t>
        </r>
      </text>
    </comment>
    <comment ref="J23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علی رغم اینکه هیچ مدرکی ارائه نشده ولی به میزان تراورسهای تامین شده، مدارک مربوطه تائید شد</t>
        </r>
      </text>
    </comment>
    <comment ref="J24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علی رغم اینکه هیچ مدرکی ارائه نشده ولی به میزان تراورسهای تامین شده، مدارک مربوطه تائید شد</t>
        </r>
      </text>
    </comment>
    <comment ref="J25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علی رغم اینکه هیچ مدرکی ارائه نشده ولی به میزان تراورسهای تامین شده، مدارک مربوطه تائید شد</t>
        </r>
      </text>
    </comment>
    <comment ref="J26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تعداد ترورسهای تامین شده براساس گزارش تامین دلیل 
(البته حدود 1000 قطعه تراورس معیوب بوده است که در گزارش کارشناس لحاظ نشده)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Mrs Binesh</author>
  </authors>
  <commentList>
    <comment ref="J3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برای پوش اول بالاست(برای ریل گذاری و تراورس گذاری هم نقشه برداری نیاز است)</t>
        </r>
      </text>
    </comment>
    <comment ref="J4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براساس گزارش تامین دلیل</t>
        </r>
      </text>
    </comment>
    <comment ref="J63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برای پوش اول بالاست(برای ریل گذاری و تراورس گذاری هم نقشه برداری نیاز است)</t>
        </r>
      </text>
    </comment>
    <comment ref="J66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به نسبت طول خطوط</t>
        </r>
      </text>
    </comment>
    <comment ref="J122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150 مترزیرسازی  خط انبار انجام نشده</t>
        </r>
      </text>
    </comment>
    <comment ref="J135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به نسبت طول خطوط</t>
        </r>
      </text>
    </comment>
    <comment ref="J204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به نسبت طول خطوط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Mrs Binesh</author>
  </authors>
  <commentList>
    <comment ref="J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Mrs Binesh:</t>
        </r>
        <r>
          <rPr>
            <sz val="9"/>
            <color indexed="81"/>
            <rFont val="Tahoma"/>
            <family val="2"/>
          </rPr>
          <t xml:space="preserve">
زیرسازی و ابنیه فنی و بخشی از روسازی انجام شده تحویل نشده است</t>
        </r>
      </text>
    </comment>
  </commentList>
</comments>
</file>

<file path=xl/sharedStrings.xml><?xml version="1.0" encoding="utf-8"?>
<sst xmlns="http://schemas.openxmlformats.org/spreadsheetml/2006/main" count="2146" uniqueCount="895">
  <si>
    <t>ردیف</t>
  </si>
  <si>
    <t>W.B.S</t>
  </si>
  <si>
    <t>هزینه کامل (ريال)</t>
  </si>
  <si>
    <t>گروه مشارکت</t>
  </si>
  <si>
    <t>مشاور زیر بنایی</t>
  </si>
  <si>
    <t>کارفرما</t>
  </si>
  <si>
    <t>مهر و امضا مشاور زیر بنایی
مهندسین مشاور صحن بوستان</t>
  </si>
  <si>
    <t>مهر و امضإ گروه مشارکت
شرکت
مشاور
مشاور</t>
  </si>
  <si>
    <t>عنوان قرارداد:</t>
  </si>
  <si>
    <t>تاریخ قرارداد:</t>
  </si>
  <si>
    <t>شماره قرارداد:</t>
  </si>
  <si>
    <t>صورت وضعبت شماره:</t>
  </si>
  <si>
    <t>تاریخ صورت وضعیت:</t>
  </si>
  <si>
    <t>کارفرما:</t>
  </si>
  <si>
    <t>مشاور طرح:</t>
  </si>
  <si>
    <t>پیمانکار:</t>
  </si>
  <si>
    <t>راه آهن جمهوری اسلامی ایران</t>
  </si>
  <si>
    <t>مهندسین مشاور صحن بوستان</t>
  </si>
  <si>
    <t xml:space="preserve">عنوان فعالیت </t>
  </si>
  <si>
    <t>وزن کامل
 (%)</t>
  </si>
  <si>
    <t xml:space="preserve">واحد </t>
  </si>
  <si>
    <t>1.3.1</t>
  </si>
  <si>
    <t>1.3.1.1</t>
  </si>
  <si>
    <t>1.3.1.2</t>
  </si>
  <si>
    <t>1.3.1.3</t>
  </si>
  <si>
    <t>1.3.1.4</t>
  </si>
  <si>
    <t>1.3.1.5</t>
  </si>
  <si>
    <t>1.3.1.6</t>
  </si>
  <si>
    <t>1.3.1.7</t>
  </si>
  <si>
    <t>1.3.1.8</t>
  </si>
  <si>
    <t>1.3.1.9</t>
  </si>
  <si>
    <t>تشکیل دفتر و سازمان کلیدی پروژه</t>
  </si>
  <si>
    <t>درصد پیشرفت
(از 100)</t>
  </si>
  <si>
    <t>درصد پیشرفت وزنی</t>
  </si>
  <si>
    <t>مبلغ
(ریال)</t>
  </si>
  <si>
    <t>تهیه و ارسال لیست کامل مدارک پیمانکار</t>
  </si>
  <si>
    <t>مبلغ قرارداد:</t>
  </si>
  <si>
    <t>بيمه‌نامه‌ها</t>
  </si>
  <si>
    <t>1.3.2</t>
  </si>
  <si>
    <t>1.3.2.1</t>
  </si>
  <si>
    <t>1.3.2.2</t>
  </si>
  <si>
    <t>1.3.2.3</t>
  </si>
  <si>
    <t>1.3.2.4</t>
  </si>
  <si>
    <t>پيگيري تا صدور بيمه‌نامه‌هاي فوق</t>
  </si>
  <si>
    <t>1.3.3</t>
  </si>
  <si>
    <t>1.3.3.1</t>
  </si>
  <si>
    <t>1.3.3.2</t>
  </si>
  <si>
    <t>1.3.3.3</t>
  </si>
  <si>
    <t>1.3.3.4</t>
  </si>
  <si>
    <t>1.3.3.5</t>
  </si>
  <si>
    <t>1.3.3.6</t>
  </si>
  <si>
    <t>1.3.3.7</t>
  </si>
  <si>
    <t>1.3.3.8</t>
  </si>
  <si>
    <t>1.3.3.9</t>
  </si>
  <si>
    <t>1.3.3.10</t>
  </si>
  <si>
    <t>1.3.3.11</t>
  </si>
  <si>
    <t>1.3.3.12</t>
  </si>
  <si>
    <t>تجهیز اوليه کارگاه</t>
  </si>
  <si>
    <t>محوطه‌سازي كارگاه عمومي و كارگاه روسازي</t>
  </si>
  <si>
    <t>اقدامات اجرايي براي تامين و نصب ماشين‌الات و تجهيزات و راه‌اندازي آنها</t>
  </si>
  <si>
    <t>پايان تجهيز اوليه كارگاه</t>
  </si>
  <si>
    <t xml:space="preserve">محوطه‌سازي و تامين راه‌هاي دسترسي، سرويس و ارتباطي </t>
  </si>
  <si>
    <t>تامين و تجهيز ساختمان‌هاي موقت اداري و دفاتر كار عوامل پيمانكار، مشاور و كارفرما و تجهيز آنها</t>
  </si>
  <si>
    <t>تامين آب، برق، سيستم مخابراتي، اينترنت و سوخت كارگاه</t>
  </si>
  <si>
    <t>اقدامات ايجاد و تامين و تجهيز ساختمان‌هاي پشتيباني، انبار و تعميرگاه</t>
  </si>
  <si>
    <t xml:space="preserve">تامين و تجهيز آزمايشگاه </t>
  </si>
  <si>
    <t xml:space="preserve">اقدامات اوليه براي بهداشت، ايمني و حفاظت كار و محيط زيست </t>
  </si>
  <si>
    <t>بيمه تجهيز كارگاه</t>
  </si>
  <si>
    <t>تجهیز مستمر کارگاه</t>
  </si>
  <si>
    <t>تامين و سرو خوراك عوامل پيمانكار، مشاور و كارفرما</t>
  </si>
  <si>
    <t>برقراري سرويس اياب و ذهاب كارگاه</t>
  </si>
  <si>
    <t>بكاربستن مفاد نظام ايمني و حفاظت كار</t>
  </si>
  <si>
    <t>بكاربستن مفاد نظام بهداشت و حفظ محيط زيست</t>
  </si>
  <si>
    <t>تداوم فعاليت‌هاي انبارداري و مديريت و حفاظت اقلام</t>
  </si>
  <si>
    <t>تداوم حفظ و نگهداري دفاتر، محيط‌هاي اداري و پشتيباني در سطح استاندارد نور و تهويه و  ...</t>
  </si>
  <si>
    <t>1.3.4</t>
  </si>
  <si>
    <t>1.3.4.1</t>
  </si>
  <si>
    <t>1.3.4.2</t>
  </si>
  <si>
    <t>1.3.4.3</t>
  </si>
  <si>
    <t>1.3.4.4</t>
  </si>
  <si>
    <t>1.3.4.5</t>
  </si>
  <si>
    <t>1.3.4.6</t>
  </si>
  <si>
    <t>1.3.4.7</t>
  </si>
  <si>
    <t>1.3.4.8</t>
  </si>
  <si>
    <t>1.3.4.9</t>
  </si>
  <si>
    <t>1.3.4.10</t>
  </si>
  <si>
    <t>خدمات طراحي و مهندسی پيش از اجرا</t>
  </si>
  <si>
    <t>1.4.1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</si>
  <si>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</si>
  <si>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</si>
  <si>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</si>
  <si>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</si>
  <si>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</si>
  <si>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</si>
  <si>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</si>
  <si>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</si>
  <si>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1.4.1.9</t>
  </si>
  <si>
    <t>1.4.1.10</t>
  </si>
  <si>
    <t>1.4.1.11</t>
  </si>
  <si>
    <t>1.4.1.12</t>
  </si>
  <si>
    <t>1.4.1.7.1</t>
  </si>
  <si>
    <t>1.4.1.7.2</t>
  </si>
  <si>
    <t>1.4.1.7.3</t>
  </si>
  <si>
    <t>1.4.1.7.4</t>
  </si>
  <si>
    <t>1.4.1.7.5</t>
  </si>
  <si>
    <t>سوزن</t>
  </si>
  <si>
    <t>1.4.1.8.1</t>
  </si>
  <si>
    <t>1.4.1.8.2</t>
  </si>
  <si>
    <t>1.4.1.8.3</t>
  </si>
  <si>
    <t>1.4.1.8.4</t>
  </si>
  <si>
    <t>1.4.1.8.5</t>
  </si>
  <si>
    <t>1.4.1.13</t>
  </si>
  <si>
    <t>1.4.1.14</t>
  </si>
  <si>
    <t>1.4.1.15</t>
  </si>
  <si>
    <t>1.4.1.15.1</t>
  </si>
  <si>
    <t>1.4.1.15.2</t>
  </si>
  <si>
    <t>1.4.1.15.3</t>
  </si>
  <si>
    <t>1.4.1.15.4</t>
  </si>
  <si>
    <t>1.4.1.15.5</t>
  </si>
  <si>
    <t>1.4.1.16</t>
  </si>
  <si>
    <t>1.4.1.16.1</t>
  </si>
  <si>
    <t>1.4.1.16.2</t>
  </si>
  <si>
    <t>1.4.1.16.3</t>
  </si>
  <si>
    <t>1.4.1.16.4</t>
  </si>
  <si>
    <t>1.4.1.16.5</t>
  </si>
  <si>
    <t>1.4.1.17</t>
  </si>
  <si>
    <t>1.4.1.18</t>
  </si>
  <si>
    <t>1.4.1.19</t>
  </si>
  <si>
    <t>1.4.1.20</t>
  </si>
  <si>
    <t>1.4.1.21</t>
  </si>
  <si>
    <t>1.4.1.22</t>
  </si>
  <si>
    <t>1.4.1.23</t>
  </si>
  <si>
    <t>1.4.1.2.1</t>
  </si>
  <si>
    <t>1.4.1.2.2</t>
  </si>
  <si>
    <t>1.4.1.2.3</t>
  </si>
  <si>
    <t>1.4.1.2.4</t>
  </si>
  <si>
    <t>1.4.1.2.5</t>
  </si>
  <si>
    <t>1.4.1.2.6</t>
  </si>
  <si>
    <t>1.4.1.2.7</t>
  </si>
  <si>
    <t>1.4.1.2.11</t>
  </si>
  <si>
    <t>1.4.1.2.12</t>
  </si>
  <si>
    <t>1.4.1.2.13</t>
  </si>
  <si>
    <t>1.4.1.2.14</t>
  </si>
  <si>
    <t>1.4.1.2.15</t>
  </si>
  <si>
    <t>1.4.1.2.16</t>
  </si>
  <si>
    <t>1.4.1.2.17</t>
  </si>
  <si>
    <t>1.4.1.2.18</t>
  </si>
  <si>
    <t>1.4.1.2.19</t>
  </si>
  <si>
    <t>1.4.1.2.20</t>
  </si>
  <si>
    <t>1.4.1.2.21</t>
  </si>
  <si>
    <t>1.4.1.2.22</t>
  </si>
  <si>
    <t>1.4.1.2.23</t>
  </si>
  <si>
    <t>1.4.1.2.24</t>
  </si>
  <si>
    <t>1.4.1.2.25</t>
  </si>
  <si>
    <t xml:space="preserve">   كاليبراسيون ادواري تجهيزات پايش و اندازه‌ گيري</t>
  </si>
  <si>
    <t xml:space="preserve">   تهيه دستورالعمل‌ها و نقشه‌هاي فني كارگاهي</t>
  </si>
  <si>
    <t xml:space="preserve">   تهيه نقشه هاي چون ساخت</t>
  </si>
  <si>
    <t xml:space="preserve">   تهيه كتابچه‌هاي بهره‌برداري، نگهداري و تعميرات</t>
  </si>
  <si>
    <t>خدمات مهندسی حین اجرا</t>
  </si>
  <si>
    <t xml:space="preserve">   انجام تعهدات برنامه‌ريزي و مديريت محدوده، زمان و هزينه
 براساس نظام مديريت پروژه، ارائه گزارشات عملكرد پروژه، برپايي و شركت در جلسات كنترل پروژه و پيگيري مصوبات جلسه</t>
  </si>
  <si>
    <t xml:space="preserve">   استقرار عوامل نظارت كيفي كارگاه در انطباق با بند
 2-3 پيوست شماره 1 قرارداد</t>
  </si>
  <si>
    <t xml:space="preserve">   انجام آزمايشات مورد لزوم حين اجرا و ارائه نتايج و
 گزارشات تحليلي</t>
  </si>
  <si>
    <t>خدمات تامین</t>
  </si>
  <si>
    <t>خدمات اجرایی</t>
  </si>
  <si>
    <t>اختتاميه پروژه</t>
  </si>
  <si>
    <t>1.7.1</t>
  </si>
  <si>
    <t>تحويل موقت كل پروژه</t>
  </si>
  <si>
    <t>1.7.2</t>
  </si>
  <si>
    <t>برچيدن كارگاه</t>
  </si>
  <si>
    <t>1.7.3</t>
  </si>
  <si>
    <t>بيمه مهندسي سازه‌هاي تكميل شده</t>
  </si>
  <si>
    <t>پروژه طراحی، تامین و اجرای دو خطه کردن راه آهن محور ساسان –  شبنم</t>
  </si>
  <si>
    <t>آغاز</t>
  </si>
  <si>
    <t>تحویل زمین</t>
  </si>
  <si>
    <t>1.4.2</t>
  </si>
  <si>
    <t>فعالیت‌های مقدماتی، برنامه ریزی و تجهيز كارگاه</t>
  </si>
  <si>
    <t xml:space="preserve">      بيمه‌نامه‌ها</t>
  </si>
  <si>
    <t xml:space="preserve">      تجهیز اوليه کارگاه</t>
  </si>
  <si>
    <t xml:space="preserve">      تجهيز مستمر كارگاه</t>
  </si>
  <si>
    <t xml:space="preserve">   خدمات طراحي و مهندسی</t>
  </si>
  <si>
    <t xml:space="preserve">      خدمات طراحي و مهندسی پيش از اجرا</t>
  </si>
  <si>
    <t xml:space="preserve">      خدمات مهندسی حین اجرا</t>
  </si>
  <si>
    <t xml:space="preserve">   خدمات تامین</t>
  </si>
  <si>
    <t xml:space="preserve">   عملیات اجرایی</t>
  </si>
  <si>
    <t xml:space="preserve">   اختتامیه پروژه</t>
  </si>
  <si>
    <t xml:space="preserve">   پایان</t>
  </si>
  <si>
    <t xml:space="preserve">      سازماندهي و برنامه ریزی پروژه</t>
  </si>
  <si>
    <t>مبلغ(ریال)</t>
  </si>
  <si>
    <t>درصد پیشرفت از
(کل)</t>
  </si>
  <si>
    <t>درصد پیشرفت از
 (کل)</t>
  </si>
  <si>
    <t xml:space="preserve">       تحويل موقت كل پروژه</t>
  </si>
  <si>
    <t xml:space="preserve">        بيمه مهندسي سازه‌هاي تكميل شده</t>
  </si>
  <si>
    <t xml:space="preserve">       برچيدن كارگاه</t>
  </si>
  <si>
    <t>مدارك پشتيبان</t>
  </si>
  <si>
    <t>فصل فهرست بها</t>
  </si>
  <si>
    <t>مشارکت:</t>
  </si>
  <si>
    <t>400/71523/ي
مورخ 93/12/10</t>
  </si>
  <si>
    <t>اهورامهرگستران-جهادنصرحمزه طرح نوانديشان-گمانه كاو</t>
  </si>
  <si>
    <t>94/0.5/17</t>
  </si>
  <si>
    <t>طراحی،تامین و اجرای دوخطه کردن راه آهن(زیرسازی،پل سازی و روسازی)محور ساسان شبنم</t>
  </si>
  <si>
    <t>شماره و تاریخ
 ابلاغ قرارداد:</t>
  </si>
  <si>
    <t>تایید کارفرما</t>
  </si>
  <si>
    <t>مهر و امضا گروه مشارکت اهورا مهر گستران</t>
  </si>
  <si>
    <t>درصد پیشرفت از سرفصل (کل)</t>
  </si>
  <si>
    <t>درصد پیشرفت از صد (کل)</t>
  </si>
  <si>
    <t>فصل مرتبط از فهرست بها</t>
  </si>
  <si>
    <t>1.6.1</t>
  </si>
  <si>
    <t>1.6.2</t>
  </si>
  <si>
    <t>1.6.3</t>
  </si>
  <si>
    <t>1.6.4</t>
  </si>
  <si>
    <t>1.5.1</t>
  </si>
  <si>
    <t>1.5.2</t>
  </si>
  <si>
    <t>1.5.3</t>
  </si>
  <si>
    <t>1.5.4</t>
  </si>
  <si>
    <t>1.6.5</t>
  </si>
  <si>
    <t>1.5.1.1</t>
  </si>
  <si>
    <t>1.5.1.1.1</t>
  </si>
  <si>
    <t>1.5.1.1.2</t>
  </si>
  <si>
    <t>1.5.1.2</t>
  </si>
  <si>
    <t>1.5.1.2.1</t>
  </si>
  <si>
    <t>1.5.1.2.2</t>
  </si>
  <si>
    <t>1.5.3.1</t>
  </si>
  <si>
    <t>1.5.3.2</t>
  </si>
  <si>
    <t>1.5.3.3</t>
  </si>
  <si>
    <t>1.5.3.4</t>
  </si>
  <si>
    <t>1.5.3.5</t>
  </si>
  <si>
    <t>1.6.1.1</t>
  </si>
  <si>
    <t>1.6.1.1.1</t>
  </si>
  <si>
    <t>1.6.1.1.2</t>
  </si>
  <si>
    <t>1.6.1.1.3</t>
  </si>
  <si>
    <t>1.6.1.1.4</t>
  </si>
  <si>
    <t>1.6.1.1.5</t>
  </si>
  <si>
    <t>1.6.1.1.6</t>
  </si>
  <si>
    <t>1.6.1.1.7</t>
  </si>
  <si>
    <t>1.6.1.1.8</t>
  </si>
  <si>
    <t>1.6.1.1.9</t>
  </si>
  <si>
    <t>1.6.1.2</t>
  </si>
  <si>
    <t>1.6.1.2.1</t>
  </si>
  <si>
    <t>1.6.1.2.2</t>
  </si>
  <si>
    <t>1.6.1.2.3</t>
  </si>
  <si>
    <t>1.6.1.2.4</t>
  </si>
  <si>
    <t>1.6.1.2.5</t>
  </si>
  <si>
    <t>1.6.1.2.6</t>
  </si>
  <si>
    <t>1.6.1.2.7</t>
  </si>
  <si>
    <t>1.6.1.2.8</t>
  </si>
  <si>
    <t>1.6.1.3</t>
  </si>
  <si>
    <t>1.6.1.3.1</t>
  </si>
  <si>
    <t>1.6.1.3.2</t>
  </si>
  <si>
    <t>1.6.1.3.3</t>
  </si>
  <si>
    <t>1.6.1.3.4</t>
  </si>
  <si>
    <t>1.6.1.3.5</t>
  </si>
  <si>
    <t>1.6.1.3.6</t>
  </si>
  <si>
    <t>1.6.1.3.7</t>
  </si>
  <si>
    <t>1.6.1.3.8</t>
  </si>
  <si>
    <t>1.6.1.3.9</t>
  </si>
  <si>
    <t>1.6.1.3.10</t>
  </si>
  <si>
    <t>1.6.1.3.11</t>
  </si>
  <si>
    <t>1.6.1.3.12</t>
  </si>
  <si>
    <t>1.6.1.3.13</t>
  </si>
  <si>
    <t>1.6.1.3.14</t>
  </si>
  <si>
    <t>1.6.1.3.15</t>
  </si>
  <si>
    <t>1.6.1.3.16</t>
  </si>
  <si>
    <t>1.6.1.3.17</t>
  </si>
  <si>
    <t>1.6.1.3.18</t>
  </si>
  <si>
    <t>1.6.2.1</t>
  </si>
  <si>
    <t>1.6.2.1.1</t>
  </si>
  <si>
    <t>1.6.2.1.2</t>
  </si>
  <si>
    <t>1.6.2.1.3</t>
  </si>
  <si>
    <t>1.6.2.1.4</t>
  </si>
  <si>
    <t>1.6.2.1.5</t>
  </si>
  <si>
    <t>1.6.2.1.6</t>
  </si>
  <si>
    <t>1.6.2.1.7</t>
  </si>
  <si>
    <t>1.6.2.1.8</t>
  </si>
  <si>
    <t>1.6.2.1.9</t>
  </si>
  <si>
    <t>1.6.2.3</t>
  </si>
  <si>
    <t>1.6.2.3.1</t>
  </si>
  <si>
    <t>1.6.2.3.2</t>
  </si>
  <si>
    <t>1.6.2.3.3</t>
  </si>
  <si>
    <t>1.6.2.3.4</t>
  </si>
  <si>
    <t>1.6.2.3.5</t>
  </si>
  <si>
    <t>1.6.2.3.6</t>
  </si>
  <si>
    <t>1.6.2.3.7</t>
  </si>
  <si>
    <t>1.6.2.3.8</t>
  </si>
  <si>
    <t>1.6.2.3.9</t>
  </si>
  <si>
    <t>1.6.2.3.10</t>
  </si>
  <si>
    <t>1.6.2.3.11</t>
  </si>
  <si>
    <t>1.6.2.3.12</t>
  </si>
  <si>
    <t>1.6.2.3.13</t>
  </si>
  <si>
    <t>1.6.2.3.14</t>
  </si>
  <si>
    <t>1.6.2.3.15</t>
  </si>
  <si>
    <t>1.6.2.3.16</t>
  </si>
  <si>
    <t>1.6.2.3.17</t>
  </si>
  <si>
    <t>1.6.2.3.18</t>
  </si>
  <si>
    <t>1.6.3.1</t>
  </si>
  <si>
    <t>1.6.3.1.1</t>
  </si>
  <si>
    <t>1.6.3.1.2</t>
  </si>
  <si>
    <t>1.6.3.1.3</t>
  </si>
  <si>
    <t>1.6.3.1.4</t>
  </si>
  <si>
    <t>1.6.3.1.5</t>
  </si>
  <si>
    <t>1.6.3.1.6</t>
  </si>
  <si>
    <t>1.6.3.1.7</t>
  </si>
  <si>
    <t>1.6.3.1.8</t>
  </si>
  <si>
    <t>1.6.3.1.9</t>
  </si>
  <si>
    <t>1.6.3.2</t>
  </si>
  <si>
    <t>16.3.2.1</t>
  </si>
  <si>
    <t>1.6.3.2.2</t>
  </si>
  <si>
    <t>1.6.3.2.3</t>
  </si>
  <si>
    <t>1.6.3.2.4</t>
  </si>
  <si>
    <t>1.6.3.2.5</t>
  </si>
  <si>
    <t>1.6.3.2.6</t>
  </si>
  <si>
    <t>1.6.3.2.7</t>
  </si>
  <si>
    <t>1.6.3.3</t>
  </si>
  <si>
    <t>1.6.3.3.1</t>
  </si>
  <si>
    <t>1.6.3.3.2</t>
  </si>
  <si>
    <t>1.6.3.3.3</t>
  </si>
  <si>
    <t>1.6.3.3.4</t>
  </si>
  <si>
    <t>1.6.3.3.5</t>
  </si>
  <si>
    <t>1.6.3.3.6</t>
  </si>
  <si>
    <t>1.6.3.3.7</t>
  </si>
  <si>
    <t>1.6.3.3.8</t>
  </si>
  <si>
    <t>1.6.3.3.9</t>
  </si>
  <si>
    <t>1.6.3.3.10</t>
  </si>
  <si>
    <t>1.6.3.3.11</t>
  </si>
  <si>
    <t>1.6.3.3.12</t>
  </si>
  <si>
    <t>1.6.3.3.13</t>
  </si>
  <si>
    <t>1.6.3.3.14</t>
  </si>
  <si>
    <t>1.6.3.3.15</t>
  </si>
  <si>
    <t>1.6.3.3.16</t>
  </si>
  <si>
    <t>1.6.3.3.17</t>
  </si>
  <si>
    <t>1.6.3.3.18</t>
  </si>
  <si>
    <t>1.6.4.1</t>
  </si>
  <si>
    <t>1.6.4.1.1</t>
  </si>
  <si>
    <t>1.6.4.1.2</t>
  </si>
  <si>
    <t>1.6.4.1.3</t>
  </si>
  <si>
    <t>1.6.4.1.4</t>
  </si>
  <si>
    <t>1.6.4.1.5</t>
  </si>
  <si>
    <t>1.6.4.1.6</t>
  </si>
  <si>
    <t>1.6.4.1.7</t>
  </si>
  <si>
    <t>1.6.4.1.8</t>
  </si>
  <si>
    <t>1.6.4.1.9</t>
  </si>
  <si>
    <t>1.6.4.3</t>
  </si>
  <si>
    <t>1.6.4.3.1</t>
  </si>
  <si>
    <t>1.6.4.3.2</t>
  </si>
  <si>
    <t>1.6.4.3.3</t>
  </si>
  <si>
    <t>1.6.4.3.4</t>
  </si>
  <si>
    <t>1.6.4.3.5</t>
  </si>
  <si>
    <t>1.6.4.3.6</t>
  </si>
  <si>
    <t>1.6.4.3.7</t>
  </si>
  <si>
    <t>1.6.4.3.8</t>
  </si>
  <si>
    <t>1.6.4.3.9</t>
  </si>
  <si>
    <t>1.6.4.3.10</t>
  </si>
  <si>
    <t>1.6.4.3.11</t>
  </si>
  <si>
    <t>1.6.4.3.12</t>
  </si>
  <si>
    <t>1.6.4.3.13</t>
  </si>
  <si>
    <t>1.6.4.3.14</t>
  </si>
  <si>
    <t>1.6.4.3.15</t>
  </si>
  <si>
    <t>1.6.4.3.16</t>
  </si>
  <si>
    <t>1.6.4.3.17</t>
  </si>
  <si>
    <t>1.6.4.3.18</t>
  </si>
  <si>
    <t>1.6.5.1</t>
  </si>
  <si>
    <t>1.6.5.1.1</t>
  </si>
  <si>
    <t>1.6.5.1.2</t>
  </si>
  <si>
    <t>1.6.5.1.3</t>
  </si>
  <si>
    <t>1.6.5.1.4</t>
  </si>
  <si>
    <t>1.6.5.1.5</t>
  </si>
  <si>
    <t>1.6.5.1.6</t>
  </si>
  <si>
    <t>1.6.5.1.7</t>
  </si>
  <si>
    <t>1.6.5.1.8</t>
  </si>
  <si>
    <t>1.6.5.1.9</t>
  </si>
  <si>
    <t>1.6.5.2</t>
  </si>
  <si>
    <t>1.6.5.2.1</t>
  </si>
  <si>
    <t>1.6.5.2.2</t>
  </si>
  <si>
    <t>1.6.5.2.3</t>
  </si>
  <si>
    <t>1.6.5.2.4</t>
  </si>
  <si>
    <t>1.6.5.2.5</t>
  </si>
  <si>
    <t>1.6.5.2.6</t>
  </si>
  <si>
    <t>1.6.5.2.7</t>
  </si>
  <si>
    <t>1.6.5.2.8</t>
  </si>
  <si>
    <t>1.6.5.3</t>
  </si>
  <si>
    <t>1.6.5.3.1</t>
  </si>
  <si>
    <t>1.6.5.3.2</t>
  </si>
  <si>
    <t>1.6.5.3.3</t>
  </si>
  <si>
    <t>1.6.5.3.4</t>
  </si>
  <si>
    <t>1.6.5.3.5</t>
  </si>
  <si>
    <t>1.6.5.3.6</t>
  </si>
  <si>
    <t>1.6.5.3.7</t>
  </si>
  <si>
    <t>1.6.5.3.8</t>
  </si>
  <si>
    <t>1.6.5.3.9</t>
  </si>
  <si>
    <t>1.6.5.3.10</t>
  </si>
  <si>
    <t>1.6.5.3.11</t>
  </si>
  <si>
    <t>1.6.5.3.12</t>
  </si>
  <si>
    <t>1.6.5.3.13</t>
  </si>
  <si>
    <t>1.6.5.3.14</t>
  </si>
  <si>
    <t>1.6.5.3.15</t>
  </si>
  <si>
    <t>1.6.5.3.16</t>
  </si>
  <si>
    <t>1.6.5.3.17</t>
  </si>
  <si>
    <t>1.6.5.3.18</t>
  </si>
  <si>
    <t>1.6.6</t>
  </si>
  <si>
    <t>1.6.6.1</t>
  </si>
  <si>
    <t>1.6.6.1.1</t>
  </si>
  <si>
    <t>1.6.6.1.2</t>
  </si>
  <si>
    <t>1.6.6.1.3</t>
  </si>
  <si>
    <t>1.6.6.1.4</t>
  </si>
  <si>
    <t>1.6.6.1.5</t>
  </si>
  <si>
    <t>1.6.6.1.6</t>
  </si>
  <si>
    <t>1.6.6.1.7</t>
  </si>
  <si>
    <t>1.6.6.1.8</t>
  </si>
  <si>
    <t>1.6.6.1.9</t>
  </si>
  <si>
    <t>1.6.6.3</t>
  </si>
  <si>
    <t>1.6.6.3.1</t>
  </si>
  <si>
    <t>1.6.6.3.2</t>
  </si>
  <si>
    <t>1.6.6.3.3</t>
  </si>
  <si>
    <t>1.6.6.3.4</t>
  </si>
  <si>
    <t>1.6.6.3.5</t>
  </si>
  <si>
    <t>1.6.6.3.6</t>
  </si>
  <si>
    <t>1.6.6.3.7</t>
  </si>
  <si>
    <t>1.6.6.3.8</t>
  </si>
  <si>
    <t>1.6.6.3.9</t>
  </si>
  <si>
    <t>1.6.6.3.10</t>
  </si>
  <si>
    <t>1.6.6.3.11</t>
  </si>
  <si>
    <t>1.6.6.3.12</t>
  </si>
  <si>
    <t>1.6.6.3.13</t>
  </si>
  <si>
    <t>1.6.6.3.14</t>
  </si>
  <si>
    <t>1.6.6.3.15</t>
  </si>
  <si>
    <t>1.6.6.3.16</t>
  </si>
  <si>
    <t>1.6.6.3.17</t>
  </si>
  <si>
    <t>1.6.6.3.18</t>
  </si>
  <si>
    <t>پلهای با دهانه 1 متر</t>
  </si>
  <si>
    <t>پلهای با دهانه 2 متر</t>
  </si>
  <si>
    <t>پلهای با دهانه 3 متر</t>
  </si>
  <si>
    <t>پلهای با دهانه بیش از 3 متر</t>
  </si>
  <si>
    <t>نقشه‌های اجرایی پل‌های مسیر</t>
  </si>
  <si>
    <t>مطالعات طراحي رعايت سرعت طرح در طول محور و برآورد مقايسه‌اي مسير حركت در حريم</t>
  </si>
  <si>
    <t>تداوم فعاليت‌هاي نت از طريق سنجش ميزان آماده بكار بودن ماشين‌آلات و تجهيزات</t>
  </si>
  <si>
    <t>تداوم بهره‌مندي كارگاه از آب، برق، گاز، سوخت، تلفن و اينترنت</t>
  </si>
  <si>
    <t>راه‏آهن جمهوری اسلامی ایران</t>
  </si>
  <si>
    <t>پروژه طراحی، تامین و اجرای دو خطه کردن راه‏آهن محور مشک–سیستان</t>
  </si>
  <si>
    <t>صورت‏وضعیت شماره:</t>
  </si>
  <si>
    <t>تاریخ صورت‏وضعیت:</t>
  </si>
  <si>
    <t>طراحی، تأمین و اجرای دو خطه کردن راه‏آهن (زیرسازی، پل‏سازی، روسازی) محور مشك-سيستان</t>
  </si>
  <si>
    <t>مبلغ قرارداد (ریال):</t>
  </si>
  <si>
    <t>شماره و تاریخ ابلاغ قرارداد:</t>
  </si>
  <si>
    <t xml:space="preserve"> 400/66891/ی
مورخ 93/11/20</t>
  </si>
  <si>
    <t>مشاركت تكنيك-پل‏رود-کنکاوان معدن شیراز</t>
  </si>
  <si>
    <t>تجهيز مستمر كارگاه</t>
  </si>
  <si>
    <t>خدمات طراحي و مهندسی</t>
  </si>
  <si>
    <t>ريل</t>
  </si>
  <si>
    <t>تراورس</t>
  </si>
  <si>
    <t>ملحقات</t>
  </si>
  <si>
    <t>عملیات اجرایی</t>
  </si>
  <si>
    <t>بلوک مشک-هرند</t>
  </si>
  <si>
    <t>ایستگاه مشک</t>
  </si>
  <si>
    <t>ایستگاه هرند</t>
  </si>
  <si>
    <t>ایستگاه خیرآباد</t>
  </si>
  <si>
    <t>اختتامیه پروژه</t>
  </si>
  <si>
    <t>فعالیت‌های مقدماتی، برنامه‏ریزی و تجهيز كارگاه</t>
  </si>
  <si>
    <t>سازماندهي و برنامه‏ریزی پروژه</t>
  </si>
  <si>
    <t>بلوک هرند-خیرآباد</t>
  </si>
  <si>
    <t>بلوک خیرآباد-سیستان</t>
  </si>
  <si>
    <t>انتصاب و معرفی نماینده مشارکت (مدیر پروژه)</t>
  </si>
  <si>
    <t>تهیه و اعلام چارت سازمانی، شرح وظایف و حدود اختیارات و مسئولیت‏ها و شرایط احراز تیم پروژه</t>
  </si>
  <si>
    <t>تشکیل و تعریف نظام مدیریت پروژه، تهیه و ارسال ویرایش اول برنامه زمان‏بندی و ساختار شکست هزینه و سایر مدارک مرتبط برنامه‏ریزی</t>
  </si>
  <si>
    <t>پایان سازمان‏دهی و برنامه‏ریزی مقدماتی پروژه</t>
  </si>
  <si>
    <t>برنامه‏ریزی و تعیین مشخصات و فهرست کامل اقدامات تجهیز کارگاه به همراه نقشه جانمایی</t>
  </si>
  <si>
    <t>مشاور زیربنایی</t>
  </si>
  <si>
    <t>ارائه بيمه تمام خطر پيمانكاري و اخذ تاييد مشاور</t>
  </si>
  <si>
    <t>ارائه بيمه مسئوليت و اخذ تاييد مشاور</t>
  </si>
  <si>
    <t>تاييد بيمه‌هاي تمام خطر و مسئوليت توسط كارفرما</t>
  </si>
  <si>
    <t>تامين و تجهيز كامل محل سكونت عوامل پيمانكار، مشاور و كارفرما</t>
  </si>
  <si>
    <t>تداوم تامين و نگهداري اقامت‌گاه عوامل پيمانكار، مشاور و كارفرما</t>
  </si>
  <si>
    <t>عنوان فعالیت</t>
  </si>
  <si>
    <t>آغاز مطالعات مهندسي و طراحي</t>
  </si>
  <si>
    <t>مطالعات اولیه شناخت و تحلیل وضع موجود</t>
  </si>
  <si>
    <t>مطالعات اولیه ژئوتکنیک و برداشت وضع موجود</t>
  </si>
  <si>
    <t>گزارش مطالعات تکمیلی ژئوتکنیک (صحرایی و آزمایشگاهی)</t>
  </si>
  <si>
    <t>گزارش طراحی روسازی</t>
  </si>
  <si>
    <t>بالاست</t>
  </si>
  <si>
    <t>پابند</t>
  </si>
  <si>
    <t>ریل</t>
  </si>
  <si>
    <t>گزارش روش اجرای روسازی (خطوط و سوز‌ن‌ها)</t>
  </si>
  <si>
    <t>گزارش طرح هندسی مسیر</t>
  </si>
  <si>
    <t>گزارش محاسباتی پل‌های مسیر</t>
  </si>
  <si>
    <t>گزارش زیرسازی مسیر</t>
  </si>
  <si>
    <t>گزارش زمین شناسی مسیر</t>
  </si>
  <si>
    <t>گزارش هیدرولوژی مسیر</t>
  </si>
  <si>
    <t>پايان خدمات طراحي و مهندسي پيش از اجرا</t>
  </si>
  <si>
    <t>نقشه‌هاي توپوگرافی براساس برداشت مستقیم زمینی (1:2000 و1:500)</t>
  </si>
  <si>
    <t>نقشه‏های اجرایی روسازی</t>
  </si>
  <si>
    <t>نقشه‏های پلان طرح هندسی مسیر</t>
  </si>
  <si>
    <t>نقشه‏های پروفیل طولی</t>
  </si>
  <si>
    <t>نقشه‏های مقاطع عرضی</t>
  </si>
  <si>
    <t>ارائه احجام عملیات خاکی براساس میخکوبی</t>
  </si>
  <si>
    <t>قطعات پیش‏ساخته دیوار برگشتی</t>
  </si>
  <si>
    <t>نقشه‏های قطعات پیش ساخته دیوار برگشتی</t>
  </si>
  <si>
    <t>نقشه‏های تیپ مقاطع عرضی</t>
  </si>
  <si>
    <t>نقشه‏های تیپ زیرسازی</t>
  </si>
  <si>
    <t>پلان هیدرولوژی حوضه‏های آبریز مسیر</t>
  </si>
  <si>
    <t>وزن کامل (%)</t>
  </si>
  <si>
    <t>شماره و تاریخ
ابلاغ قرارداد:</t>
  </si>
  <si>
    <t>استقرار عوامل نظارت كيفي كارگاه در انطباق با بند 2-3 پيوست شماره 1 قرارداد</t>
  </si>
  <si>
    <t>انجام آزمايشات مورد لزوم حين اجرا و ارائه نتايج و گزارشات تحليلي</t>
  </si>
  <si>
    <t>كاليبراسيون ادواري تجهيزات پايش و اندازه‌ گيري</t>
  </si>
  <si>
    <t>تهيه دستورالعمل‌ها و نقشه‌هاي فني كارگاهي</t>
  </si>
  <si>
    <t>انجام تعهدات برنامه‌ريزي و مديريت محدوده، زمان و هزينه براساس نظام مديريت پروژه، ارائه گزارشات عملكرد پروژه، برپايي و شركت در جلسات كنترل پروژه و پيگيري مصوبات جلسه</t>
  </si>
  <si>
    <t>تهيه كتابچه‌هاي بهره‌برداري، نگهداري و تعميرات</t>
  </si>
  <si>
    <t>تهيه نقشه‏هاي چون ساخت</t>
  </si>
  <si>
    <t>ريل (هر 170 تن 0.494%)</t>
  </si>
  <si>
    <t xml:space="preserve">تشریفات تامین ریل </t>
  </si>
  <si>
    <t>عقد قرارداد یا گشایش LC یا هر دو</t>
  </si>
  <si>
    <t>پرداخت پیش پرداخت</t>
  </si>
  <si>
    <t>حمل و تخلیه ریل در محل کارگاه</t>
  </si>
  <si>
    <t>ارائه اسناد حمل خارجی</t>
  </si>
  <si>
    <t>ارائه اسناد حمل یا بارنامه حمل داخلی بنام کارفرما</t>
  </si>
  <si>
    <t>تخلیه و دپوی ریل در کارگاه</t>
  </si>
  <si>
    <t>سوزن  (هر سوزن 0.222%)</t>
  </si>
  <si>
    <t xml:space="preserve">تراورس </t>
  </si>
  <si>
    <t>مشخص کردن نوع تراورس مصرفی با قابلیت بار محوری 30 تن</t>
  </si>
  <si>
    <t>اخذ تاییدیه از مشاور</t>
  </si>
  <si>
    <t>عقد قرارداد با سازنده</t>
  </si>
  <si>
    <t>تهیه و حمل تراورس از کیلومتر 1 تا 49 هر 3 کیلومتر 0.5 درصد</t>
  </si>
  <si>
    <t>تهیه و حمل ادوات و ملحقات (هر 5 کیلومتر 0.472%)</t>
  </si>
  <si>
    <t>1.4.2.1</t>
  </si>
  <si>
    <t>1.4.2.2</t>
  </si>
  <si>
    <t>1.4.2.3</t>
  </si>
  <si>
    <t>1.4.2.4</t>
  </si>
  <si>
    <t>1.4.2.5</t>
  </si>
  <si>
    <t>1.4.2.6</t>
  </si>
  <si>
    <t>1.4.2.7</t>
  </si>
  <si>
    <t>پرداخت پیش‏پرداخت</t>
  </si>
  <si>
    <t>زیر سازی</t>
  </si>
  <si>
    <t>برداشت خاک نباتی</t>
  </si>
  <si>
    <t>آب پاشی و کوبیدن بستر</t>
  </si>
  <si>
    <t>تهیه و اجرای خاکریز با90% کوبیدگی</t>
  </si>
  <si>
    <t>تهیه مصالح سابگرید با 95% کوبیدگی</t>
  </si>
  <si>
    <t>اجرای سابگرید با 95% کوبیدگی</t>
  </si>
  <si>
    <t>تهیه سابگرید با 100% کوبیدگی</t>
  </si>
  <si>
    <t>اجرای سابگرید با 100% کوبیدگی</t>
  </si>
  <si>
    <t>تهیه زیر بالاست</t>
  </si>
  <si>
    <t>اجرای زیر بالاست</t>
  </si>
  <si>
    <t>حمل آب</t>
  </si>
  <si>
    <t>قالب بندی</t>
  </si>
  <si>
    <t xml:space="preserve"> تهیه و اجرای خاکریز با90% کوبیدگی</t>
  </si>
  <si>
    <t>عمليات ابنيه فني</t>
  </si>
  <si>
    <t>عمليات روسازي و نصب ریل</t>
  </si>
  <si>
    <t>نصب سوزن</t>
  </si>
  <si>
    <t>نقشه برداری خط (میخ کوبی)</t>
  </si>
  <si>
    <t>تهیه بالاست لایه اول</t>
  </si>
  <si>
    <t>تهیه بالاست لایه دوم</t>
  </si>
  <si>
    <t>حمل بالاست مرحله دوم به دپو</t>
  </si>
  <si>
    <t>تهیه بالاست لایه سوم</t>
  </si>
  <si>
    <t>حمل بالاست مرحله سوم به دپو</t>
  </si>
  <si>
    <t>حمل و پخش بالاست مرحله اول</t>
  </si>
  <si>
    <t>حمل ریل</t>
  </si>
  <si>
    <t>حمل تراورس</t>
  </si>
  <si>
    <t xml:space="preserve">نصب تراورس </t>
  </si>
  <si>
    <t>نصب ریل</t>
  </si>
  <si>
    <t>جوشکاری ریل</t>
  </si>
  <si>
    <t>بالاست ریزی مرحله دوم</t>
  </si>
  <si>
    <t>رگلاژ و رلواژ مرحله اول</t>
  </si>
  <si>
    <t>بالاست ریزی مرحله سوم</t>
  </si>
  <si>
    <t>رلواژ مرحله دوم</t>
  </si>
  <si>
    <t>رلواژ نهایی و تثبیت</t>
  </si>
  <si>
    <t>ترمیم قرنیز آبروها و پلهای موجود</t>
  </si>
  <si>
    <t>عملیات تکمیلی و نصب علائم</t>
  </si>
  <si>
    <t>پی کنی</t>
  </si>
  <si>
    <t xml:space="preserve">عمليات روسازي </t>
  </si>
  <si>
    <t>بلوک هرند - خیرآباد</t>
  </si>
  <si>
    <t xml:space="preserve"> بلوک خیرآباد - سیستان</t>
  </si>
  <si>
    <t>کارهای اضافی</t>
  </si>
  <si>
    <t>زیرسازی</t>
  </si>
  <si>
    <r>
      <t xml:space="preserve">طرح رفع گلوگاه‌های ظرفیتی در امور زیربنایی راه‏آهن ج.ا.ا
</t>
    </r>
    <r>
      <rPr>
        <b/>
        <sz val="13"/>
        <color theme="1"/>
        <rFont val="B Nazanin"/>
        <charset val="178"/>
      </rPr>
      <t>پروژه طراحی، تامین و اجرای دو خطه کردن راه‏آهن محور مشك-سيستان</t>
    </r>
    <r>
      <rPr>
        <b/>
        <sz val="14"/>
        <color theme="1"/>
        <rFont val="B Nazanin"/>
        <charset val="178"/>
      </rPr>
      <t xml:space="preserve">
کاربرگ تعریف فعالیت‏ها و ساختار شکست هزینه‏ها </t>
    </r>
  </si>
  <si>
    <t>راه‌آهن ج.ا.ا</t>
  </si>
  <si>
    <t>ویرایش سوم</t>
  </si>
  <si>
    <t>تاريخ: خرداد ماه 1395</t>
  </si>
  <si>
    <t>ارزش ريالي قراردادي CBS پيشنهادي پيمانكار</t>
  </si>
  <si>
    <t>رقم قرارداد</t>
  </si>
  <si>
    <r>
      <t>پروژه دو خطه کردن راه‏آهن محور مشك-سيستان</t>
    </r>
    <r>
      <rPr>
        <b/>
        <sz val="14"/>
        <color theme="1"/>
        <rFont val="Arial"/>
        <family val="2"/>
        <scheme val="minor"/>
      </rPr>
      <t xml:space="preserve"> (EPC)</t>
    </r>
  </si>
  <si>
    <t>تحويل زمين</t>
  </si>
  <si>
    <t>انتصاب و معرفي نماينده مشاركت (مدير پروژه)</t>
  </si>
  <si>
    <t>تشكيل دفتر و سازمان كليدي پروژه</t>
  </si>
  <si>
    <t>تهيه و اعلام چارت سازماني، شرح وظايف و حدود اختيارات و مسئوليت‌ها و شرايط احراز تيم پروژه</t>
  </si>
  <si>
    <t>تشكيل و تعريف نظام مديريت پروژه، تهيه و ارسال ويرايش اول برنامه زمان‌بندي و ساختار شكست هزينه و ساير مدارك مرتبط برنامه‌ريزي</t>
  </si>
  <si>
    <t>برنامه‌ريزي و تعين مشخصات و فهرست كامل اقدامات تجهيز كارگاه به همراه نقشه جانمايي</t>
  </si>
  <si>
    <r>
      <t xml:space="preserve">تهيه و ارسال گردش فعاليت‌ها و روابط بين مشاركت، مشاور و كارفرما </t>
    </r>
    <r>
      <rPr>
        <sz val="12"/>
        <color rgb="FF000000"/>
        <rFont val="Arial"/>
        <family val="2"/>
        <scheme val="minor"/>
      </rPr>
      <t>(Coordination Procedure)</t>
    </r>
  </si>
  <si>
    <r>
      <t xml:space="preserve">تهيه و ارسال روش‌هاي اجرايي و دستورالعمل‌هاي كاري شامل: </t>
    </r>
    <r>
      <rPr>
        <sz val="12"/>
        <rFont val="Arial"/>
        <family val="2"/>
        <scheme val="minor"/>
      </rPr>
      <t xml:space="preserve">QA ،QC،HSE و 5S و .... </t>
    </r>
  </si>
  <si>
    <t>تهيه و ارسال ليست كامل مدارك پيمانكار</t>
  </si>
  <si>
    <t>پايان سازمان‌دهي و برنامه‌ريزي مقدماتي پروژه</t>
  </si>
  <si>
    <t>1.3.2.5</t>
  </si>
  <si>
    <t>آغاز عمليات تجهيز كارگاه</t>
  </si>
  <si>
    <t>تداوم تامين و نگهداري اقامتگاه عوامل پيمانكار، مشاور و كارفرما</t>
  </si>
  <si>
    <r>
      <t>رعايت نظم و انضباط در محوطه و محيط‌هاي اداري، كارگاهي و كارگري</t>
    </r>
    <r>
      <rPr>
        <sz val="11"/>
        <rFont val="B Nazanin"/>
        <charset val="178"/>
      </rPr>
      <t xml:space="preserve"> در انطباق با 5S</t>
    </r>
  </si>
  <si>
    <t>تداوم حفظ و نگهداري دفاتر، محيط‌هاي اداري و پشتيباني در سطح استاندارد نور و تهويه و...</t>
  </si>
  <si>
    <t xml:space="preserve">خدمات طراحي و مهندسی </t>
  </si>
  <si>
    <t>قطعات پیش ساخته دیوار برگشتی</t>
  </si>
  <si>
    <t>كاليبراسيون ادواري تجهيزات پايش و اندازه‌‏گيري</t>
  </si>
  <si>
    <t>سوزن (هر سوزن 0.222%)</t>
  </si>
  <si>
    <t>1.5.2.1</t>
  </si>
  <si>
    <t>تشریفات تامین سوزن، حمل و تخلیه در محل دپو</t>
  </si>
  <si>
    <t>برپایی کارگاه تولید تراورس</t>
  </si>
  <si>
    <t>تامین مصالح</t>
  </si>
  <si>
    <t>تولید تراورس</t>
  </si>
  <si>
    <t>حمل و تخلیه تراورس در محل کارگاه</t>
  </si>
  <si>
    <t>تشریفات تامین ادوات و ملحقات (هر 5 کیلومتر 0.472%)</t>
  </si>
  <si>
    <t>تهیه مصالح سابگرید با 100% کوبیدگی</t>
  </si>
  <si>
    <t>روسازی</t>
  </si>
  <si>
    <t>تهیه بالاست</t>
  </si>
  <si>
    <t>حمل بالاست</t>
  </si>
  <si>
    <t>بالاست ریزی مرحله اول</t>
  </si>
  <si>
    <t>حمل سوزن از محل دپو تا محل نصب</t>
  </si>
  <si>
    <t xml:space="preserve"> مونتاژ و نصب سوزن</t>
  </si>
  <si>
    <t>حمل کوپلاژ یا حمل ریلی ریل، تراورس و سایر ادوات</t>
  </si>
  <si>
    <t>نصب کوپلاژ</t>
  </si>
  <si>
    <t>1.6.1.2.9</t>
  </si>
  <si>
    <t>1.6.1.2.10</t>
  </si>
  <si>
    <t>1.6.1.2.11</t>
  </si>
  <si>
    <t>1.6.1.2.12</t>
  </si>
  <si>
    <t>رلواژ دوم</t>
  </si>
  <si>
    <t>1.6.1.2.13</t>
  </si>
  <si>
    <t>خط آرایی</t>
  </si>
  <si>
    <t>1.6.1.2.14</t>
  </si>
  <si>
    <t>رلواژ نهایی</t>
  </si>
  <si>
    <t>1.6.1.2.15</t>
  </si>
  <si>
    <t>نصب علائم خط</t>
  </si>
  <si>
    <t>بلاک مشک - هرند</t>
  </si>
  <si>
    <t>تهیه و اجرای لایه خاکریز با تراکم 90</t>
  </si>
  <si>
    <t>تهیه و حمل مصالح لایه‏های خاکریز با تراکم 95 (2 بخش 7 کیلومتری)</t>
  </si>
  <si>
    <t>اجرای لایه‏های خاکریز با تراکم 95 (2 بخش 7 کیلومتری)</t>
  </si>
  <si>
    <t>تهیه مصالح لایه‏های خاکریز با تراکم 100 (2 بخش 7 کیلومتری)</t>
  </si>
  <si>
    <t>اجرای لایه‏های خاکریز با تراکم 100</t>
  </si>
  <si>
    <t>تهیه زیربالاست (2 بخش 7 کیلومتری)</t>
  </si>
  <si>
    <t>1.6.2.1.10</t>
  </si>
  <si>
    <t>اجرای زیربالاست (2 بخش 7 کیلومتری)</t>
  </si>
  <si>
    <t>1.6.2.2</t>
  </si>
  <si>
    <t>ابنيه فني</t>
  </si>
  <si>
    <t>1.6.2.2.1</t>
  </si>
  <si>
    <t>1.6.2.2.2</t>
  </si>
  <si>
    <t>قالب بندی (در دو بخش 33 آبرویی)</t>
  </si>
  <si>
    <t>1.6.2.2.3</t>
  </si>
  <si>
    <t>تهیه و نصب آرماتور (در دو بخش 22 آبرویی)</t>
  </si>
  <si>
    <t>1.6.2.2.4</t>
  </si>
  <si>
    <t>اجرای بتن (در دو بخش 33 آبرویی)</t>
  </si>
  <si>
    <t>1.6.2.2.5</t>
  </si>
  <si>
    <t>عایق کاری</t>
  </si>
  <si>
    <t>1.6.2.2.6</t>
  </si>
  <si>
    <t>عملیات تکمیلی (پرکردن پشت کوله‏ها و دستک‏ها)</t>
  </si>
  <si>
    <t>1.6.2.2.7</t>
  </si>
  <si>
    <t>ساخت و نصب نرده حفاظ پل‏ها</t>
  </si>
  <si>
    <t>1.6.2.2.8</t>
  </si>
  <si>
    <t>بسترسازی</t>
  </si>
  <si>
    <t>1.6.2.2.9</t>
  </si>
  <si>
    <t>حمل سیمان و آرماتور</t>
  </si>
  <si>
    <t>1.6.2.2.10</t>
  </si>
  <si>
    <t>جوشکاری ریل (در دو بخش 7 کیلومتری)</t>
  </si>
  <si>
    <t>1.6.3.1.10</t>
  </si>
  <si>
    <t>1.6.3.2.1</t>
  </si>
  <si>
    <t>مونتاژ و نصب سوزن</t>
  </si>
  <si>
    <t>1.6.3.2.8</t>
  </si>
  <si>
    <t>1.6.3.2.9</t>
  </si>
  <si>
    <t>1.6.3.2.10</t>
  </si>
  <si>
    <t>1.6.3.2.11</t>
  </si>
  <si>
    <t>1.6.3.2.12</t>
  </si>
  <si>
    <t>1.6.3.2.13</t>
  </si>
  <si>
    <t>1.6.3.2.14</t>
  </si>
  <si>
    <t>1.6.3.2.15</t>
  </si>
  <si>
    <t>بلاک هرند - خیرآباد</t>
  </si>
  <si>
    <t>1.6.4.1.10</t>
  </si>
  <si>
    <t>1.6.4.2</t>
  </si>
  <si>
    <t>1.6.4.2.1</t>
  </si>
  <si>
    <t>1.6.4.2.2</t>
  </si>
  <si>
    <t>1.6.4.2.3</t>
  </si>
  <si>
    <t>1.6.4.2.4</t>
  </si>
  <si>
    <t>1.6.4.2.5</t>
  </si>
  <si>
    <t>1.6.4.2.6</t>
  </si>
  <si>
    <t>1.6.4.2.7</t>
  </si>
  <si>
    <t>1.6.4.2.8</t>
  </si>
  <si>
    <t>1.6.4.2.9</t>
  </si>
  <si>
    <t>1.6.4.2.10</t>
  </si>
  <si>
    <t>1.6.5.1.10</t>
  </si>
  <si>
    <t>1.6.5.2.9</t>
  </si>
  <si>
    <t>1.6.5.2.10</t>
  </si>
  <si>
    <t>1.6.5.2.11</t>
  </si>
  <si>
    <t>1.6.5.2.12</t>
  </si>
  <si>
    <t>1.6.5.2.13</t>
  </si>
  <si>
    <t>1.6.5.2.14</t>
  </si>
  <si>
    <t>1.6.5.2.15</t>
  </si>
  <si>
    <t>بلاک خیرآباد - سیستان</t>
  </si>
  <si>
    <t>1.6.6.1.10</t>
  </si>
  <si>
    <t>1.6.6.2</t>
  </si>
  <si>
    <t>1.6.6.2.1</t>
  </si>
  <si>
    <t>1.6.6.2.2</t>
  </si>
  <si>
    <t>1.6.6.2.3</t>
  </si>
  <si>
    <t>1.6.6.2.4</t>
  </si>
  <si>
    <t>1.6.6.2.5</t>
  </si>
  <si>
    <t>1.6.6.2.6</t>
  </si>
  <si>
    <t>1.6.6.2.7</t>
  </si>
  <si>
    <t>1.6.6.2.8</t>
  </si>
  <si>
    <t>1.6.6.2.9</t>
  </si>
  <si>
    <t>1.6.6.2.10</t>
  </si>
  <si>
    <t>1.6.7</t>
  </si>
  <si>
    <t>1.6.1.1.10</t>
  </si>
  <si>
    <t>1.6.2.2.12</t>
  </si>
  <si>
    <t>1.6.2.2.13</t>
  </si>
  <si>
    <t>1.6.2.2.14</t>
  </si>
  <si>
    <t>1.6.2.2.15</t>
  </si>
  <si>
    <t>1.6.2.2.16</t>
  </si>
  <si>
    <t>1.6.2.2.17</t>
  </si>
  <si>
    <t>1.6.2.2.18</t>
  </si>
  <si>
    <t>1.6.2.2.19</t>
  </si>
  <si>
    <t>1.6.2.2.20</t>
  </si>
  <si>
    <t>16.3.2.3</t>
  </si>
  <si>
    <t>1.6.4.2.13</t>
  </si>
  <si>
    <t>1.6.4.2.14</t>
  </si>
  <si>
    <t>1.6.4.2.15</t>
  </si>
  <si>
    <t>1.6.4.2.16</t>
  </si>
  <si>
    <t>1.6.4.2.17</t>
  </si>
  <si>
    <t>1.6.4.2.18</t>
  </si>
  <si>
    <t>1.6.4.2.19</t>
  </si>
  <si>
    <t>1.6.4.2.20</t>
  </si>
  <si>
    <t>1.6.6.2.11</t>
  </si>
  <si>
    <t>1.6.6.2.13</t>
  </si>
  <si>
    <t>1.6.6.2.14</t>
  </si>
  <si>
    <t>1.6.6.2.15</t>
  </si>
  <si>
    <t>1.6.6.2.16</t>
  </si>
  <si>
    <t>1.6.6.2.17</t>
  </si>
  <si>
    <t>1.6.6.2.18</t>
  </si>
  <si>
    <t>1.6.6.2.19</t>
  </si>
  <si>
    <t>1.6.6.2.20</t>
  </si>
  <si>
    <t>1.5.1.1.۱</t>
  </si>
  <si>
    <t>1.5.1.1.۲</t>
  </si>
  <si>
    <t>1.5.1.2.۲</t>
  </si>
  <si>
    <t>1.5.2.2</t>
  </si>
  <si>
    <r>
      <t xml:space="preserve">رعايت نظم و انضباط در محوطه و محيط‌هاي اداري، كارگاهي و كارگري در انطباق با </t>
    </r>
    <r>
      <rPr>
        <sz val="13"/>
        <color rgb="FF000000"/>
        <rFont val="B Nazanin"/>
        <charset val="178"/>
      </rPr>
      <t>5s</t>
    </r>
  </si>
  <si>
    <r>
      <t xml:space="preserve">تهیه و ارسال گردش فعالیتها و روابط بین مشارکت، مشاور و کارفرما
</t>
    </r>
    <r>
      <rPr>
        <sz val="11"/>
        <color theme="1"/>
        <rFont val="B Nazanin"/>
        <charset val="178"/>
      </rPr>
      <t xml:space="preserve"> (Coordination Procedure)</t>
    </r>
  </si>
  <si>
    <t>-</t>
  </si>
  <si>
    <t>ارائه اصل عقد قرارداد خرید ریل</t>
  </si>
  <si>
    <r>
      <t xml:space="preserve">تهیه و ارسال روش‏های اجرایی و دستورالعمل‏های کاری شامل:
</t>
    </r>
    <r>
      <rPr>
        <b/>
        <sz val="13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QA ،QC ،HSE ،5S و …</t>
    </r>
  </si>
  <si>
    <t>مقدمات لازم جهت فعاليت هاي اجرايي</t>
  </si>
  <si>
    <t xml:space="preserve">عقد قرارداد </t>
  </si>
  <si>
    <t xml:space="preserve">پرداخت پیش پرداخت یا گشایش و فعال نمودن LC </t>
  </si>
  <si>
    <t xml:space="preserve">حمل خارجی </t>
  </si>
  <si>
    <t>1.5.2.3</t>
  </si>
  <si>
    <t>1.5.2.4</t>
  </si>
  <si>
    <t>ترخیص از گمرگ، بارگیری، حمل داخلی، تخلیه و دپو در محل کارگاه</t>
  </si>
  <si>
    <t>پي كني</t>
  </si>
  <si>
    <t>تهيه و نصب آرماتور</t>
  </si>
  <si>
    <t>اجراي بتن</t>
  </si>
  <si>
    <t>عايق كاري</t>
  </si>
  <si>
    <t>عمليات تكميلي (پر كردن پشت كوله ها و دستك ها و ...)</t>
  </si>
  <si>
    <t>ساخت و نصب نرده حفاظ پلها</t>
  </si>
  <si>
    <t>بسترسازي</t>
  </si>
  <si>
    <t>حمل سيمان و آرماتور</t>
  </si>
  <si>
    <t>بالاست ريزي مرحله اول</t>
  </si>
  <si>
    <t>حمل سوزن از محل دپو تا نصب</t>
  </si>
  <si>
    <t>حمل كوپلاژ يا حمل ريلي ریل، تراورس و ادوات</t>
  </si>
  <si>
    <t>نصب كوپلاژ</t>
  </si>
  <si>
    <t>تهیه و اجراي لايه هاي زیر بالاست</t>
  </si>
  <si>
    <t>16.3.2.2</t>
  </si>
  <si>
    <t>16.3.2.4</t>
  </si>
  <si>
    <t>16.3.2.5</t>
  </si>
  <si>
    <t>16.3.2.6</t>
  </si>
  <si>
    <t>16.3.2.7</t>
  </si>
  <si>
    <t>16.3.2.8</t>
  </si>
  <si>
    <t>16.3.2.9</t>
  </si>
  <si>
    <t>16.3.2.10</t>
  </si>
  <si>
    <t>16.3.2.11</t>
  </si>
  <si>
    <t>تهیه و اجراي زیر بالاست</t>
  </si>
  <si>
    <t>پروژه رفع گلوگاه هاي ظرفيتي در امور زيربنايي
راه آهن ج.ا.ا</t>
  </si>
  <si>
    <t>Rev</t>
  </si>
  <si>
    <t>Volume</t>
  </si>
  <si>
    <t>Doc. No</t>
  </si>
  <si>
    <t>Doc. Type</t>
  </si>
  <si>
    <t>Stu. Gro</t>
  </si>
  <si>
    <t>Sub. Proj</t>
  </si>
  <si>
    <t>Proj</t>
  </si>
  <si>
    <t>کد مدرک</t>
  </si>
  <si>
    <t>« جدول خلاصه صورت وضعيت ها »</t>
  </si>
  <si>
    <t>شماره صورت وضعيت</t>
  </si>
  <si>
    <t>دوره کارکرد</t>
  </si>
  <si>
    <t>تجمعی صورت وضعیت شده پيمانکار (ریال)</t>
  </si>
  <si>
    <t>تجمعی تایید شده توسط مشاور(ریال)</t>
  </si>
  <si>
    <t>تجمعی تایید شده توسط کارفرما (ریال)</t>
  </si>
  <si>
    <t>ارسالي</t>
  </si>
  <si>
    <t>تاييد شده</t>
  </si>
  <si>
    <t>شرکت راه آهن ج.ا.ا</t>
  </si>
  <si>
    <t>مشاور:</t>
  </si>
  <si>
    <t>پيمانکار:</t>
  </si>
  <si>
    <t>فهرست بهای رشته:</t>
  </si>
  <si>
    <t>راه، راه آهن و باند فرودگاه</t>
  </si>
  <si>
    <t>صورت وضعیت از تاريخ:</t>
  </si>
  <si>
    <t>تا تاريخ:</t>
  </si>
  <si>
    <t>فصل</t>
  </si>
  <si>
    <t>شرح فصل</t>
  </si>
  <si>
    <t>مبلغ کارکرد (ريال)</t>
  </si>
  <si>
    <t>کارکرد</t>
  </si>
  <si>
    <t>ملاحظات</t>
  </si>
  <si>
    <t>تا دوره قبل</t>
  </si>
  <si>
    <t>اين دوره</t>
  </si>
  <si>
    <t>تجمعي تاکنون</t>
  </si>
  <si>
    <t>مهندسي</t>
  </si>
  <si>
    <t>خدمات مهندسي و طراحي</t>
  </si>
  <si>
    <t>درخواست پیمانکار</t>
  </si>
  <si>
    <t>تأیید مشاور</t>
  </si>
  <si>
    <t>تأیید کارفرما</t>
  </si>
  <si>
    <t>بيمه</t>
  </si>
  <si>
    <t>تجهیز و برچیدن کارگاه</t>
  </si>
  <si>
    <t>عملیات تخریب</t>
  </si>
  <si>
    <t>عملیات خاکی با دست</t>
  </si>
  <si>
    <t>عملیات خاکی با ماشین</t>
  </si>
  <si>
    <t>عملیات بنایی با سنگ</t>
  </si>
  <si>
    <t>قالب بندی و چوب بست</t>
  </si>
  <si>
    <t>کارهای فولادی با میلگرد</t>
  </si>
  <si>
    <t>کارهای فولادی سبک</t>
  </si>
  <si>
    <t>بتن درجا</t>
  </si>
  <si>
    <t>بتن پیش ساخته</t>
  </si>
  <si>
    <t>زیراساس، اساس و بالاست</t>
  </si>
  <si>
    <t>کارهای متفرقه</t>
  </si>
  <si>
    <t>حمل و نقل</t>
  </si>
  <si>
    <t>کارهای دستمزدی</t>
  </si>
  <si>
    <t>ریل، سوزن و ملحقات</t>
  </si>
  <si>
    <t>اجرای روسازی راه آهن</t>
  </si>
  <si>
    <t>جمع کل</t>
  </si>
  <si>
    <t>مهر و امضای پیمانکار</t>
  </si>
  <si>
    <t>مهر و امضا مشاور زیر بنایی</t>
  </si>
  <si>
    <t>مهر و امضا  کارفرما</t>
  </si>
  <si>
    <t>تعديل 
با استفاده از شاخص</t>
  </si>
  <si>
    <t>مقدمات لازم جهت فعاليتهاي اجرايي</t>
  </si>
  <si>
    <t>رشته اي فهرست بهاي راه، راه آهن و باند فرودگاه</t>
  </si>
  <si>
    <t>ميانگين رشته اي فهرست بهاي راه، راه آهن و باند فرودگاه و فهرست بهاي ابنيه</t>
  </si>
  <si>
    <t>فصل يك فهرست بهاي راه، راه آهن و باند فرودگاه</t>
  </si>
  <si>
    <t>فصل دو فهرست بهاي راه، راه آهن و باند فرودگاه</t>
  </si>
  <si>
    <t>فصل سه فهرست بهاي راه، راه آهن و باند فرودگاه</t>
  </si>
  <si>
    <t>فصل شش فهرست بهاي راه، راه آهن و باند فرودگاه</t>
  </si>
  <si>
    <t>فصل هشت فهرست بهاي راه، راه آهن و باند فرودگاه</t>
  </si>
  <si>
    <t>فصل نه فهرست بهاي راه، راه آهن و باند فرودگاه</t>
  </si>
  <si>
    <t>فصل یازده فهرست بهاي راه، راه آهن و باند فرودگاه</t>
  </si>
  <si>
    <t>فصل دوازده فهرست بهاي راه، راه آهن و باند فرودگاه</t>
  </si>
  <si>
    <t>فصل سيزده فهرست بهاي راه، راه آهن و باند فرودگاه</t>
  </si>
  <si>
    <t>فصل چهارده فهرست بهاي راه، راه آهن و باند فرودگاه</t>
  </si>
  <si>
    <t>فصل شانزده فهرست بهاي راه، راه آهن و باند فرودگاه</t>
  </si>
  <si>
    <t>فصل نوزده فهرست بهاي راه، راه آهن و باند فرودگاه</t>
  </si>
  <si>
    <t>فصل بيست فهرست بهاي راه، راه آهن و باند فرودگاه</t>
  </si>
  <si>
    <t>فصل بيست و یک فهرست بهاي راه، راه آهن و باند فرودگاه</t>
  </si>
  <si>
    <t>فصل بيست و دو فهرست بهاي راه، راه آهن و باند فرودگاه</t>
  </si>
  <si>
    <t>فصل بيست و سه فهرست بهاي راه، راه آهن و باند فرودگاه</t>
  </si>
  <si>
    <t xml:space="preserve">پروژه احداث خط دوم راه آهن محور مشك - سيستان
 به روش EPC غيرصنعتي </t>
  </si>
  <si>
    <t>400/66891/ي</t>
  </si>
  <si>
    <t>12 و 13</t>
  </si>
  <si>
    <t>مشارکت تكنيك پل رود كنكاوان معدن شيراز</t>
  </si>
  <si>
    <t>1393/11/20</t>
  </si>
  <si>
    <t>1396/12/11</t>
  </si>
  <si>
    <t>موقت 16</t>
  </si>
  <si>
    <t>« خلاصه کارکرد صورت وضعیت موقت شماره 16 به تفکیک فصول - مشمول تعديل »</t>
  </si>
  <si>
    <t>« خلاصه کارکرد صورت وضعیت موقت شماره 16 به تفکیک فصول مرتبط »</t>
  </si>
  <si>
    <t>مبلغ پروژه</t>
  </si>
  <si>
    <t>کار اضافه</t>
  </si>
  <si>
    <t>مبلغ کار اضافه این کارکرد</t>
  </si>
  <si>
    <t>1403/06/10</t>
  </si>
  <si>
    <t>ضریب بالاسری</t>
  </si>
  <si>
    <t>ضریب به هنگام سازی</t>
  </si>
  <si>
    <t>ضریب پیشنهادی</t>
  </si>
  <si>
    <t>مبلغ فصل با اعمال ضریب بالاسری</t>
  </si>
  <si>
    <t xml:space="preserve">جمع کل فصول با اعمال ضریب پیمان : </t>
  </si>
  <si>
    <t>مقدار</t>
  </si>
  <si>
    <t>بهای واحد</t>
  </si>
  <si>
    <t>بهای کل</t>
  </si>
  <si>
    <t>200303</t>
  </si>
  <si>
    <t>220101</t>
  </si>
  <si>
    <t>شماره ردیف</t>
  </si>
  <si>
    <t>حمل ریلی</t>
  </si>
  <si>
    <t>تن-کیلومتر</t>
  </si>
  <si>
    <t>تهیه ریل UIC60 با گرید  A900 بارگیری ، حمل و تخلیه در کارگاه مونتاژ خط.</t>
  </si>
  <si>
    <t>تن</t>
  </si>
  <si>
    <t>موضوع ردیف</t>
  </si>
  <si>
    <t>واحد</t>
  </si>
  <si>
    <t>تحويل موقت</t>
  </si>
  <si>
    <t>بيمه نامه ها و 
بيمه مهندسي سازه‌هاي تكميل شده</t>
  </si>
  <si>
    <t>طبق آخرین مبالغ تائیدشده در ص و 15</t>
  </si>
  <si>
    <t>باتوجه به عدم رفع نواقص آبروها با عرض کمتر از2.5 و پلها با عرض کمتر از 2.8</t>
  </si>
  <si>
    <t>درصدپیشرفت ریالی</t>
  </si>
  <si>
    <t>زیرسازی انجام شده</t>
  </si>
  <si>
    <t>ابنیه انجام شده</t>
  </si>
  <si>
    <t>روسازی انجام شده</t>
  </si>
  <si>
    <t>زیرسازی قرارداد</t>
  </si>
  <si>
    <t>ابنیه قرارداد</t>
  </si>
  <si>
    <t>روسازی قرارداد</t>
  </si>
  <si>
    <r>
      <t xml:space="preserve">به نسبت پیشرفت فیزیکی پروژه (باتوجه به عدم پذیرش کیفیت بخشی از ابنیه فنی اجرا شده مسیر)
</t>
    </r>
    <r>
      <rPr>
        <b/>
        <sz val="18"/>
        <color rgb="FFFF0000"/>
        <rFont val="B Nazanin"/>
        <charset val="178"/>
      </rPr>
      <t>دلیل اختلاف: درصد پیشرفت فیزیکی</t>
    </r>
  </si>
  <si>
    <r>
      <t xml:space="preserve">به میزان پیشرفت فیزیکی پروژه (نظارت بر تامین و اجرای روسازی توسط پیمانکار انجام نگردید)
ضمن اینکه طبق مکاتبات موجود عوامل نظارت و کیفیت نظارت نیز مورد تائید نبوده است.
نقشه های چون ساخت و كتابچه‌هاي بهره‌برداري، نگهداري و تعميرات، توسط پیمانکار تهیه و ارائه نشده است
</t>
    </r>
    <r>
      <rPr>
        <b/>
        <sz val="18"/>
        <color rgb="FFFF0000"/>
        <rFont val="B Nazanin"/>
        <charset val="178"/>
      </rPr>
      <t>دلیل اختلاف: درصد پیشرفت در این بخش</t>
    </r>
  </si>
  <si>
    <t>1-اعتبار مدارک ارائه شده ساقط گردیده و قرارداد مجددا جاری و فعال نگردید. 
2- ریل پروژه توسط کارفرما تامین و دراختیار پیمانکار قرار گرفت. 
3- بهای ردیفها، بهای واقعی فعالیت نمی باشد</t>
  </si>
  <si>
    <t>1- بابت عقد قرارداد و پیش پرداخت در قالب ساختارشکست اصلی قرارداد مدارکی ارائه نشده است لذا باتوجه به تعداد درج شده در گزارش تامین دلیل پروژه
 2- بهای ردیفها، بهای واقعی فعالیت نمی باشد</t>
  </si>
  <si>
    <t xml:space="preserve"> طبق گزارش فصل مشترک تهیه شده، زیرسازی 150متر خط انبار خروجی ایستگاه به سمت خیراباد انجام نشده است.</t>
  </si>
  <si>
    <t xml:space="preserve"> طبق گزارش تامین دلیل، زیرسازی 161متر خط اتصال به صنعت کانتین انجام نشده است.</t>
  </si>
  <si>
    <t>براساس گزارش تامین دلیل</t>
  </si>
  <si>
    <t xml:space="preserve">درصورت پذیرش استفاده از ساختارشکست مصوب قرارداد ، ضرورتا می بایستی شرط مندرج در پیوست شماره یک جهت فعال سازی این آیتم نیز منظور گردد. (این آیتم تنها با ابلاغ کارهای فصل13 و انجام آن توسط پیمانکار، قابل پرداخت خواهدبود.) </t>
  </si>
  <si>
    <t>1-قرارداد منعقده با فروشنده به دلیل شرط درج شده در بند7 قرارداد، ارزش حقوقی نداشته و قابل پذیرش نمی باشد. 
2-علی رغم پرداخت پیش پرداخت توسط کارفرما در وجه فروشنده، هیچ سوزنی تامین نگردید.
3- ضمن اینکه بهای ردیفها، بهای واقعی فعالیت نمی باشد</t>
  </si>
  <si>
    <t>طبق گزارش تامین دلیل هیچ ادواتی تامین نشده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</si>
</sst>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_-&quot;ريال&quot;\ * #,##0.00_-;_-&quot;ريال&quot;\ * #,##0.00\-;_-&quot;ريال&quot;\ * &quot;-&quot;??_-;_-@_-"/>
    <numFmt numFmtId="166" formatCode="_-* #,##0.00_-;_-* #,##0.00\-;_-* &quot;-&quot;??_-;_-@_-"/>
    <numFmt numFmtId="167" formatCode="_-&quot;ريال&quot;* #,##0_-;_-&quot;ريال&quot;* #,##0\-;_-&quot;ريال&quot;* &quot;-&quot;_-;_-@_-"/>
    <numFmt numFmtId="168" formatCode="_-* #,##0.000_-;_-* #,##0.000\-;_-* &quot;-&quot;??_-;_-@_-"/>
    <numFmt numFmtId="169" formatCode="_-* #,##0_-;_-* #,##0\-;_-* &quot;-&quot;??_-;_-@_-"/>
    <numFmt numFmtId="170" formatCode="_-&quot;ريال&quot;\ * #,##0_-;_-&quot;ريال&quot;\ * #,##0\-;_-&quot;ريال&quot;\ * &quot;-&quot;??_-;_-@_-"/>
    <numFmt numFmtId="171" formatCode="0.0000%"/>
    <numFmt numFmtId="172" formatCode="_-[$ريال-429]* #,##0_-;_-[$ريال-429]* #,##0\-;_-[$ريال-429]* &quot;-&quot;_-;_-@_-"/>
    <numFmt numFmtId="173" formatCode="[$-3000401]0"/>
    <numFmt numFmtId="174" formatCode="0.00000000000000000%"/>
    <numFmt numFmtId="175" formatCode="0.0%"/>
    <numFmt numFmtId="176" formatCode="_-[$ريال-429]\ * #,##0_-;_-[$ريال-429]\ * #,##0\-;_-[$ريال-429]\ * &quot;-&quot;??_-;_-@_-"/>
    <numFmt numFmtId="177" formatCode="#,##0_);\(#,##0\);&quot;&quot;"/>
    <numFmt numFmtId="178" formatCode="_(* #,##0_);_(* \(#,##0\);_(* &quot;-&quot;??_);_(@_)"/>
    <numFmt numFmtId="179" formatCode="#,##0.000"/>
    <numFmt numFmtId="180" formatCode="#,##0.0000"/>
  </numFmts>
  <fonts count="112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sz val="11"/>
      <color theme="1"/>
      <name val="Arial"/>
      <family val="2"/>
      <charset val="178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1"/>
      <color rgb="FFFF0000"/>
      <name val="B Nazanin"/>
      <charset val="178"/>
    </font>
    <font>
      <b/>
      <sz val="14"/>
      <color theme="1"/>
      <name val="B Nazanin"/>
      <charset val="178"/>
    </font>
    <font>
      <sz val="11"/>
      <color theme="1"/>
      <name val="Arial"/>
      <family val="2"/>
      <scheme val="minor"/>
    </font>
    <font>
      <b/>
      <sz val="13"/>
      <color theme="1"/>
      <name val="B Nazanin"/>
      <charset val="178"/>
    </font>
    <font>
      <sz val="14"/>
      <color theme="1"/>
      <name val="B Nazanin"/>
      <charset val="178"/>
    </font>
    <font>
      <b/>
      <sz val="10"/>
      <color theme="1"/>
      <name val="B Nazanin"/>
      <charset val="178"/>
    </font>
    <font>
      <sz val="13"/>
      <color theme="1"/>
      <name val="B Nazanin"/>
      <charset val="178"/>
    </font>
    <font>
      <b/>
      <sz val="14"/>
      <color rgb="FFFF0000"/>
      <name val="B Nazanin"/>
      <charset val="178"/>
    </font>
    <font>
      <b/>
      <sz val="13"/>
      <color rgb="FFFF0000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B Nazanin"/>
      <charset val="178"/>
    </font>
    <font>
      <b/>
      <sz val="12"/>
      <name val="B Nazanin"/>
      <charset val="178"/>
    </font>
    <font>
      <b/>
      <sz val="14"/>
      <color rgb="FF009900"/>
      <name val="B Nazanin"/>
      <charset val="178"/>
    </font>
    <font>
      <b/>
      <sz val="13"/>
      <color rgb="FF009900"/>
      <name val="B Nazanin"/>
      <charset val="178"/>
    </font>
    <font>
      <b/>
      <sz val="14"/>
      <name val="B Nazanin"/>
      <charset val="178"/>
    </font>
    <font>
      <b/>
      <sz val="13"/>
      <name val="B Nazanin"/>
      <charset val="178"/>
    </font>
    <font>
      <b/>
      <sz val="14"/>
      <color theme="1"/>
      <name val="B Mitra"/>
      <charset val="178"/>
    </font>
    <font>
      <b/>
      <sz val="13"/>
      <color theme="1"/>
      <name val="B Mitra"/>
      <charset val="178"/>
    </font>
    <font>
      <sz val="12"/>
      <name val="B Nazanin"/>
      <charset val="178"/>
    </font>
    <font>
      <sz val="12"/>
      <color rgb="FFFF0000"/>
      <name val="B Nazanin"/>
      <charset val="178"/>
    </font>
    <font>
      <b/>
      <sz val="14.5"/>
      <color theme="1"/>
      <name val="B Nazanin"/>
      <charset val="178"/>
    </font>
    <font>
      <b/>
      <sz val="13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sz val="12"/>
      <color rgb="FF000000"/>
      <name val="B Nazanin"/>
      <charset val="178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b/>
      <sz val="14.5"/>
      <name val="B Nazanin"/>
      <charset val="178"/>
    </font>
    <font>
      <b/>
      <sz val="14.5"/>
      <color theme="1"/>
      <name val="B Mitra"/>
      <charset val="178"/>
    </font>
    <font>
      <b/>
      <sz val="14.5"/>
      <color rgb="FFFF0000"/>
      <name val="B Nazanin"/>
      <charset val="178"/>
    </font>
    <font>
      <b/>
      <sz val="14.5"/>
      <color rgb="FF009900"/>
      <name val="B Nazanin"/>
      <charset val="178"/>
    </font>
    <font>
      <sz val="12.5"/>
      <color theme="1"/>
      <name val="B Nazanin"/>
      <charset val="178"/>
    </font>
    <font>
      <sz val="12.5"/>
      <name val="B Nazanin"/>
      <charset val="178"/>
    </font>
    <font>
      <sz val="12.5"/>
      <color rgb="FFFF0000"/>
      <name val="B Nazanin"/>
      <charset val="178"/>
    </font>
    <font>
      <sz val="12.5"/>
      <color rgb="FF009900"/>
      <name val="B Nazanin"/>
      <charset val="178"/>
    </font>
    <font>
      <sz val="11.5"/>
      <color theme="1"/>
      <name val="B Nazanin"/>
      <charset val="178"/>
    </font>
    <font>
      <sz val="11.5"/>
      <name val="B Nazanin"/>
      <charset val="178"/>
    </font>
    <font>
      <sz val="13"/>
      <color rgb="FF000000"/>
      <name val="B Nazanin"/>
      <charset val="178"/>
    </font>
    <font>
      <b/>
      <sz val="15"/>
      <color theme="1"/>
      <name val="B Nazanin"/>
      <charset val="178"/>
    </font>
    <font>
      <b/>
      <sz val="15"/>
      <color rgb="FFFF0000"/>
      <name val="B Nazanin"/>
      <charset val="178"/>
    </font>
    <font>
      <b/>
      <sz val="15"/>
      <color rgb="FF009900"/>
      <name val="B Nazanin"/>
      <charset val="178"/>
    </font>
    <font>
      <sz val="15"/>
      <color theme="1"/>
      <name val="B Nazanin"/>
      <charset val="178"/>
    </font>
    <font>
      <sz val="11"/>
      <color rgb="FFFF0000"/>
      <name val="B Nazanin"/>
      <charset val="178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sz val="14"/>
      <name val="B Nazanin"/>
      <charset val="178"/>
    </font>
    <font>
      <sz val="13"/>
      <color theme="1"/>
      <name val="B Mitra"/>
      <charset val="178"/>
    </font>
    <font>
      <sz val="13"/>
      <name val="B Nazanin"/>
      <charset val="178"/>
    </font>
    <font>
      <b/>
      <sz val="12.5"/>
      <name val="B Nazanin"/>
      <charset val="178"/>
    </font>
    <font>
      <b/>
      <sz val="12.5"/>
      <color rgb="FFFF0000"/>
      <name val="B Nazanin"/>
      <charset val="178"/>
    </font>
    <font>
      <sz val="14"/>
      <color theme="1"/>
      <name val="B Titr"/>
      <charset val="178"/>
    </font>
    <font>
      <b/>
      <sz val="11"/>
      <color theme="1"/>
      <name val="Times New Roman"/>
      <family val="1"/>
    </font>
    <font>
      <b/>
      <sz val="11"/>
      <name val="B Nazanin"/>
      <charset val="178"/>
    </font>
    <font>
      <b/>
      <sz val="10.5"/>
      <color theme="1"/>
      <name val="B Nazanin"/>
      <charset val="178"/>
    </font>
    <font>
      <b/>
      <sz val="11"/>
      <color rgb="FF00B050"/>
      <name val="B Nazanin"/>
      <charset val="178"/>
    </font>
    <font>
      <b/>
      <sz val="11"/>
      <color theme="3" tint="-0.249977111117893"/>
      <name val="B Nazanin"/>
      <charset val="178"/>
    </font>
    <font>
      <sz val="8"/>
      <color rgb="FFFF0000"/>
      <name val="B Nazanin"/>
      <charset val="178"/>
    </font>
    <font>
      <sz val="11"/>
      <name val="Arial"/>
      <family val="2"/>
    </font>
    <font>
      <b/>
      <sz val="11"/>
      <name val="Arial"/>
      <family val="2"/>
    </font>
    <font>
      <b/>
      <sz val="8"/>
      <color theme="1"/>
      <name val="B Nazanin"/>
      <charset val="178"/>
    </font>
    <font>
      <b/>
      <sz val="7"/>
      <color theme="1"/>
      <name val="B Nazanin"/>
      <charset val="178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sz val="10"/>
      <color indexed="8"/>
      <name val="Arial"/>
      <family val="2"/>
    </font>
    <font>
      <sz val="10"/>
      <name val="MS Sans Serif"/>
      <family val="2"/>
      <charset val="178"/>
    </font>
    <font>
      <b/>
      <sz val="11"/>
      <color indexed="63"/>
      <name val="Arial"/>
      <family val="2"/>
      <charset val="178"/>
    </font>
    <font>
      <b/>
      <sz val="14"/>
      <name val="Arial"/>
      <family val="2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2"/>
      <name val="宋体"/>
      <charset val="134"/>
    </font>
    <font>
      <sz val="11"/>
      <name val="明朝"/>
      <family val="1"/>
      <charset val="128"/>
    </font>
    <font>
      <b/>
      <sz val="16"/>
      <name val="B Nazanin"/>
      <charset val="178"/>
    </font>
    <font>
      <sz val="16"/>
      <name val="B Nazanin"/>
      <charset val="178"/>
    </font>
    <font>
      <sz val="18"/>
      <color theme="1"/>
      <name val="B Nazanin"/>
      <charset val="178"/>
    </font>
    <font>
      <b/>
      <sz val="16"/>
      <color theme="0"/>
      <name val="B Nazanin"/>
      <charset val="178"/>
    </font>
    <font>
      <sz val="13"/>
      <color theme="1"/>
      <name val="Arial"/>
      <family val="2"/>
    </font>
    <font>
      <sz val="13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9900"/>
      <name val="B Nazanin"/>
      <charset val="178"/>
    </font>
    <font>
      <b/>
      <sz val="18"/>
      <color rgb="FF009900"/>
      <name val="B Nazanin"/>
      <charset val="178"/>
    </font>
    <font>
      <b/>
      <sz val="20"/>
      <color rgb="FF009900"/>
      <name val="B Nazanin"/>
      <charset val="178"/>
    </font>
    <font>
      <sz val="22"/>
      <color rgb="FF009900"/>
      <name val="B Nazanin"/>
      <charset val="178"/>
    </font>
    <font>
      <b/>
      <sz val="22"/>
      <color rgb="FF009900"/>
      <name val="B Nazani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B Nazanin"/>
      <charset val="178"/>
    </font>
    <font>
      <b/>
      <sz val="18"/>
      <color rgb="FFFF0000"/>
      <name val="B Nazanin"/>
      <charset val="178"/>
    </font>
    <font>
      <b/>
      <sz val="16"/>
      <color rgb="FFFF0000"/>
      <name val="B Nazanin"/>
      <charset val="178"/>
    </font>
    <font>
      <sz val="10"/>
      <color indexed="81"/>
      <name val="Tahoma"/>
      <family val="2"/>
    </font>
  </fonts>
  <fills count="4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2D050"/>
        <bgColor indexed="64"/>
      </patternFill>
    </fill>
  </fills>
  <borders count="24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auto="1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hair">
        <color auto="1"/>
      </left>
      <right style="hair">
        <color auto="1"/>
      </right>
      <top style="thick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ck">
        <color auto="1"/>
      </bottom>
      <diagonal/>
    </border>
    <border>
      <left/>
      <right style="hair">
        <color auto="1"/>
      </right>
      <top style="thick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</borders>
  <cellStyleXfs count="80">
    <xf numFmtId="0" fontId="0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3" fillId="0" borderId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9" fillId="0" borderId="0"/>
    <xf numFmtId="0" fontId="2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2" fillId="20" borderId="0" applyNumberFormat="0" applyBorder="0" applyAlignment="0" applyProtection="0"/>
    <xf numFmtId="0" fontId="72" fillId="21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5" borderId="0" applyNumberFormat="0" applyBorder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23" borderId="0" applyNumberFormat="0" applyBorder="0" applyAlignment="0" applyProtection="0"/>
    <xf numFmtId="0" fontId="72" fillId="26" borderId="0" applyNumberFormat="0" applyBorder="0" applyAlignment="0" applyProtection="0"/>
    <xf numFmtId="0" fontId="72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7" borderId="0" applyNumberFormat="0" applyBorder="0" applyAlignment="0" applyProtection="0"/>
    <xf numFmtId="0" fontId="74" fillId="21" borderId="0" applyNumberFormat="0" applyBorder="0" applyAlignment="0" applyProtection="0"/>
    <xf numFmtId="0" fontId="75" fillId="38" borderId="199" applyNumberFormat="0" applyAlignment="0" applyProtection="0"/>
    <xf numFmtId="0" fontId="75" fillId="38" borderId="199" applyNumberFormat="0" applyAlignment="0" applyProtection="0"/>
    <xf numFmtId="0" fontId="76" fillId="39" borderId="200" applyNumberFormat="0" applyAlignment="0" applyProtection="0"/>
    <xf numFmtId="0" fontId="76" fillId="39" borderId="200" applyNumberFormat="0" applyAlignment="0" applyProtection="0"/>
    <xf numFmtId="0" fontId="76" fillId="39" borderId="200" applyNumberFormat="0" applyAlignment="0" applyProtection="0"/>
    <xf numFmtId="0" fontId="1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22" borderId="0" applyNumberFormat="0" applyBorder="0" applyAlignment="0" applyProtection="0"/>
    <xf numFmtId="0" fontId="79" fillId="0" borderId="201" applyNumberFormat="0" applyFill="0" applyAlignment="0" applyProtection="0"/>
    <xf numFmtId="0" fontId="80" fillId="0" borderId="202" applyNumberFormat="0" applyFill="0" applyAlignment="0" applyProtection="0"/>
    <xf numFmtId="0" fontId="81" fillId="0" borderId="203" applyNumberFormat="0" applyFill="0" applyAlignment="0" applyProtection="0"/>
    <xf numFmtId="0" fontId="81" fillId="0" borderId="0" applyNumberFormat="0" applyFill="0" applyBorder="0" applyAlignment="0" applyProtection="0"/>
    <xf numFmtId="0" fontId="82" fillId="25" borderId="199" applyNumberFormat="0" applyAlignment="0" applyProtection="0"/>
    <xf numFmtId="0" fontId="82" fillId="25" borderId="199" applyNumberFormat="0" applyAlignment="0" applyProtection="0"/>
    <xf numFmtId="0" fontId="83" fillId="0" borderId="204" applyNumberFormat="0" applyFill="0" applyAlignment="0" applyProtection="0"/>
    <xf numFmtId="0" fontId="84" fillId="40" borderId="0" applyNumberFormat="0" applyBorder="0" applyAlignment="0" applyProtection="0"/>
    <xf numFmtId="0" fontId="18" fillId="0" borderId="0"/>
    <xf numFmtId="0" fontId="18" fillId="0" borderId="0"/>
    <xf numFmtId="0" fontId="72" fillId="0" borderId="0"/>
    <xf numFmtId="0" fontId="85" fillId="0" borderId="0">
      <alignment vertical="top"/>
    </xf>
    <xf numFmtId="0" fontId="18" fillId="0" borderId="0"/>
    <xf numFmtId="0" fontId="18" fillId="0" borderId="0" applyNumberFormat="0" applyFont="0" applyFill="0" applyBorder="0" applyAlignment="0" applyProtection="0">
      <alignment vertical="top"/>
    </xf>
    <xf numFmtId="0" fontId="86" fillId="0" borderId="0"/>
    <xf numFmtId="0" fontId="18" fillId="0" borderId="0"/>
    <xf numFmtId="0" fontId="1" fillId="0" borderId="0"/>
    <xf numFmtId="0" fontId="1" fillId="0" borderId="0"/>
    <xf numFmtId="0" fontId="18" fillId="41" borderId="205" applyNumberFormat="0" applyFont="0" applyAlignment="0" applyProtection="0"/>
    <xf numFmtId="0" fontId="18" fillId="41" borderId="205" applyNumberFormat="0" applyFont="0" applyAlignment="0" applyProtection="0"/>
    <xf numFmtId="0" fontId="87" fillId="38" borderId="206" applyNumberFormat="0" applyAlignment="0" applyProtection="0"/>
    <xf numFmtId="0" fontId="87" fillId="38" borderId="206" applyNumberFormat="0" applyAlignment="0" applyProtection="0"/>
    <xf numFmtId="9" fontId="18" fillId="0" borderId="0" applyFont="0" applyFill="0" applyBorder="0" applyAlignment="0" applyProtection="0"/>
    <xf numFmtId="0" fontId="88" fillId="42" borderId="0">
      <alignment vertical="center"/>
    </xf>
    <xf numFmtId="0" fontId="89" fillId="0" borderId="0" applyNumberFormat="0" applyFill="0" applyBorder="0" applyAlignment="0" applyProtection="0"/>
    <xf numFmtId="0" fontId="90" fillId="0" borderId="207" applyNumberFormat="0" applyFill="0" applyAlignment="0" applyProtection="0"/>
    <xf numFmtId="0" fontId="90" fillId="0" borderId="207" applyNumberFormat="0" applyFill="0" applyAlignment="0" applyProtection="0"/>
    <xf numFmtId="0" fontId="91" fillId="0" borderId="0" applyNumberFormat="0" applyFill="0" applyBorder="0" applyAlignment="0" applyProtection="0"/>
    <xf numFmtId="0" fontId="92" fillId="0" borderId="0"/>
    <xf numFmtId="0" fontId="93" fillId="0" borderId="0"/>
  </cellStyleXfs>
  <cellXfs count="1232">
    <xf numFmtId="0" fontId="0" fillId="0" borderId="0" xfId="0"/>
    <xf numFmtId="0" fontId="2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2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right" vertical="center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166" fontId="5" fillId="9" borderId="2" xfId="0" applyNumberFormat="1" applyFont="1" applyFill="1" applyBorder="1" applyAlignment="1">
      <alignment horizontal="center" vertical="center"/>
    </xf>
    <xf numFmtId="166" fontId="2" fillId="9" borderId="2" xfId="0" applyNumberFormat="1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68" fontId="2" fillId="9" borderId="2" xfId="0" applyNumberFormat="1" applyFont="1" applyFill="1" applyBorder="1" applyAlignment="1">
      <alignment horizontal="left" vertical="center"/>
    </xf>
    <xf numFmtId="169" fontId="5" fillId="9" borderId="2" xfId="0" applyNumberFormat="1" applyFont="1" applyFill="1" applyBorder="1" applyAlignment="1">
      <alignment horizontal="center" vertical="center"/>
    </xf>
    <xf numFmtId="169" fontId="2" fillId="9" borderId="2" xfId="0" applyNumberFormat="1" applyFont="1" applyFill="1" applyBorder="1" applyAlignment="1">
      <alignment horizontal="left" vertical="center"/>
    </xf>
    <xf numFmtId="169" fontId="2" fillId="9" borderId="2" xfId="0" applyNumberFormat="1" applyFont="1" applyFill="1" applyBorder="1" applyAlignment="1">
      <alignment horizontal="right" vertical="center" wrapText="1"/>
    </xf>
    <xf numFmtId="169" fontId="2" fillId="9" borderId="2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 wrapText="1"/>
    </xf>
    <xf numFmtId="0" fontId="6" fillId="9" borderId="2" xfId="0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center" vertical="center"/>
    </xf>
    <xf numFmtId="10" fontId="2" fillId="3" borderId="4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0" fontId="2" fillId="10" borderId="2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9" fontId="2" fillId="11" borderId="15" xfId="1" applyNumberFormat="1" applyFont="1" applyFill="1" applyBorder="1" applyAlignment="1">
      <alignment horizontal="center" vertical="center"/>
    </xf>
    <xf numFmtId="169" fontId="2" fillId="11" borderId="13" xfId="1" applyNumberFormat="1" applyFont="1" applyFill="1" applyBorder="1" applyAlignment="1">
      <alignment horizontal="center" vertical="center"/>
    </xf>
    <xf numFmtId="169" fontId="2" fillId="0" borderId="0" xfId="1" applyNumberFormat="1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/>
    </xf>
    <xf numFmtId="165" fontId="2" fillId="6" borderId="34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horizontal="center" vertical="center"/>
    </xf>
    <xf numFmtId="165" fontId="2" fillId="6" borderId="15" xfId="1" applyNumberFormat="1" applyFont="1" applyFill="1" applyBorder="1" applyAlignment="1">
      <alignment horizontal="center" vertical="center"/>
    </xf>
    <xf numFmtId="165" fontId="2" fillId="6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2" fontId="2" fillId="3" borderId="4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5" fontId="2" fillId="2" borderId="4" xfId="2" applyFont="1" applyFill="1" applyBorder="1" applyAlignment="1">
      <alignment horizontal="center" vertical="center"/>
    </xf>
    <xf numFmtId="165" fontId="5" fillId="9" borderId="2" xfId="2" applyFont="1" applyFill="1" applyBorder="1" applyAlignment="1">
      <alignment horizontal="center" vertical="center"/>
    </xf>
    <xf numFmtId="165" fontId="6" fillId="9" borderId="2" xfId="2" applyFont="1" applyFill="1" applyBorder="1" applyAlignment="1">
      <alignment horizontal="center" vertical="center"/>
    </xf>
    <xf numFmtId="165" fontId="2" fillId="3" borderId="2" xfId="2" applyFont="1" applyFill="1" applyBorder="1" applyAlignment="1">
      <alignment horizontal="center" vertical="center"/>
    </xf>
    <xf numFmtId="170" fontId="2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horizontal="right" vertical="center"/>
    </xf>
    <xf numFmtId="169" fontId="2" fillId="0" borderId="0" xfId="1" applyNumberFormat="1" applyFont="1" applyBorder="1" applyAlignment="1">
      <alignment horizontal="center" vertical="top" wrapText="1"/>
    </xf>
    <xf numFmtId="169" fontId="2" fillId="0" borderId="0" xfId="1" applyNumberFormat="1" applyFont="1" applyBorder="1" applyAlignment="1">
      <alignment horizontal="center" vertical="top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171" fontId="2" fillId="3" borderId="2" xfId="0" applyNumberFormat="1" applyFont="1" applyFill="1" applyBorder="1" applyAlignment="1">
      <alignment horizontal="center" vertical="center"/>
    </xf>
    <xf numFmtId="171" fontId="2" fillId="2" borderId="2" xfId="0" applyNumberFormat="1" applyFont="1" applyFill="1" applyBorder="1" applyAlignment="1">
      <alignment horizontal="center" vertical="center"/>
    </xf>
    <xf numFmtId="171" fontId="2" fillId="2" borderId="4" xfId="0" applyNumberFormat="1" applyFont="1" applyFill="1" applyBorder="1" applyAlignment="1">
      <alignment horizontal="center" vertical="center"/>
    </xf>
    <xf numFmtId="0" fontId="2" fillId="9" borderId="50" xfId="0" applyFont="1" applyFill="1" applyBorder="1" applyAlignment="1">
      <alignment horizontal="center" vertical="center"/>
    </xf>
    <xf numFmtId="165" fontId="2" fillId="6" borderId="34" xfId="2" applyFont="1" applyFill="1" applyBorder="1" applyAlignment="1">
      <alignment horizontal="center" vertical="center"/>
    </xf>
    <xf numFmtId="165" fontId="2" fillId="6" borderId="34" xfId="0" applyNumberFormat="1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165" fontId="6" fillId="9" borderId="1" xfId="2" applyFont="1" applyFill="1" applyBorder="1" applyAlignment="1">
      <alignment horizontal="center" vertical="center"/>
    </xf>
    <xf numFmtId="165" fontId="5" fillId="9" borderId="29" xfId="2" applyFont="1" applyFill="1" applyBorder="1" applyAlignment="1">
      <alignment horizontal="center" vertical="center"/>
    </xf>
    <xf numFmtId="2" fontId="4" fillId="10" borderId="4" xfId="0" applyNumberFormat="1" applyFont="1" applyFill="1" applyBorder="1" applyAlignment="1">
      <alignment horizontal="center" vertical="center"/>
    </xf>
    <xf numFmtId="2" fontId="5" fillId="10" borderId="25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0" fontId="2" fillId="9" borderId="56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/>
    </xf>
    <xf numFmtId="9" fontId="2" fillId="0" borderId="0" xfId="3" applyFont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vertical="center" readingOrder="2"/>
    </xf>
    <xf numFmtId="0" fontId="10" fillId="9" borderId="2" xfId="0" applyFont="1" applyFill="1" applyBorder="1" applyAlignment="1">
      <alignment horizontal="center" vertical="center" readingOrder="2"/>
    </xf>
    <xf numFmtId="0" fontId="8" fillId="9" borderId="2" xfId="0" applyFont="1" applyFill="1" applyBorder="1" applyAlignment="1">
      <alignment horizontal="center" vertical="center" readingOrder="2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left" vertical="center" readingOrder="2"/>
    </xf>
    <xf numFmtId="0" fontId="4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right" vertical="center" indent="1" readingOrder="2"/>
    </xf>
    <xf numFmtId="0" fontId="5" fillId="0" borderId="0" xfId="0" applyFont="1" applyAlignment="1">
      <alignment horizontal="right" vertical="center" readingOrder="2"/>
    </xf>
    <xf numFmtId="0" fontId="2" fillId="0" borderId="58" xfId="0" applyFont="1" applyBorder="1" applyAlignment="1">
      <alignment vertical="center" readingOrder="2"/>
    </xf>
    <xf numFmtId="0" fontId="5" fillId="0" borderId="58" xfId="0" applyFont="1" applyBorder="1" applyAlignment="1">
      <alignment horizontal="right" vertical="center" readingOrder="2"/>
    </xf>
    <xf numFmtId="0" fontId="5" fillId="0" borderId="58" xfId="0" applyFont="1" applyBorder="1" applyAlignment="1">
      <alignment horizontal="left" vertical="center" readingOrder="2"/>
    </xf>
    <xf numFmtId="0" fontId="8" fillId="0" borderId="0" xfId="0" applyFont="1" applyAlignment="1">
      <alignment horizontal="center" vertical="center"/>
    </xf>
    <xf numFmtId="0" fontId="4" fillId="0" borderId="58" xfId="0" applyFont="1" applyBorder="1" applyAlignment="1">
      <alignment horizontal="center" vertical="center" readingOrder="2"/>
    </xf>
    <xf numFmtId="0" fontId="5" fillId="0" borderId="58" xfId="0" applyFont="1" applyBorder="1" applyAlignment="1">
      <alignment horizontal="right" vertical="center" indent="1" readingOrder="2"/>
    </xf>
    <xf numFmtId="0" fontId="5" fillId="0" borderId="58" xfId="0" applyFont="1" applyBorder="1" applyAlignment="1">
      <alignment horizontal="center" vertical="center" readingOrder="2"/>
    </xf>
    <xf numFmtId="0" fontId="8" fillId="9" borderId="2" xfId="0" applyFont="1" applyFill="1" applyBorder="1" applyAlignment="1">
      <alignment horizontal="center" vertical="center"/>
    </xf>
    <xf numFmtId="3" fontId="8" fillId="9" borderId="2" xfId="2" applyNumberFormat="1" applyFont="1" applyFill="1" applyBorder="1" applyAlignment="1">
      <alignment horizontal="center" vertical="center" readingOrder="2"/>
    </xf>
    <xf numFmtId="0" fontId="13" fillId="9" borderId="2" xfId="0" applyFont="1" applyFill="1" applyBorder="1" applyAlignment="1">
      <alignment horizontal="center" vertical="center" readingOrder="2"/>
    </xf>
    <xf numFmtId="3" fontId="23" fillId="13" borderId="2" xfId="1" applyNumberFormat="1" applyFont="1" applyFill="1" applyBorder="1" applyAlignment="1">
      <alignment horizontal="center" vertical="center" readingOrder="2"/>
    </xf>
    <xf numFmtId="0" fontId="5" fillId="4" borderId="2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 wrapText="1" readingOrder="2"/>
    </xf>
    <xf numFmtId="0" fontId="5" fillId="7" borderId="2" xfId="0" applyFont="1" applyFill="1" applyBorder="1" applyAlignment="1">
      <alignment horizontal="center" vertical="center" wrapText="1" readingOrder="2"/>
    </xf>
    <xf numFmtId="169" fontId="6" fillId="0" borderId="0" xfId="1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6" fillId="0" borderId="58" xfId="0" applyFont="1" applyBorder="1" applyAlignment="1">
      <alignment horizontal="left" vertical="center"/>
    </xf>
    <xf numFmtId="0" fontId="8" fillId="0" borderId="58" xfId="0" applyFont="1" applyBorder="1" applyAlignment="1">
      <alignment horizontal="center" vertical="center"/>
    </xf>
    <xf numFmtId="169" fontId="6" fillId="0" borderId="58" xfId="1" applyNumberFormat="1" applyFont="1" applyBorder="1" applyAlignment="1">
      <alignment vertical="center"/>
    </xf>
    <xf numFmtId="169" fontId="8" fillId="11" borderId="2" xfId="1" applyNumberFormat="1" applyFont="1" applyFill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2" fillId="9" borderId="2" xfId="0" applyFont="1" applyFill="1" applyBorder="1" applyAlignment="1">
      <alignment horizontal="center" vertical="center" readingOrder="2"/>
    </xf>
    <xf numFmtId="3" fontId="10" fillId="9" borderId="2" xfId="2" applyNumberFormat="1" applyFont="1" applyFill="1" applyBorder="1" applyAlignment="1">
      <alignment horizontal="center" vertical="center" readingOrder="2"/>
    </xf>
    <xf numFmtId="169" fontId="10" fillId="11" borderId="2" xfId="1" applyNumberFormat="1" applyFont="1" applyFill="1" applyBorder="1" applyAlignment="1">
      <alignment horizontal="center" vertical="center" readingOrder="2"/>
    </xf>
    <xf numFmtId="0" fontId="5" fillId="0" borderId="0" xfId="0" applyFont="1" applyAlignment="1">
      <alignment horizontal="right" vertical="center" indent="2" readingOrder="2"/>
    </xf>
    <xf numFmtId="0" fontId="2" fillId="0" borderId="0" xfId="0" applyFont="1" applyAlignment="1">
      <alignment horizontal="right" vertical="center" indent="1"/>
    </xf>
    <xf numFmtId="0" fontId="2" fillId="0" borderId="58" xfId="0" applyFont="1" applyBorder="1" applyAlignment="1">
      <alignment horizontal="right" vertical="center" indent="1"/>
    </xf>
    <xf numFmtId="169" fontId="6" fillId="0" borderId="0" xfId="1" applyNumberFormat="1" applyFont="1" applyBorder="1" applyAlignment="1">
      <alignment horizontal="right" vertical="center" indent="1"/>
    </xf>
    <xf numFmtId="169" fontId="6" fillId="0" borderId="58" xfId="1" applyNumberFormat="1" applyFont="1" applyBorder="1" applyAlignment="1">
      <alignment horizontal="right" vertical="center" indent="1"/>
    </xf>
    <xf numFmtId="0" fontId="6" fillId="0" borderId="0" xfId="0" applyFont="1" applyAlignment="1">
      <alignment horizontal="right" vertical="center" indent="1"/>
    </xf>
    <xf numFmtId="0" fontId="2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right" vertical="center" indent="1" readingOrder="2"/>
    </xf>
    <xf numFmtId="3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top" wrapText="1"/>
    </xf>
    <xf numFmtId="3" fontId="6" fillId="0" borderId="0" xfId="0" applyNumberFormat="1" applyFont="1" applyAlignment="1">
      <alignment horizontal="center" vertical="center"/>
    </xf>
    <xf numFmtId="3" fontId="8" fillId="0" borderId="58" xfId="0" applyNumberFormat="1" applyFont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 wrapText="1" readingOrder="2"/>
    </xf>
    <xf numFmtId="3" fontId="2" fillId="0" borderId="0" xfId="0" applyNumberFormat="1" applyFont="1" applyAlignment="1">
      <alignment vertical="top" wrapText="1"/>
    </xf>
    <xf numFmtId="3" fontId="5" fillId="5" borderId="2" xfId="0" applyNumberFormat="1" applyFont="1" applyFill="1" applyBorder="1" applyAlignment="1">
      <alignment horizontal="center" vertical="center" wrapText="1" readingOrder="2"/>
    </xf>
    <xf numFmtId="3" fontId="2" fillId="0" borderId="0" xfId="0" applyNumberFormat="1" applyFont="1" applyAlignment="1">
      <alignment vertical="top"/>
    </xf>
    <xf numFmtId="3" fontId="6" fillId="0" borderId="0" xfId="1" applyNumberFormat="1" applyFont="1" applyBorder="1" applyAlignment="1">
      <alignment vertical="center"/>
    </xf>
    <xf numFmtId="3" fontId="6" fillId="0" borderId="58" xfId="1" applyNumberFormat="1" applyFont="1" applyBorder="1" applyAlignment="1">
      <alignment vertical="center"/>
    </xf>
    <xf numFmtId="3" fontId="5" fillId="7" borderId="2" xfId="0" applyNumberFormat="1" applyFont="1" applyFill="1" applyBorder="1" applyAlignment="1">
      <alignment horizontal="center" vertical="center" wrapText="1" readingOrder="2"/>
    </xf>
    <xf numFmtId="3" fontId="11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top" wrapText="1"/>
    </xf>
    <xf numFmtId="0" fontId="2" fillId="0" borderId="58" xfId="0" applyFont="1" applyBorder="1" applyAlignment="1">
      <alignment horizontal="right" vertical="center" readingOrder="2"/>
    </xf>
    <xf numFmtId="3" fontId="17" fillId="0" borderId="0" xfId="0" applyNumberFormat="1" applyFont="1" applyAlignment="1">
      <alignment horizontal="center" vertical="center"/>
    </xf>
    <xf numFmtId="9" fontId="8" fillId="9" borderId="2" xfId="0" applyNumberFormat="1" applyFont="1" applyFill="1" applyBorder="1" applyAlignment="1">
      <alignment horizontal="center" vertical="center" readingOrder="2"/>
    </xf>
    <xf numFmtId="9" fontId="10" fillId="9" borderId="2" xfId="0" applyNumberFormat="1" applyFont="1" applyFill="1" applyBorder="1" applyAlignment="1">
      <alignment horizontal="center" vertical="center" readingOrder="2"/>
    </xf>
    <xf numFmtId="9" fontId="23" fillId="13" borderId="2" xfId="3" applyFont="1" applyFill="1" applyBorder="1" applyAlignment="1">
      <alignment horizontal="center" vertical="center" readingOrder="2"/>
    </xf>
    <xf numFmtId="9" fontId="23" fillId="13" borderId="2" xfId="1" applyNumberFormat="1" applyFont="1" applyFill="1" applyBorder="1" applyAlignment="1">
      <alignment horizontal="center" vertical="center" readingOrder="2"/>
    </xf>
    <xf numFmtId="171" fontId="10" fillId="9" borderId="2" xfId="0" applyNumberFormat="1" applyFont="1" applyFill="1" applyBorder="1" applyAlignment="1">
      <alignment horizontal="center" vertical="center" readingOrder="2"/>
    </xf>
    <xf numFmtId="0" fontId="31" fillId="9" borderId="2" xfId="0" applyFont="1" applyFill="1" applyBorder="1" applyAlignment="1">
      <alignment horizontal="center" vertical="center"/>
    </xf>
    <xf numFmtId="0" fontId="4" fillId="0" borderId="60" xfId="4" applyFont="1" applyBorder="1" applyAlignment="1">
      <alignment vertical="center"/>
    </xf>
    <xf numFmtId="0" fontId="4" fillId="0" borderId="61" xfId="4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6" xfId="4" applyFont="1" applyBorder="1" applyAlignment="1">
      <alignment vertical="center"/>
    </xf>
    <xf numFmtId="0" fontId="4" fillId="0" borderId="62" xfId="4" applyFont="1" applyBorder="1" applyAlignment="1">
      <alignment vertical="center"/>
    </xf>
    <xf numFmtId="0" fontId="4" fillId="0" borderId="63" xfId="4" applyFont="1" applyBorder="1" applyAlignment="1">
      <alignment vertical="center"/>
    </xf>
    <xf numFmtId="0" fontId="10" fillId="14" borderId="2" xfId="0" applyFont="1" applyFill="1" applyBorder="1" applyAlignment="1">
      <alignment horizontal="center" vertical="center" textRotation="90" wrapText="1" readingOrder="2"/>
    </xf>
    <xf numFmtId="0" fontId="32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readingOrder="2"/>
    </xf>
    <xf numFmtId="0" fontId="8" fillId="15" borderId="2" xfId="0" applyFont="1" applyFill="1" applyBorder="1" applyAlignment="1">
      <alignment horizontal="center" vertical="center"/>
    </xf>
    <xf numFmtId="169" fontId="8" fillId="15" borderId="2" xfId="0" applyNumberFormat="1" applyFont="1" applyFill="1" applyBorder="1" applyAlignment="1">
      <alignment horizontal="right" vertical="center" wrapText="1" readingOrder="2"/>
    </xf>
    <xf numFmtId="171" fontId="25" fillId="15" borderId="2" xfId="3" applyNumberFormat="1" applyFont="1" applyFill="1" applyBorder="1" applyAlignment="1">
      <alignment horizontal="center" vertical="center"/>
    </xf>
    <xf numFmtId="172" fontId="25" fillId="15" borderId="2" xfId="1" applyNumberFormat="1" applyFont="1" applyFill="1" applyBorder="1" applyAlignment="1">
      <alignment horizontal="center" vertical="center"/>
    </xf>
    <xf numFmtId="172" fontId="5" fillId="0" borderId="32" xfId="1" applyNumberFormat="1" applyFont="1" applyBorder="1" applyAlignment="1">
      <alignment horizontal="center" vertical="center"/>
    </xf>
    <xf numFmtId="173" fontId="0" fillId="0" borderId="0" xfId="0" applyNumberFormat="1"/>
    <xf numFmtId="0" fontId="10" fillId="3" borderId="2" xfId="0" applyFont="1" applyFill="1" applyBorder="1" applyAlignment="1">
      <alignment horizontal="center" vertical="center" readingOrder="2"/>
    </xf>
    <xf numFmtId="0" fontId="10" fillId="3" borderId="2" xfId="0" applyFont="1" applyFill="1" applyBorder="1" applyAlignment="1">
      <alignment horizontal="center" vertical="center"/>
    </xf>
    <xf numFmtId="169" fontId="10" fillId="3" borderId="2" xfId="0" applyNumberFormat="1" applyFont="1" applyFill="1" applyBorder="1" applyAlignment="1">
      <alignment horizontal="right" vertical="center" wrapText="1" indent="1" readingOrder="2"/>
    </xf>
    <xf numFmtId="171" fontId="10" fillId="3" borderId="2" xfId="3" applyNumberFormat="1" applyFont="1" applyFill="1" applyBorder="1" applyAlignment="1">
      <alignment horizontal="center" vertical="center"/>
    </xf>
    <xf numFmtId="172" fontId="10" fillId="3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/>
    </xf>
    <xf numFmtId="169" fontId="5" fillId="2" borderId="2" xfId="0" applyNumberFormat="1" applyFont="1" applyFill="1" applyBorder="1" applyAlignment="1">
      <alignment horizontal="right" vertical="center" wrapText="1" indent="3" readingOrder="2"/>
    </xf>
    <xf numFmtId="171" fontId="5" fillId="2" borderId="2" xfId="3" applyNumberFormat="1" applyFont="1" applyFill="1" applyBorder="1" applyAlignment="1">
      <alignment horizontal="center" vertical="center"/>
    </xf>
    <xf numFmtId="172" fontId="5" fillId="2" borderId="2" xfId="1" applyNumberFormat="1" applyFont="1" applyFill="1" applyBorder="1" applyAlignment="1">
      <alignment horizontal="center" vertical="center"/>
    </xf>
    <xf numFmtId="0" fontId="34" fillId="0" borderId="0" xfId="0" applyFont="1"/>
    <xf numFmtId="0" fontId="4" fillId="0" borderId="2" xfId="0" applyFont="1" applyBorder="1" applyAlignment="1">
      <alignment horizontal="center" vertical="center" readingOrder="2"/>
    </xf>
    <xf numFmtId="0" fontId="35" fillId="16" borderId="2" xfId="0" applyFont="1" applyFill="1" applyBorder="1" applyAlignment="1">
      <alignment horizontal="center" vertical="center" wrapText="1"/>
    </xf>
    <xf numFmtId="0" fontId="35" fillId="16" borderId="2" xfId="0" applyFont="1" applyFill="1" applyBorder="1" applyAlignment="1">
      <alignment horizontal="right" vertical="center" wrapText="1" indent="5" readingOrder="2"/>
    </xf>
    <xf numFmtId="171" fontId="29" fillId="0" borderId="2" xfId="3" applyNumberFormat="1" applyFont="1" applyFill="1" applyBorder="1" applyAlignment="1">
      <alignment horizontal="center" vertical="center" wrapText="1"/>
    </xf>
    <xf numFmtId="172" fontId="4" fillId="0" borderId="2" xfId="1" applyNumberFormat="1" applyFont="1" applyBorder="1" applyAlignment="1">
      <alignment horizontal="center" vertical="center"/>
    </xf>
    <xf numFmtId="0" fontId="29" fillId="16" borderId="2" xfId="0" applyFont="1" applyFill="1" applyBorder="1" applyAlignment="1">
      <alignment horizontal="right" vertical="center" wrapText="1" indent="5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indent="7" readingOrder="2"/>
    </xf>
    <xf numFmtId="171" fontId="2" fillId="0" borderId="2" xfId="3" applyNumberFormat="1" applyFont="1" applyBorder="1" applyAlignment="1">
      <alignment horizontal="center" vertical="center"/>
    </xf>
    <xf numFmtId="172" fontId="2" fillId="0" borderId="2" xfId="1" applyNumberFormat="1" applyFont="1" applyBorder="1" applyAlignment="1">
      <alignment horizontal="center" vertical="center"/>
    </xf>
    <xf numFmtId="171" fontId="2" fillId="0" borderId="0" xfId="3" applyNumberFormat="1" applyFont="1" applyAlignment="1">
      <alignment horizontal="center" vertical="center"/>
    </xf>
    <xf numFmtId="171" fontId="22" fillId="2" borderId="2" xfId="3" applyNumberFormat="1" applyFont="1" applyFill="1" applyBorder="1" applyAlignment="1">
      <alignment horizontal="center" vertical="center"/>
    </xf>
    <xf numFmtId="172" fontId="22" fillId="2" borderId="2" xfId="1" applyNumberFormat="1" applyFont="1" applyFill="1" applyBorder="1" applyAlignment="1">
      <alignment horizontal="center" vertical="center"/>
    </xf>
    <xf numFmtId="172" fontId="34" fillId="0" borderId="0" xfId="0" applyNumberFormat="1" applyFont="1"/>
    <xf numFmtId="1" fontId="8" fillId="9" borderId="2" xfId="0" applyNumberFormat="1" applyFont="1" applyFill="1" applyBorder="1" applyAlignment="1">
      <alignment horizontal="center" vertical="center"/>
    </xf>
    <xf numFmtId="1" fontId="10" fillId="9" borderId="2" xfId="0" applyNumberFormat="1" applyFont="1" applyFill="1" applyBorder="1" applyAlignment="1">
      <alignment horizontal="center" vertical="center"/>
    </xf>
    <xf numFmtId="171" fontId="34" fillId="0" borderId="0" xfId="0" applyNumberFormat="1" applyFont="1"/>
    <xf numFmtId="171" fontId="26" fillId="9" borderId="2" xfId="3" applyNumberFormat="1" applyFont="1" applyFill="1" applyBorder="1" applyAlignment="1">
      <alignment horizontal="center" vertical="center"/>
    </xf>
    <xf numFmtId="171" fontId="25" fillId="9" borderId="2" xfId="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wrapText="1" indent="1" readingOrder="2"/>
    </xf>
    <xf numFmtId="0" fontId="5" fillId="0" borderId="0" xfId="0" applyFont="1" applyAlignment="1">
      <alignment horizontal="left" vertical="center" wrapText="1" readingOrder="2"/>
    </xf>
    <xf numFmtId="171" fontId="29" fillId="9" borderId="2" xfId="3" applyNumberFormat="1" applyFont="1" applyFill="1" applyBorder="1" applyAlignment="1">
      <alignment horizontal="center" vertical="center" wrapText="1"/>
    </xf>
    <xf numFmtId="171" fontId="2" fillId="9" borderId="2" xfId="3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right" vertical="center" wrapText="1" indent="5" readingOrder="2"/>
    </xf>
    <xf numFmtId="172" fontId="4" fillId="0" borderId="2" xfId="1" applyNumberFormat="1" applyFont="1" applyFill="1" applyBorder="1" applyAlignment="1">
      <alignment horizontal="center" vertical="center"/>
    </xf>
    <xf numFmtId="171" fontId="2" fillId="0" borderId="2" xfId="3" applyNumberFormat="1" applyFont="1" applyFill="1" applyBorder="1" applyAlignment="1">
      <alignment horizontal="center" vertical="center"/>
    </xf>
    <xf numFmtId="172" fontId="2" fillId="0" borderId="2" xfId="1" applyNumberFormat="1" applyFont="1" applyFill="1" applyBorder="1" applyAlignment="1">
      <alignment horizontal="center" vertical="center"/>
    </xf>
    <xf numFmtId="172" fontId="29" fillId="0" borderId="2" xfId="1" applyNumberFormat="1" applyFont="1" applyFill="1" applyBorder="1" applyAlignment="1">
      <alignment horizontal="center" vertical="center"/>
    </xf>
    <xf numFmtId="9" fontId="25" fillId="3" borderId="2" xfId="3" applyFont="1" applyFill="1" applyBorder="1" applyAlignment="1">
      <alignment horizontal="center" vertical="center" readingOrder="2"/>
    </xf>
    <xf numFmtId="9" fontId="14" fillId="2" borderId="2" xfId="3" applyFont="1" applyFill="1" applyBorder="1" applyAlignment="1">
      <alignment horizontal="center" vertical="center" readingOrder="2"/>
    </xf>
    <xf numFmtId="171" fontId="8" fillId="9" borderId="2" xfId="0" applyNumberFormat="1" applyFont="1" applyFill="1" applyBorder="1" applyAlignment="1">
      <alignment horizontal="center" vertical="center" readingOrder="2"/>
    </xf>
    <xf numFmtId="166" fontId="8" fillId="9" borderId="2" xfId="0" applyNumberFormat="1" applyFont="1" applyFill="1" applyBorder="1" applyAlignment="1">
      <alignment horizontal="right" vertical="center"/>
    </xf>
    <xf numFmtId="166" fontId="10" fillId="9" borderId="2" xfId="0" applyNumberFormat="1" applyFont="1" applyFill="1" applyBorder="1" applyAlignment="1">
      <alignment horizontal="right" vertical="center" wrapText="1" indent="4" readingOrder="2"/>
    </xf>
    <xf numFmtId="3" fontId="25" fillId="3" borderId="2" xfId="2" applyNumberFormat="1" applyFont="1" applyFill="1" applyBorder="1" applyAlignment="1">
      <alignment horizontal="center" vertical="center" readingOrder="2"/>
    </xf>
    <xf numFmtId="3" fontId="26" fillId="3" borderId="2" xfId="2" applyNumberFormat="1" applyFont="1" applyFill="1" applyBorder="1" applyAlignment="1">
      <alignment horizontal="center" vertical="center" readingOrder="2"/>
    </xf>
    <xf numFmtId="3" fontId="26" fillId="3" borderId="2" xfId="1" applyNumberFormat="1" applyFont="1" applyFill="1" applyBorder="1" applyAlignment="1">
      <alignment horizontal="center" vertical="center" readingOrder="2"/>
    </xf>
    <xf numFmtId="0" fontId="31" fillId="9" borderId="2" xfId="0" applyFont="1" applyFill="1" applyBorder="1" applyAlignment="1">
      <alignment horizontal="right" vertical="center" wrapText="1"/>
    </xf>
    <xf numFmtId="171" fontId="8" fillId="3" borderId="2" xfId="3" applyNumberFormat="1" applyFont="1" applyFill="1" applyBorder="1" applyAlignment="1">
      <alignment horizontal="center" vertical="center"/>
    </xf>
    <xf numFmtId="10" fontId="14" fillId="2" borderId="2" xfId="3" applyNumberFormat="1" applyFont="1" applyFill="1" applyBorder="1" applyAlignment="1">
      <alignment horizontal="center" vertical="center"/>
    </xf>
    <xf numFmtId="3" fontId="14" fillId="2" borderId="2" xfId="1" applyNumberFormat="1" applyFont="1" applyFill="1" applyBorder="1" applyAlignment="1">
      <alignment horizontal="center" vertical="center"/>
    </xf>
    <xf numFmtId="10" fontId="23" fillId="6" borderId="2" xfId="3" applyNumberFormat="1" applyFont="1" applyFill="1" applyBorder="1" applyAlignment="1">
      <alignment horizontal="center" vertical="center"/>
    </xf>
    <xf numFmtId="3" fontId="23" fillId="6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8" fillId="9" borderId="2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center" vertical="center"/>
    </xf>
    <xf numFmtId="3" fontId="15" fillId="2" borderId="2" xfId="1" applyNumberFormat="1" applyFont="1" applyFill="1" applyBorder="1" applyAlignment="1">
      <alignment horizontal="center" vertical="center"/>
    </xf>
    <xf numFmtId="10" fontId="24" fillId="6" borderId="2" xfId="3" applyNumberFormat="1" applyFont="1" applyFill="1" applyBorder="1" applyAlignment="1">
      <alignment horizontal="center" vertical="center"/>
    </xf>
    <xf numFmtId="3" fontId="24" fillId="6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31" fillId="9" borderId="2" xfId="2" applyNumberFormat="1" applyFont="1" applyFill="1" applyBorder="1" applyAlignment="1">
      <alignment horizontal="center" vertical="center" readingOrder="1"/>
    </xf>
    <xf numFmtId="171" fontId="8" fillId="3" borderId="2" xfId="3" applyNumberFormat="1" applyFont="1" applyFill="1" applyBorder="1" applyAlignment="1">
      <alignment horizontal="center" vertical="center" readingOrder="1"/>
    </xf>
    <xf numFmtId="3" fontId="8" fillId="9" borderId="2" xfId="0" applyNumberFormat="1" applyFont="1" applyFill="1" applyBorder="1" applyAlignment="1">
      <alignment horizontal="center" vertical="center" readingOrder="1"/>
    </xf>
    <xf numFmtId="171" fontId="25" fillId="9" borderId="2" xfId="3" applyNumberFormat="1" applyFont="1" applyFill="1" applyBorder="1" applyAlignment="1">
      <alignment horizontal="center" vertical="center" readingOrder="1"/>
    </xf>
    <xf numFmtId="1" fontId="8" fillId="9" borderId="2" xfId="0" applyNumberFormat="1" applyFont="1" applyFill="1" applyBorder="1" applyAlignment="1">
      <alignment horizontal="center" vertical="center" readingOrder="1"/>
    </xf>
    <xf numFmtId="3" fontId="10" fillId="9" borderId="2" xfId="0" applyNumberFormat="1" applyFont="1" applyFill="1" applyBorder="1" applyAlignment="1">
      <alignment horizontal="center" vertical="center" readingOrder="1"/>
    </xf>
    <xf numFmtId="171" fontId="26" fillId="9" borderId="2" xfId="3" applyNumberFormat="1" applyFont="1" applyFill="1" applyBorder="1" applyAlignment="1">
      <alignment horizontal="center" vertical="center" readingOrder="1"/>
    </xf>
    <xf numFmtId="1" fontId="10" fillId="9" borderId="2" xfId="0" applyNumberFormat="1" applyFont="1" applyFill="1" applyBorder="1" applyAlignment="1">
      <alignment horizontal="center" vertical="center" readingOrder="1"/>
    </xf>
    <xf numFmtId="171" fontId="10" fillId="3" borderId="2" xfId="3" applyNumberFormat="1" applyFont="1" applyFill="1" applyBorder="1" applyAlignment="1">
      <alignment horizontal="center" vertical="center" readingOrder="1"/>
    </xf>
    <xf numFmtId="171" fontId="38" fillId="9" borderId="2" xfId="3" applyNumberFormat="1" applyFont="1" applyFill="1" applyBorder="1" applyAlignment="1">
      <alignment horizontal="center" vertical="center" readingOrder="1"/>
    </xf>
    <xf numFmtId="10" fontId="40" fillId="2" borderId="2" xfId="3" applyNumberFormat="1" applyFont="1" applyFill="1" applyBorder="1" applyAlignment="1">
      <alignment horizontal="center" vertical="center"/>
    </xf>
    <xf numFmtId="3" fontId="40" fillId="2" borderId="2" xfId="1" applyNumberFormat="1" applyFont="1" applyFill="1" applyBorder="1" applyAlignment="1">
      <alignment horizontal="center" vertical="center"/>
    </xf>
    <xf numFmtId="10" fontId="41" fillId="6" borderId="2" xfId="3" applyNumberFormat="1" applyFont="1" applyFill="1" applyBorder="1" applyAlignment="1">
      <alignment horizontal="center" vertical="center"/>
    </xf>
    <xf numFmtId="3" fontId="41" fillId="6" borderId="2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" fontId="31" fillId="9" borderId="2" xfId="0" applyNumberFormat="1" applyFont="1" applyFill="1" applyBorder="1" applyAlignment="1">
      <alignment horizontal="center" vertical="center" readingOrder="1"/>
    </xf>
    <xf numFmtId="3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1" fontId="25" fillId="3" borderId="2" xfId="3" applyNumberFormat="1" applyFont="1" applyFill="1" applyBorder="1" applyAlignment="1">
      <alignment horizontal="center" vertical="center" readingOrder="2"/>
    </xf>
    <xf numFmtId="171" fontId="26" fillId="3" borderId="2" xfId="2" applyNumberFormat="1" applyFont="1" applyFill="1" applyBorder="1" applyAlignment="1">
      <alignment horizontal="center" vertical="center" readingOrder="2"/>
    </xf>
    <xf numFmtId="171" fontId="26" fillId="3" borderId="2" xfId="1" applyNumberFormat="1" applyFont="1" applyFill="1" applyBorder="1" applyAlignment="1">
      <alignment horizontal="center" vertical="center" readingOrder="2"/>
    </xf>
    <xf numFmtId="0" fontId="8" fillId="9" borderId="2" xfId="0" applyFont="1" applyFill="1" applyBorder="1" applyAlignment="1">
      <alignment horizontal="right" vertical="center" wrapText="1" indent="1"/>
    </xf>
    <xf numFmtId="0" fontId="10" fillId="9" borderId="2" xfId="0" applyFont="1" applyFill="1" applyBorder="1" applyAlignment="1">
      <alignment horizontal="right" vertical="center" wrapText="1" indent="2"/>
    </xf>
    <xf numFmtId="0" fontId="42" fillId="9" borderId="2" xfId="0" applyFont="1" applyFill="1" applyBorder="1" applyAlignment="1">
      <alignment horizontal="center" vertical="center"/>
    </xf>
    <xf numFmtId="0" fontId="42" fillId="9" borderId="2" xfId="0" applyFont="1" applyFill="1" applyBorder="1" applyAlignment="1">
      <alignment horizontal="right" vertical="center" wrapText="1" indent="3"/>
    </xf>
    <xf numFmtId="3" fontId="42" fillId="9" borderId="2" xfId="0" applyNumberFormat="1" applyFont="1" applyFill="1" applyBorder="1" applyAlignment="1">
      <alignment horizontal="center" vertical="center" readingOrder="1"/>
    </xf>
    <xf numFmtId="171" fontId="43" fillId="9" borderId="2" xfId="3" applyNumberFormat="1" applyFont="1" applyFill="1" applyBorder="1" applyAlignment="1">
      <alignment horizontal="center" vertical="center" readingOrder="1"/>
    </xf>
    <xf numFmtId="1" fontId="42" fillId="9" borderId="2" xfId="0" applyNumberFormat="1" applyFont="1" applyFill="1" applyBorder="1" applyAlignment="1">
      <alignment horizontal="center" vertical="center" readingOrder="1"/>
    </xf>
    <xf numFmtId="171" fontId="42" fillId="3" borderId="2" xfId="3" applyNumberFormat="1" applyFont="1" applyFill="1" applyBorder="1" applyAlignment="1">
      <alignment horizontal="center" vertical="center" readingOrder="1"/>
    </xf>
    <xf numFmtId="3" fontId="42" fillId="3" borderId="2" xfId="5" applyNumberFormat="1" applyFont="1" applyFill="1" applyBorder="1" applyAlignment="1">
      <alignment horizontal="center" vertical="center" readingOrder="1"/>
    </xf>
    <xf numFmtId="3" fontId="44" fillId="2" borderId="2" xfId="1" applyNumberFormat="1" applyFont="1" applyFill="1" applyBorder="1" applyAlignment="1">
      <alignment horizontal="center" vertical="center"/>
    </xf>
    <xf numFmtId="10" fontId="45" fillId="6" borderId="2" xfId="3" applyNumberFormat="1" applyFont="1" applyFill="1" applyBorder="1" applyAlignment="1">
      <alignment horizontal="center" vertical="center"/>
    </xf>
    <xf numFmtId="3" fontId="45" fillId="6" borderId="2" xfId="0" applyNumberFormat="1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3" fontId="10" fillId="3" borderId="2" xfId="5" applyNumberFormat="1" applyFont="1" applyFill="1" applyBorder="1" applyAlignment="1">
      <alignment horizontal="center" vertical="center" readingOrder="1"/>
    </xf>
    <xf numFmtId="0" fontId="4" fillId="9" borderId="2" xfId="0" applyFont="1" applyFill="1" applyBorder="1" applyAlignment="1">
      <alignment horizontal="right" vertical="center" wrapText="1" indent="5"/>
    </xf>
    <xf numFmtId="3" fontId="46" fillId="9" borderId="2" xfId="0" applyNumberFormat="1" applyFont="1" applyFill="1" applyBorder="1" applyAlignment="1">
      <alignment horizontal="center" vertical="center" readingOrder="1"/>
    </xf>
    <xf numFmtId="171" fontId="47" fillId="9" borderId="2" xfId="3" applyNumberFormat="1" applyFont="1" applyFill="1" applyBorder="1" applyAlignment="1">
      <alignment horizontal="center" vertical="center" readingOrder="1"/>
    </xf>
    <xf numFmtId="1" fontId="46" fillId="9" borderId="2" xfId="0" applyNumberFormat="1" applyFont="1" applyFill="1" applyBorder="1" applyAlignment="1">
      <alignment horizontal="center" vertical="center" readingOrder="1"/>
    </xf>
    <xf numFmtId="0" fontId="46" fillId="0" borderId="2" xfId="0" applyFont="1" applyBorder="1" applyAlignment="1">
      <alignment horizontal="center" vertical="center"/>
    </xf>
    <xf numFmtId="174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31" fillId="3" borderId="2" xfId="3" applyFont="1" applyFill="1" applyBorder="1" applyAlignment="1">
      <alignment horizontal="center" vertical="center" readingOrder="1"/>
    </xf>
    <xf numFmtId="9" fontId="8" fillId="3" borderId="2" xfId="3" applyFont="1" applyFill="1" applyBorder="1" applyAlignment="1">
      <alignment horizontal="center" vertical="center" readingOrder="1"/>
    </xf>
    <xf numFmtId="9" fontId="10" fillId="3" borderId="2" xfId="3" applyFont="1" applyFill="1" applyBorder="1" applyAlignment="1">
      <alignment horizontal="center" vertical="center" readingOrder="1"/>
    </xf>
    <xf numFmtId="9" fontId="8" fillId="3" borderId="2" xfId="3" applyFont="1" applyFill="1" applyBorder="1" applyAlignment="1">
      <alignment horizontal="center" vertical="center"/>
    </xf>
    <xf numFmtId="3" fontId="8" fillId="3" borderId="2" xfId="5" applyNumberFormat="1" applyFont="1" applyFill="1" applyBorder="1" applyAlignment="1">
      <alignment horizontal="center" vertical="center" readingOrder="1"/>
    </xf>
    <xf numFmtId="3" fontId="8" fillId="3" borderId="2" xfId="5" applyNumberFormat="1" applyFont="1" applyFill="1" applyBorder="1" applyAlignment="1">
      <alignment horizontal="center" vertical="center"/>
    </xf>
    <xf numFmtId="3" fontId="10" fillId="3" borderId="2" xfId="5" applyNumberFormat="1" applyFont="1" applyFill="1" applyBorder="1" applyAlignment="1">
      <alignment horizontal="center" vertical="center"/>
    </xf>
    <xf numFmtId="0" fontId="49" fillId="9" borderId="2" xfId="0" applyFont="1" applyFill="1" applyBorder="1" applyAlignment="1">
      <alignment horizontal="center" vertical="center" readingOrder="2"/>
    </xf>
    <xf numFmtId="0" fontId="52" fillId="0" borderId="0" xfId="0" applyFont="1" applyAlignment="1">
      <alignment horizontal="center" vertical="center"/>
    </xf>
    <xf numFmtId="167" fontId="49" fillId="3" borderId="2" xfId="2" applyNumberFormat="1" applyFont="1" applyFill="1" applyBorder="1" applyAlignment="1">
      <alignment horizontal="center" vertical="center" readingOrder="1"/>
    </xf>
    <xf numFmtId="167" fontId="50" fillId="2" borderId="2" xfId="2" applyNumberFormat="1" applyFont="1" applyFill="1" applyBorder="1" applyAlignment="1">
      <alignment horizontal="center" vertical="center" readingOrder="1"/>
    </xf>
    <xf numFmtId="167" fontId="51" fillId="6" borderId="2" xfId="2" applyNumberFormat="1" applyFont="1" applyFill="1" applyBorder="1" applyAlignment="1">
      <alignment horizontal="center" vertical="center" readingOrder="1"/>
    </xf>
    <xf numFmtId="167" fontId="8" fillId="3" borderId="2" xfId="2" applyNumberFormat="1" applyFont="1" applyFill="1" applyBorder="1" applyAlignment="1">
      <alignment horizontal="center" vertical="center" readingOrder="1"/>
    </xf>
    <xf numFmtId="167" fontId="14" fillId="2" borderId="2" xfId="2" applyNumberFormat="1" applyFont="1" applyFill="1" applyBorder="1" applyAlignment="1">
      <alignment horizontal="center" vertical="center" readingOrder="1"/>
    </xf>
    <xf numFmtId="167" fontId="23" fillId="6" borderId="2" xfId="2" applyNumberFormat="1" applyFont="1" applyFill="1" applyBorder="1" applyAlignment="1">
      <alignment horizontal="center" vertical="center" readingOrder="1"/>
    </xf>
    <xf numFmtId="167" fontId="10" fillId="3" borderId="2" xfId="1" applyNumberFormat="1" applyFont="1" applyFill="1" applyBorder="1" applyAlignment="1">
      <alignment horizontal="center" vertical="center" readingOrder="1"/>
    </xf>
    <xf numFmtId="167" fontId="15" fillId="2" borderId="2" xfId="1" applyNumberFormat="1" applyFont="1" applyFill="1" applyBorder="1" applyAlignment="1">
      <alignment horizontal="center" vertical="center" readingOrder="1"/>
    </xf>
    <xf numFmtId="167" fontId="24" fillId="6" borderId="2" xfId="1" applyNumberFormat="1" applyFont="1" applyFill="1" applyBorder="1" applyAlignment="1">
      <alignment horizontal="center" vertical="center" readingOrder="1"/>
    </xf>
    <xf numFmtId="164" fontId="42" fillId="0" borderId="0" xfId="0" applyNumberFormat="1" applyFont="1" applyAlignment="1">
      <alignment horizontal="center" vertical="center"/>
    </xf>
    <xf numFmtId="171" fontId="14" fillId="2" borderId="2" xfId="3" applyNumberFormat="1" applyFont="1" applyFill="1" applyBorder="1" applyAlignment="1">
      <alignment horizontal="center" vertical="center"/>
    </xf>
    <xf numFmtId="171" fontId="15" fillId="2" borderId="2" xfId="3" applyNumberFormat="1" applyFont="1" applyFill="1" applyBorder="1" applyAlignment="1">
      <alignment horizontal="center" vertical="center"/>
    </xf>
    <xf numFmtId="3" fontId="15" fillId="2" borderId="2" xfId="2" applyNumberFormat="1" applyFont="1" applyFill="1" applyBorder="1" applyAlignment="1">
      <alignment horizontal="center" vertical="center"/>
    </xf>
    <xf numFmtId="171" fontId="44" fillId="2" borderId="2" xfId="3" applyNumberFormat="1" applyFont="1" applyFill="1" applyBorder="1" applyAlignment="1">
      <alignment horizontal="center" vertical="center"/>
    </xf>
    <xf numFmtId="165" fontId="42" fillId="0" borderId="0" xfId="2" applyFont="1" applyFill="1" applyAlignment="1">
      <alignment horizontal="center" vertical="center"/>
    </xf>
    <xf numFmtId="167" fontId="8" fillId="3" borderId="2" xfId="1" applyNumberFormat="1" applyFont="1" applyFill="1" applyBorder="1" applyAlignment="1">
      <alignment horizontal="center" vertical="center" readingOrder="1"/>
    </xf>
    <xf numFmtId="0" fontId="25" fillId="9" borderId="2" xfId="0" applyFont="1" applyFill="1" applyBorder="1" applyAlignment="1">
      <alignment horizontal="right" vertical="center" wrapText="1" indent="1"/>
    </xf>
    <xf numFmtId="171" fontId="58" fillId="9" borderId="2" xfId="3" applyNumberFormat="1" applyFont="1" applyFill="1" applyBorder="1" applyAlignment="1">
      <alignment horizontal="center" vertical="center" readingOrder="1"/>
    </xf>
    <xf numFmtId="3" fontId="14" fillId="2" borderId="2" xfId="2" applyNumberFormat="1" applyFont="1" applyFill="1" applyBorder="1" applyAlignment="1">
      <alignment horizontal="center" vertical="center" readingOrder="2"/>
    </xf>
    <xf numFmtId="171" fontId="15" fillId="2" borderId="2" xfId="2" applyNumberFormat="1" applyFont="1" applyFill="1" applyBorder="1" applyAlignment="1">
      <alignment horizontal="center" vertical="center" readingOrder="2"/>
    </xf>
    <xf numFmtId="3" fontId="15" fillId="2" borderId="2" xfId="2" applyNumberFormat="1" applyFont="1" applyFill="1" applyBorder="1" applyAlignment="1">
      <alignment horizontal="center" vertical="center" readingOrder="2"/>
    </xf>
    <xf numFmtId="175" fontId="14" fillId="2" borderId="2" xfId="3" applyNumberFormat="1" applyFont="1" applyFill="1" applyBorder="1" applyAlignment="1">
      <alignment horizontal="center" vertical="center" readingOrder="2"/>
    </xf>
    <xf numFmtId="0" fontId="2" fillId="0" borderId="0" xfId="15" applyFont="1" applyAlignment="1">
      <alignment horizontal="center" vertical="center" readingOrder="2"/>
    </xf>
    <xf numFmtId="0" fontId="6" fillId="0" borderId="0" xfId="15" applyFont="1" applyAlignment="1">
      <alignment horizontal="center" vertical="center" readingOrder="2"/>
    </xf>
    <xf numFmtId="0" fontId="64" fillId="0" borderId="102" xfId="15" applyFont="1" applyBorder="1" applyAlignment="1">
      <alignment horizontal="center" vertical="center" wrapText="1" readingOrder="2"/>
    </xf>
    <xf numFmtId="0" fontId="6" fillId="0" borderId="0" xfId="15" applyFont="1" applyAlignment="1">
      <alignment horizontal="center" vertical="center" wrapText="1" readingOrder="2"/>
    </xf>
    <xf numFmtId="0" fontId="6" fillId="0" borderId="116" xfId="15" applyFont="1" applyBorder="1" applyAlignment="1">
      <alignment horizontal="center" vertical="center" readingOrder="2"/>
    </xf>
    <xf numFmtId="0" fontId="66" fillId="0" borderId="0" xfId="15" applyFont="1" applyAlignment="1">
      <alignment horizontal="right" vertical="center" readingOrder="2"/>
    </xf>
    <xf numFmtId="0" fontId="6" fillId="0" borderId="0" xfId="15" applyFont="1" applyAlignment="1">
      <alignment horizontal="right" vertical="center" readingOrder="2"/>
    </xf>
    <xf numFmtId="0" fontId="6" fillId="0" borderId="125" xfId="15" applyFont="1" applyBorder="1" applyAlignment="1">
      <alignment horizontal="center" vertical="center" readingOrder="2"/>
    </xf>
    <xf numFmtId="0" fontId="2" fillId="0" borderId="0" xfId="15" applyFont="1" applyAlignment="1">
      <alignment horizontal="right" vertical="center" readingOrder="2"/>
    </xf>
    <xf numFmtId="178" fontId="53" fillId="10" borderId="0" xfId="16" applyNumberFormat="1" applyFont="1" applyFill="1" applyAlignment="1">
      <alignment horizontal="center" vertical="center" readingOrder="2"/>
    </xf>
    <xf numFmtId="0" fontId="67" fillId="10" borderId="0" xfId="15" applyFont="1" applyFill="1" applyAlignment="1">
      <alignment horizontal="center" vertical="center" wrapText="1" readingOrder="2"/>
    </xf>
    <xf numFmtId="3" fontId="2" fillId="0" borderId="0" xfId="15" applyNumberFormat="1" applyFont="1" applyAlignment="1">
      <alignment horizontal="center" vertical="center" readingOrder="2"/>
    </xf>
    <xf numFmtId="3" fontId="6" fillId="0" borderId="0" xfId="15" applyNumberFormat="1" applyFont="1" applyAlignment="1">
      <alignment horizontal="center" vertical="center"/>
    </xf>
    <xf numFmtId="3" fontId="53" fillId="0" borderId="0" xfId="15" applyNumberFormat="1" applyFont="1" applyAlignment="1">
      <alignment horizontal="center" vertical="center" readingOrder="2"/>
    </xf>
    <xf numFmtId="0" fontId="6" fillId="0" borderId="139" xfId="15" applyFont="1" applyBorder="1" applyAlignment="1">
      <alignment horizontal="center" vertical="center" readingOrder="2"/>
    </xf>
    <xf numFmtId="3" fontId="21" fillId="0" borderId="0" xfId="15" applyNumberFormat="1" applyFont="1" applyAlignment="1">
      <alignment horizontal="center" vertical="center" readingOrder="2"/>
    </xf>
    <xf numFmtId="3" fontId="68" fillId="0" borderId="0" xfId="15" applyNumberFormat="1" applyFont="1" applyAlignment="1">
      <alignment horizontal="center" vertical="center" readingOrder="2"/>
    </xf>
    <xf numFmtId="3" fontId="6" fillId="0" borderId="0" xfId="15" applyNumberFormat="1" applyFont="1" applyAlignment="1">
      <alignment horizontal="center" vertical="center" readingOrder="2"/>
    </xf>
    <xf numFmtId="3" fontId="63" fillId="0" borderId="0" xfId="15" applyNumberFormat="1" applyFont="1" applyAlignment="1">
      <alignment horizontal="center" vertical="center" readingOrder="2"/>
    </xf>
    <xf numFmtId="3" fontId="69" fillId="0" borderId="0" xfId="15" applyNumberFormat="1" applyFont="1" applyAlignment="1">
      <alignment horizontal="center" vertical="center" readingOrder="2"/>
    </xf>
    <xf numFmtId="0" fontId="63" fillId="0" borderId="0" xfId="15" applyFont="1" applyAlignment="1">
      <alignment horizontal="center" vertical="center" readingOrder="2"/>
    </xf>
    <xf numFmtId="3" fontId="6" fillId="0" borderId="0" xfId="15" applyNumberFormat="1" applyFont="1" applyAlignment="1">
      <alignment horizontal="center" vertical="center" wrapText="1" readingOrder="2"/>
    </xf>
    <xf numFmtId="167" fontId="25" fillId="3" borderId="2" xfId="2" applyNumberFormat="1" applyFont="1" applyFill="1" applyBorder="1" applyAlignment="1">
      <alignment horizontal="center" vertical="center" readingOrder="1"/>
    </xf>
    <xf numFmtId="1" fontId="46" fillId="9" borderId="2" xfId="0" applyNumberFormat="1" applyFont="1" applyFill="1" applyBorder="1" applyAlignment="1">
      <alignment horizontal="center" vertical="center" readingOrder="2"/>
    </xf>
    <xf numFmtId="177" fontId="6" fillId="17" borderId="222" xfId="15" applyNumberFormat="1" applyFont="1" applyFill="1" applyBorder="1" applyAlignment="1">
      <alignment vertical="center" readingOrder="2"/>
    </xf>
    <xf numFmtId="177" fontId="6" fillId="17" borderId="223" xfId="15" applyNumberFormat="1" applyFont="1" applyFill="1" applyBorder="1" applyAlignment="1">
      <alignment vertical="center" readingOrder="2"/>
    </xf>
    <xf numFmtId="177" fontId="63" fillId="2" borderId="127" xfId="15" applyNumberFormat="1" applyFont="1" applyFill="1" applyBorder="1" applyAlignment="1">
      <alignment vertical="center" readingOrder="2"/>
    </xf>
    <xf numFmtId="3" fontId="63" fillId="0" borderId="187" xfId="15" applyNumberFormat="1" applyFont="1" applyBorder="1" applyAlignment="1">
      <alignment vertical="center" readingOrder="2"/>
    </xf>
    <xf numFmtId="177" fontId="63" fillId="19" borderId="224" xfId="15" applyNumberFormat="1" applyFont="1" applyFill="1" applyBorder="1" applyAlignment="1">
      <alignment vertical="center" readingOrder="2"/>
    </xf>
    <xf numFmtId="177" fontId="63" fillId="19" borderId="127" xfId="15" applyNumberFormat="1" applyFont="1" applyFill="1" applyBorder="1" applyAlignment="1">
      <alignment vertical="center" readingOrder="2"/>
    </xf>
    <xf numFmtId="177" fontId="63" fillId="19" borderId="158" xfId="15" applyNumberFormat="1" applyFont="1" applyFill="1" applyBorder="1" applyAlignment="1">
      <alignment vertical="center" readingOrder="2"/>
    </xf>
    <xf numFmtId="0" fontId="42" fillId="9" borderId="2" xfId="0" applyFont="1" applyFill="1" applyBorder="1" applyAlignment="1">
      <alignment vertical="center" wrapText="1"/>
    </xf>
    <xf numFmtId="0" fontId="63" fillId="0" borderId="0" xfId="0" applyFont="1" applyAlignment="1">
      <alignment horizontal="right" vertical="center" indent="1" readingOrder="2"/>
    </xf>
    <xf numFmtId="0" fontId="22" fillId="4" borderId="2" xfId="0" applyFont="1" applyFill="1" applyBorder="1" applyAlignment="1">
      <alignment horizontal="center" vertical="center" wrapText="1" readingOrder="2"/>
    </xf>
    <xf numFmtId="10" fontId="38" fillId="3" borderId="2" xfId="3" applyNumberFormat="1" applyFont="1" applyFill="1" applyBorder="1" applyAlignment="1">
      <alignment horizontal="center" vertical="center"/>
    </xf>
    <xf numFmtId="10" fontId="43" fillId="3" borderId="2" xfId="3" applyNumberFormat="1" applyFont="1" applyFill="1" applyBorder="1" applyAlignment="1">
      <alignment horizontal="center" vertical="center"/>
    </xf>
    <xf numFmtId="0" fontId="43" fillId="3" borderId="2" xfId="3" applyNumberFormat="1" applyFont="1" applyFill="1" applyBorder="1" applyAlignment="1">
      <alignment horizontal="center" vertical="center"/>
    </xf>
    <xf numFmtId="3" fontId="38" fillId="3" borderId="2" xfId="1" applyNumberFormat="1" applyFont="1" applyFill="1" applyBorder="1" applyAlignment="1">
      <alignment horizontal="center" vertical="center"/>
    </xf>
    <xf numFmtId="3" fontId="43" fillId="3" borderId="2" xfId="1" applyNumberFormat="1" applyFont="1" applyFill="1" applyBorder="1" applyAlignment="1">
      <alignment horizontal="center" vertical="center"/>
    </xf>
    <xf numFmtId="3" fontId="95" fillId="3" borderId="0" xfId="0" applyNumberFormat="1" applyFont="1" applyFill="1" applyAlignment="1">
      <alignment horizontal="center" vertical="center"/>
    </xf>
    <xf numFmtId="9" fontId="10" fillId="3" borderId="219" xfId="3" applyFont="1" applyFill="1" applyBorder="1" applyAlignment="1">
      <alignment horizontal="center" vertical="center"/>
    </xf>
    <xf numFmtId="9" fontId="10" fillId="3" borderId="215" xfId="3" applyFont="1" applyFill="1" applyBorder="1" applyAlignment="1">
      <alignment horizontal="center" vertical="center" readingOrder="1"/>
    </xf>
    <xf numFmtId="9" fontId="42" fillId="3" borderId="2" xfId="3" applyFont="1" applyFill="1" applyBorder="1" applyAlignment="1">
      <alignment horizontal="center" vertical="center" readingOrder="1"/>
    </xf>
    <xf numFmtId="10" fontId="30" fillId="2" borderId="2" xfId="14" applyNumberFormat="1" applyFont="1" applyFill="1" applyBorder="1" applyAlignment="1">
      <alignment horizontal="center" vertical="center"/>
    </xf>
    <xf numFmtId="9" fontId="4" fillId="3" borderId="2" xfId="3" applyFont="1" applyFill="1" applyBorder="1" applyAlignment="1">
      <alignment horizontal="center" vertical="center" readingOrder="1"/>
    </xf>
    <xf numFmtId="9" fontId="46" fillId="3" borderId="2" xfId="3" applyFont="1" applyFill="1" applyBorder="1" applyAlignment="1">
      <alignment horizontal="center" vertical="center" readingOrder="1"/>
    </xf>
    <xf numFmtId="9" fontId="26" fillId="3" borderId="2" xfId="2" applyNumberFormat="1" applyFont="1" applyFill="1" applyBorder="1" applyAlignment="1">
      <alignment horizontal="center" vertical="center" readingOrder="2"/>
    </xf>
    <xf numFmtId="177" fontId="2" fillId="0" borderId="0" xfId="15" applyNumberFormat="1" applyFont="1" applyAlignment="1">
      <alignment horizontal="center" vertical="center" readingOrder="2"/>
    </xf>
    <xf numFmtId="167" fontId="8" fillId="5" borderId="2" xfId="1" applyNumberFormat="1" applyFont="1" applyFill="1" applyBorder="1" applyAlignment="1">
      <alignment horizontal="center" vertical="center" readingOrder="2"/>
    </xf>
    <xf numFmtId="167" fontId="8" fillId="7" borderId="2" xfId="1" applyNumberFormat="1" applyFont="1" applyFill="1" applyBorder="1" applyAlignment="1">
      <alignment horizontal="center" vertical="center" wrapText="1" readingOrder="2"/>
    </xf>
    <xf numFmtId="3" fontId="22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top" wrapText="1"/>
    </xf>
    <xf numFmtId="3" fontId="94" fillId="0" borderId="0" xfId="0" applyNumberFormat="1" applyFont="1" applyAlignment="1">
      <alignment horizontal="center" vertical="center"/>
    </xf>
    <xf numFmtId="3" fontId="25" fillId="0" borderId="58" xfId="0" applyNumberFormat="1" applyFont="1" applyBorder="1" applyAlignment="1">
      <alignment horizontal="center" vertical="center"/>
    </xf>
    <xf numFmtId="169" fontId="8" fillId="4" borderId="222" xfId="1" applyNumberFormat="1" applyFont="1" applyFill="1" applyBorder="1" applyAlignment="1">
      <alignment vertical="center" wrapText="1" readingOrder="2"/>
    </xf>
    <xf numFmtId="169" fontId="8" fillId="4" borderId="221" xfId="1" applyNumberFormat="1" applyFont="1" applyFill="1" applyBorder="1" applyAlignment="1">
      <alignment vertical="center" wrapText="1" readingOrder="2"/>
    </xf>
    <xf numFmtId="0" fontId="42" fillId="10" borderId="0" xfId="0" applyFont="1" applyFill="1" applyAlignment="1">
      <alignment horizontal="center" vertical="center"/>
    </xf>
    <xf numFmtId="3" fontId="42" fillId="10" borderId="0" xfId="0" applyNumberFormat="1" applyFont="1" applyFill="1" applyAlignment="1">
      <alignment horizontal="center" vertical="center"/>
    </xf>
    <xf numFmtId="171" fontId="22" fillId="9" borderId="2" xfId="3" applyNumberFormat="1" applyFont="1" applyFill="1" applyBorder="1" applyAlignment="1">
      <alignment horizontal="center" vertical="center" readingOrder="1"/>
    </xf>
    <xf numFmtId="166" fontId="10" fillId="0" borderId="0" xfId="0" applyNumberFormat="1" applyFont="1" applyAlignment="1">
      <alignment vertical="top"/>
    </xf>
    <xf numFmtId="169" fontId="96" fillId="0" borderId="0" xfId="1" applyNumberFormat="1" applyFont="1" applyAlignment="1">
      <alignment horizontal="center" vertical="center"/>
    </xf>
    <xf numFmtId="178" fontId="17" fillId="0" borderId="0" xfId="1" applyNumberFormat="1" applyFont="1" applyAlignment="1">
      <alignment horizontal="center" vertical="center"/>
    </xf>
    <xf numFmtId="10" fontId="44" fillId="2" borderId="219" xfId="14" applyNumberFormat="1" applyFont="1" applyFill="1" applyBorder="1" applyAlignment="1">
      <alignment horizontal="center" vertical="center"/>
    </xf>
    <xf numFmtId="9" fontId="15" fillId="2" borderId="219" xfId="3" applyFont="1" applyFill="1" applyBorder="1" applyAlignment="1">
      <alignment horizontal="center" vertical="center"/>
    </xf>
    <xf numFmtId="10" fontId="15" fillId="2" borderId="219" xfId="3" applyNumberFormat="1" applyFont="1" applyFill="1" applyBorder="1" applyAlignment="1">
      <alignment horizontal="center" vertical="center"/>
    </xf>
    <xf numFmtId="10" fontId="14" fillId="2" borderId="219" xfId="3" applyNumberFormat="1" applyFont="1" applyFill="1" applyBorder="1" applyAlignment="1">
      <alignment horizontal="center" vertical="center"/>
    </xf>
    <xf numFmtId="171" fontId="14" fillId="2" borderId="219" xfId="3" applyNumberFormat="1" applyFont="1" applyFill="1" applyBorder="1" applyAlignment="1">
      <alignment horizontal="center" vertical="center"/>
    </xf>
    <xf numFmtId="3" fontId="14" fillId="2" borderId="219" xfId="1" applyNumberFormat="1" applyFont="1" applyFill="1" applyBorder="1" applyAlignment="1">
      <alignment horizontal="center" vertical="center"/>
    </xf>
    <xf numFmtId="171" fontId="15" fillId="2" borderId="219" xfId="3" applyNumberFormat="1" applyFont="1" applyFill="1" applyBorder="1" applyAlignment="1">
      <alignment horizontal="center" vertical="center"/>
    </xf>
    <xf numFmtId="3" fontId="15" fillId="2" borderId="219" xfId="1" applyNumberFormat="1" applyFont="1" applyFill="1" applyBorder="1" applyAlignment="1">
      <alignment horizontal="center" vertical="center"/>
    </xf>
    <xf numFmtId="9" fontId="15" fillId="10" borderId="219" xfId="3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right" vertical="center" wrapText="1" indent="1"/>
    </xf>
    <xf numFmtId="3" fontId="8" fillId="14" borderId="2" xfId="0" applyNumberFormat="1" applyFont="1" applyFill="1" applyBorder="1" applyAlignment="1">
      <alignment horizontal="center" vertical="center" readingOrder="1"/>
    </xf>
    <xf numFmtId="171" fontId="25" fillId="14" borderId="2" xfId="3" applyNumberFormat="1" applyFont="1" applyFill="1" applyBorder="1" applyAlignment="1">
      <alignment horizontal="center" vertical="center" readingOrder="1"/>
    </xf>
    <xf numFmtId="1" fontId="8" fillId="14" borderId="2" xfId="0" applyNumberFormat="1" applyFont="1" applyFill="1" applyBorder="1" applyAlignment="1">
      <alignment horizontal="center" vertical="center" readingOrder="1"/>
    </xf>
    <xf numFmtId="9" fontId="8" fillId="14" borderId="2" xfId="3" applyFont="1" applyFill="1" applyBorder="1" applyAlignment="1">
      <alignment horizontal="center" vertical="center" readingOrder="1"/>
    </xf>
    <xf numFmtId="171" fontId="43" fillId="14" borderId="2" xfId="3" applyNumberFormat="1" applyFont="1" applyFill="1" applyBorder="1" applyAlignment="1">
      <alignment horizontal="center" vertical="center"/>
    </xf>
    <xf numFmtId="9" fontId="10" fillId="14" borderId="2" xfId="3" applyFont="1" applyFill="1" applyBorder="1" applyAlignment="1">
      <alignment horizontal="center" vertical="center" readingOrder="1"/>
    </xf>
    <xf numFmtId="171" fontId="44" fillId="14" borderId="2" xfId="3" applyNumberFormat="1" applyFont="1" applyFill="1" applyBorder="1" applyAlignment="1">
      <alignment horizontal="center" vertical="center"/>
    </xf>
    <xf numFmtId="3" fontId="44" fillId="14" borderId="2" xfId="1" applyNumberFormat="1" applyFont="1" applyFill="1" applyBorder="1" applyAlignment="1">
      <alignment horizontal="center" vertical="center"/>
    </xf>
    <xf numFmtId="10" fontId="23" fillId="14" borderId="2" xfId="3" applyNumberFormat="1" applyFont="1" applyFill="1" applyBorder="1" applyAlignment="1">
      <alignment horizontal="center" vertical="center"/>
    </xf>
    <xf numFmtId="3" fontId="23" fillId="14" borderId="2" xfId="0" applyNumberFormat="1" applyFont="1" applyFill="1" applyBorder="1" applyAlignment="1">
      <alignment horizontal="center" vertical="center"/>
    </xf>
    <xf numFmtId="176" fontId="6" fillId="14" borderId="2" xfId="0" applyNumberFormat="1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171" fontId="25" fillId="14" borderId="2" xfId="14" applyNumberFormat="1" applyFont="1" applyFill="1" applyBorder="1" applyAlignment="1">
      <alignment horizontal="center" vertical="center" readingOrder="1"/>
    </xf>
    <xf numFmtId="3" fontId="25" fillId="14" borderId="2" xfId="14" applyNumberFormat="1" applyFont="1" applyFill="1" applyBorder="1" applyAlignment="1">
      <alignment horizontal="center" vertical="center" readingOrder="1"/>
    </xf>
    <xf numFmtId="171" fontId="14" fillId="14" borderId="2" xfId="14" applyNumberFormat="1" applyFont="1" applyFill="1" applyBorder="1" applyAlignment="1">
      <alignment horizontal="center" vertical="center" readingOrder="1"/>
    </xf>
    <xf numFmtId="3" fontId="14" fillId="14" borderId="2" xfId="14" applyNumberFormat="1" applyFont="1" applyFill="1" applyBorder="1" applyAlignment="1">
      <alignment horizontal="center" vertical="center" readingOrder="1"/>
    </xf>
    <xf numFmtId="164" fontId="8" fillId="14" borderId="0" xfId="0" applyNumberFormat="1" applyFont="1" applyFill="1" applyAlignment="1">
      <alignment horizontal="center" vertical="center"/>
    </xf>
    <xf numFmtId="0" fontId="2" fillId="45" borderId="2" xfId="0" applyFont="1" applyFill="1" applyBorder="1" applyAlignment="1">
      <alignment horizontal="center" vertical="center"/>
    </xf>
    <xf numFmtId="0" fontId="10" fillId="45" borderId="2" xfId="0" applyFont="1" applyFill="1" applyBorder="1" applyAlignment="1">
      <alignment horizontal="center" vertical="center"/>
    </xf>
    <xf numFmtId="0" fontId="10" fillId="45" borderId="2" xfId="0" applyFont="1" applyFill="1" applyBorder="1" applyAlignment="1">
      <alignment horizontal="right" vertical="center" wrapText="1" indent="2"/>
    </xf>
    <xf numFmtId="3" fontId="10" fillId="45" borderId="2" xfId="0" applyNumberFormat="1" applyFont="1" applyFill="1" applyBorder="1" applyAlignment="1">
      <alignment horizontal="center" vertical="center" readingOrder="1"/>
    </xf>
    <xf numFmtId="171" fontId="26" fillId="45" borderId="2" xfId="3" applyNumberFormat="1" applyFont="1" applyFill="1" applyBorder="1" applyAlignment="1">
      <alignment horizontal="center" vertical="center" readingOrder="1"/>
    </xf>
    <xf numFmtId="1" fontId="10" fillId="45" borderId="2" xfId="0" applyNumberFormat="1" applyFont="1" applyFill="1" applyBorder="1" applyAlignment="1">
      <alignment horizontal="center" vertical="center" readingOrder="1"/>
    </xf>
    <xf numFmtId="9" fontId="10" fillId="45" borderId="2" xfId="3" applyFont="1" applyFill="1" applyBorder="1" applyAlignment="1">
      <alignment horizontal="center" vertical="center" readingOrder="1"/>
    </xf>
    <xf numFmtId="171" fontId="26" fillId="45" borderId="2" xfId="14" applyNumberFormat="1" applyFont="1" applyFill="1" applyBorder="1" applyAlignment="1">
      <alignment horizontal="center" vertical="center" readingOrder="1"/>
    </xf>
    <xf numFmtId="3" fontId="26" fillId="45" borderId="2" xfId="14" applyNumberFormat="1" applyFont="1" applyFill="1" applyBorder="1" applyAlignment="1">
      <alignment horizontal="center" vertical="center" readingOrder="1"/>
    </xf>
    <xf numFmtId="171" fontId="15" fillId="45" borderId="2" xfId="14" applyNumberFormat="1" applyFont="1" applyFill="1" applyBorder="1" applyAlignment="1">
      <alignment horizontal="center" vertical="center" readingOrder="1"/>
    </xf>
    <xf numFmtId="3" fontId="15" fillId="45" borderId="2" xfId="14" applyNumberFormat="1" applyFont="1" applyFill="1" applyBorder="1" applyAlignment="1">
      <alignment horizontal="center" vertical="center" readingOrder="1"/>
    </xf>
    <xf numFmtId="10" fontId="24" fillId="45" borderId="2" xfId="3" applyNumberFormat="1" applyFont="1" applyFill="1" applyBorder="1" applyAlignment="1">
      <alignment horizontal="center" vertical="center"/>
    </xf>
    <xf numFmtId="3" fontId="24" fillId="45" borderId="2" xfId="0" applyNumberFormat="1" applyFont="1" applyFill="1" applyBorder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164" fontId="10" fillId="45" borderId="0" xfId="0" applyNumberFormat="1" applyFont="1" applyFill="1" applyAlignment="1">
      <alignment horizontal="center" vertical="center"/>
    </xf>
    <xf numFmtId="171" fontId="43" fillId="45" borderId="2" xfId="3" applyNumberFormat="1" applyFont="1" applyFill="1" applyBorder="1" applyAlignment="1">
      <alignment horizontal="center" vertical="center"/>
    </xf>
    <xf numFmtId="3" fontId="43" fillId="45" borderId="2" xfId="1" applyNumberFormat="1" applyFont="1" applyFill="1" applyBorder="1" applyAlignment="1">
      <alignment horizontal="center" vertical="center"/>
    </xf>
    <xf numFmtId="171" fontId="44" fillId="45" borderId="2" xfId="3" applyNumberFormat="1" applyFont="1" applyFill="1" applyBorder="1" applyAlignment="1">
      <alignment horizontal="center" vertical="center"/>
    </xf>
    <xf numFmtId="3" fontId="44" fillId="45" borderId="2" xfId="1" applyNumberFormat="1" applyFont="1" applyFill="1" applyBorder="1" applyAlignment="1">
      <alignment horizontal="center" vertical="center"/>
    </xf>
    <xf numFmtId="0" fontId="8" fillId="45" borderId="2" xfId="0" applyFont="1" applyFill="1" applyBorder="1" applyAlignment="1">
      <alignment horizontal="center" vertical="center"/>
    </xf>
    <xf numFmtId="3" fontId="8" fillId="45" borderId="2" xfId="0" applyNumberFormat="1" applyFont="1" applyFill="1" applyBorder="1" applyAlignment="1">
      <alignment horizontal="center" vertical="center" readingOrder="1"/>
    </xf>
    <xf numFmtId="171" fontId="25" fillId="45" borderId="2" xfId="3" applyNumberFormat="1" applyFont="1" applyFill="1" applyBorder="1" applyAlignment="1">
      <alignment horizontal="center" vertical="center" readingOrder="1"/>
    </xf>
    <xf numFmtId="1" fontId="8" fillId="45" borderId="2" xfId="0" applyNumberFormat="1" applyFont="1" applyFill="1" applyBorder="1" applyAlignment="1">
      <alignment horizontal="center" vertical="center" readingOrder="1"/>
    </xf>
    <xf numFmtId="9" fontId="8" fillId="45" borderId="2" xfId="3" applyFont="1" applyFill="1" applyBorder="1" applyAlignment="1">
      <alignment horizontal="center" vertical="center" readingOrder="1"/>
    </xf>
    <xf numFmtId="171" fontId="59" fillId="45" borderId="2" xfId="3" applyNumberFormat="1" applyFont="1" applyFill="1" applyBorder="1" applyAlignment="1">
      <alignment horizontal="center" vertical="center" readingOrder="1"/>
    </xf>
    <xf numFmtId="171" fontId="60" fillId="45" borderId="2" xfId="3" applyNumberFormat="1" applyFont="1" applyFill="1" applyBorder="1" applyAlignment="1">
      <alignment horizontal="center" vertical="center" readingOrder="1"/>
    </xf>
    <xf numFmtId="0" fontId="8" fillId="45" borderId="2" xfId="0" applyFont="1" applyFill="1" applyBorder="1" applyAlignment="1">
      <alignment horizontal="right" vertical="center" wrapText="1" indent="3"/>
    </xf>
    <xf numFmtId="10" fontId="25" fillId="45" borderId="2" xfId="3" applyNumberFormat="1" applyFont="1" applyFill="1" applyBorder="1" applyAlignment="1">
      <alignment horizontal="center" vertical="center"/>
    </xf>
    <xf numFmtId="3" fontId="25" fillId="45" borderId="2" xfId="1" applyNumberFormat="1" applyFont="1" applyFill="1" applyBorder="1" applyAlignment="1">
      <alignment horizontal="center" vertical="center"/>
    </xf>
    <xf numFmtId="10" fontId="14" fillId="45" borderId="2" xfId="14" applyNumberFormat="1" applyFont="1" applyFill="1" applyBorder="1" applyAlignment="1">
      <alignment horizontal="center" vertical="center"/>
    </xf>
    <xf numFmtId="171" fontId="14" fillId="45" borderId="2" xfId="3" applyNumberFormat="1" applyFont="1" applyFill="1" applyBorder="1" applyAlignment="1">
      <alignment horizontal="center" vertical="center"/>
    </xf>
    <xf numFmtId="3" fontId="14" fillId="45" borderId="2" xfId="1" applyNumberFormat="1" applyFont="1" applyFill="1" applyBorder="1" applyAlignment="1">
      <alignment horizontal="center" vertical="center"/>
    </xf>
    <xf numFmtId="176" fontId="10" fillId="45" borderId="0" xfId="0" applyNumberFormat="1" applyFont="1" applyFill="1" applyAlignment="1">
      <alignment horizontal="center" vertical="center"/>
    </xf>
    <xf numFmtId="3" fontId="59" fillId="45" borderId="2" xfId="1" applyNumberFormat="1" applyFont="1" applyFill="1" applyBorder="1" applyAlignment="1">
      <alignment horizontal="center" vertical="center"/>
    </xf>
    <xf numFmtId="171" fontId="59" fillId="14" borderId="2" xfId="3" applyNumberFormat="1" applyFont="1" applyFill="1" applyBorder="1" applyAlignment="1">
      <alignment horizontal="center" vertical="center" readingOrder="1"/>
    </xf>
    <xf numFmtId="1" fontId="5" fillId="14" borderId="2" xfId="0" applyNumberFormat="1" applyFont="1" applyFill="1" applyBorder="1" applyAlignment="1">
      <alignment horizontal="center" vertical="center" readingOrder="1"/>
    </xf>
    <xf numFmtId="10" fontId="14" fillId="14" borderId="2" xfId="3" applyNumberFormat="1" applyFont="1" applyFill="1" applyBorder="1" applyAlignment="1">
      <alignment horizontal="center" vertical="center"/>
    </xf>
    <xf numFmtId="169" fontId="8" fillId="14" borderId="0" xfId="1" applyNumberFormat="1" applyFont="1" applyFill="1" applyAlignment="1">
      <alignment horizontal="center" vertical="center"/>
    </xf>
    <xf numFmtId="3" fontId="97" fillId="2" borderId="2" xfId="1" applyNumberFormat="1" applyFont="1" applyFill="1" applyBorder="1" applyAlignment="1">
      <alignment horizontal="center" vertical="center"/>
    </xf>
    <xf numFmtId="0" fontId="98" fillId="0" borderId="220" xfId="0" applyFont="1" applyBorder="1" applyAlignment="1">
      <alignment horizontal="center" vertical="center" shrinkToFit="1"/>
    </xf>
    <xf numFmtId="0" fontId="98" fillId="3" borderId="220" xfId="0" applyFont="1" applyFill="1" applyBorder="1" applyAlignment="1">
      <alignment horizontal="center" vertical="center" shrinkToFit="1"/>
    </xf>
    <xf numFmtId="3" fontId="98" fillId="3" borderId="220" xfId="0" applyNumberFormat="1" applyFont="1" applyFill="1" applyBorder="1" applyAlignment="1">
      <alignment horizontal="center" vertical="center" shrinkToFit="1"/>
    </xf>
    <xf numFmtId="3" fontId="98" fillId="0" borderId="219" xfId="0" applyNumberFormat="1" applyFont="1" applyBorder="1" applyAlignment="1">
      <alignment horizontal="center" vertical="center" shrinkToFit="1"/>
    </xf>
    <xf numFmtId="3" fontId="99" fillId="0" borderId="220" xfId="0" applyNumberFormat="1" applyFont="1" applyBorder="1" applyAlignment="1">
      <alignment horizontal="center" vertical="center" shrinkToFit="1"/>
    </xf>
    <xf numFmtId="3" fontId="99" fillId="3" borderId="220" xfId="0" applyNumberFormat="1" applyFont="1" applyFill="1" applyBorder="1" applyAlignment="1">
      <alignment horizontal="center" vertical="center" shrinkToFit="1"/>
    </xf>
    <xf numFmtId="3" fontId="98" fillId="3" borderId="220" xfId="0" applyNumberFormat="1" applyFont="1" applyFill="1" applyBorder="1" applyAlignment="1">
      <alignment horizontal="center" vertical="center" wrapText="1" shrinkToFit="1"/>
    </xf>
    <xf numFmtId="49" fontId="100" fillId="0" borderId="219" xfId="0" applyNumberFormat="1" applyFont="1" applyBorder="1" applyAlignment="1">
      <alignment horizontal="center" vertical="center"/>
    </xf>
    <xf numFmtId="3" fontId="99" fillId="0" borderId="220" xfId="0" applyNumberFormat="1" applyFont="1" applyBorder="1" applyAlignment="1">
      <alignment horizontal="center" vertical="center" wrapText="1" shrinkToFit="1"/>
    </xf>
    <xf numFmtId="4" fontId="99" fillId="3" borderId="220" xfId="0" applyNumberFormat="1" applyFont="1" applyFill="1" applyBorder="1" applyAlignment="1">
      <alignment horizontal="center" vertical="center" shrinkToFit="1"/>
    </xf>
    <xf numFmtId="3" fontId="99" fillId="3" borderId="220" xfId="0" applyNumberFormat="1" applyFont="1" applyFill="1" applyBorder="1" applyAlignment="1">
      <alignment horizontal="center" vertical="center" wrapText="1" shrinkToFit="1"/>
    </xf>
    <xf numFmtId="10" fontId="15" fillId="46" borderId="219" xfId="3" applyNumberFormat="1" applyFont="1" applyFill="1" applyBorder="1" applyAlignment="1">
      <alignment horizontal="center" vertical="center"/>
    </xf>
    <xf numFmtId="10" fontId="15" fillId="44" borderId="225" xfId="3" applyNumberFormat="1" applyFont="1" applyFill="1" applyBorder="1" applyAlignment="1">
      <alignment horizontal="center" vertical="center"/>
    </xf>
    <xf numFmtId="9" fontId="15" fillId="46" borderId="225" xfId="3" applyFont="1" applyFill="1" applyBorder="1" applyAlignment="1">
      <alignment horizontal="center" vertical="center"/>
    </xf>
    <xf numFmtId="9" fontId="44" fillId="2" borderId="225" xfId="14" applyFont="1" applyFill="1" applyBorder="1" applyAlignment="1">
      <alignment horizontal="center" vertical="center"/>
    </xf>
    <xf numFmtId="9" fontId="15" fillId="2" borderId="225" xfId="3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3" fontId="42" fillId="0" borderId="0" xfId="0" applyNumberFormat="1" applyFont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3" fontId="52" fillId="0" borderId="0" xfId="0" applyNumberFormat="1" applyFont="1" applyAlignment="1">
      <alignment horizontal="center" vertical="center"/>
    </xf>
    <xf numFmtId="167" fontId="52" fillId="0" borderId="0" xfId="0" applyNumberFormat="1" applyFont="1" applyAlignment="1">
      <alignment horizontal="center" vertical="center"/>
    </xf>
    <xf numFmtId="179" fontId="2" fillId="8" borderId="0" xfId="0" applyNumberFormat="1" applyFont="1" applyFill="1" applyAlignment="1">
      <alignment horizontal="center" vertical="center"/>
    </xf>
    <xf numFmtId="10" fontId="15" fillId="44" borderId="2" xfId="2" applyNumberFormat="1" applyFont="1" applyFill="1" applyBorder="1" applyAlignment="1">
      <alignment horizontal="center" vertical="center" readingOrder="2"/>
    </xf>
    <xf numFmtId="10" fontId="15" fillId="44" borderId="2" xfId="1" applyNumberFormat="1" applyFont="1" applyFill="1" applyBorder="1" applyAlignment="1">
      <alignment horizontal="center" vertical="center" readingOrder="2"/>
    </xf>
    <xf numFmtId="3" fontId="0" fillId="0" borderId="0" xfId="0" applyNumberFormat="1"/>
    <xf numFmtId="9" fontId="15" fillId="10" borderId="225" xfId="3" applyFont="1" applyFill="1" applyBorder="1" applyAlignment="1">
      <alignment horizontal="center" vertical="center"/>
    </xf>
    <xf numFmtId="10" fontId="30" fillId="44" borderId="225" xfId="14" applyNumberFormat="1" applyFont="1" applyFill="1" applyBorder="1" applyAlignment="1">
      <alignment horizontal="center" vertical="center"/>
    </xf>
    <xf numFmtId="10" fontId="44" fillId="47" borderId="225" xfId="14" applyNumberFormat="1" applyFont="1" applyFill="1" applyBorder="1" applyAlignment="1">
      <alignment horizontal="center" vertical="center"/>
    </xf>
    <xf numFmtId="10" fontId="44" fillId="2" borderId="225" xfId="14" applyNumberFormat="1" applyFont="1" applyFill="1" applyBorder="1" applyAlignment="1">
      <alignment horizontal="center" vertical="center"/>
    </xf>
    <xf numFmtId="10" fontId="30" fillId="2" borderId="225" xfId="14" applyNumberFormat="1" applyFont="1" applyFill="1" applyBorder="1" applyAlignment="1">
      <alignment horizontal="center" vertical="center"/>
    </xf>
    <xf numFmtId="10" fontId="30" fillId="47" borderId="225" xfId="14" applyNumberFormat="1" applyFont="1" applyFill="1" applyBorder="1" applyAlignment="1">
      <alignment horizontal="center" vertical="center"/>
    </xf>
    <xf numFmtId="10" fontId="10" fillId="45" borderId="2" xfId="3" applyNumberFormat="1" applyFont="1" applyFill="1" applyBorder="1" applyAlignment="1">
      <alignment horizontal="center" vertical="center" readingOrder="1"/>
    </xf>
    <xf numFmtId="10" fontId="44" fillId="44" borderId="219" xfId="14" applyNumberFormat="1" applyFont="1" applyFill="1" applyBorder="1" applyAlignment="1">
      <alignment horizontal="center" vertical="center"/>
    </xf>
    <xf numFmtId="0" fontId="2" fillId="9" borderId="232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right" vertical="center" wrapText="1" indent="2"/>
    </xf>
    <xf numFmtId="3" fontId="10" fillId="9" borderId="4" xfId="0" applyNumberFormat="1" applyFont="1" applyFill="1" applyBorder="1" applyAlignment="1">
      <alignment horizontal="center" vertical="center" readingOrder="1"/>
    </xf>
    <xf numFmtId="171" fontId="56" fillId="9" borderId="4" xfId="3" applyNumberFormat="1" applyFont="1" applyFill="1" applyBorder="1" applyAlignment="1">
      <alignment horizontal="center" vertical="center" readingOrder="1"/>
    </xf>
    <xf numFmtId="1" fontId="13" fillId="9" borderId="4" xfId="0" applyNumberFormat="1" applyFont="1" applyFill="1" applyBorder="1" applyAlignment="1">
      <alignment horizontal="center" vertical="center" readingOrder="1"/>
    </xf>
    <xf numFmtId="9" fontId="13" fillId="3" borderId="4" xfId="3" applyFont="1" applyFill="1" applyBorder="1" applyAlignment="1">
      <alignment horizontal="center" vertical="center" readingOrder="1"/>
    </xf>
    <xf numFmtId="171" fontId="10" fillId="3" borderId="4" xfId="3" applyNumberFormat="1" applyFont="1" applyFill="1" applyBorder="1" applyAlignment="1">
      <alignment horizontal="center" vertical="center" readingOrder="1"/>
    </xf>
    <xf numFmtId="3" fontId="57" fillId="3" borderId="4" xfId="5" applyNumberFormat="1" applyFont="1" applyFill="1" applyBorder="1" applyAlignment="1">
      <alignment horizontal="center" vertical="center" readingOrder="1"/>
    </xf>
    <xf numFmtId="10" fontId="15" fillId="44" borderId="4" xfId="3" applyNumberFormat="1" applyFont="1" applyFill="1" applyBorder="1" applyAlignment="1">
      <alignment horizontal="center" vertical="center"/>
    </xf>
    <xf numFmtId="10" fontId="15" fillId="2" borderId="4" xfId="3" applyNumberFormat="1" applyFont="1" applyFill="1" applyBorder="1" applyAlignment="1">
      <alignment horizontal="center" vertical="center"/>
    </xf>
    <xf numFmtId="3" fontId="15" fillId="2" borderId="4" xfId="1" applyNumberFormat="1" applyFont="1" applyFill="1" applyBorder="1" applyAlignment="1">
      <alignment horizontal="center" vertical="center"/>
    </xf>
    <xf numFmtId="0" fontId="8" fillId="9" borderId="233" xfId="0" applyFont="1" applyFill="1" applyBorder="1" applyAlignment="1">
      <alignment horizontal="center" vertical="center"/>
    </xf>
    <xf numFmtId="0" fontId="8" fillId="9" borderId="233" xfId="0" applyFont="1" applyFill="1" applyBorder="1" applyAlignment="1">
      <alignment horizontal="right" vertical="center" wrapText="1" indent="1"/>
    </xf>
    <xf numFmtId="3" fontId="8" fillId="9" borderId="233" xfId="0" applyNumberFormat="1" applyFont="1" applyFill="1" applyBorder="1" applyAlignment="1">
      <alignment horizontal="center" vertical="center" readingOrder="1"/>
    </xf>
    <xf numFmtId="171" fontId="25" fillId="9" borderId="233" xfId="3" applyNumberFormat="1" applyFont="1" applyFill="1" applyBorder="1" applyAlignment="1">
      <alignment horizontal="center" vertical="center" readingOrder="1"/>
    </xf>
    <xf numFmtId="1" fontId="8" fillId="9" borderId="233" xfId="0" applyNumberFormat="1" applyFont="1" applyFill="1" applyBorder="1" applyAlignment="1">
      <alignment horizontal="center" vertical="center" readingOrder="1"/>
    </xf>
    <xf numFmtId="9" fontId="8" fillId="3" borderId="233" xfId="3" applyFont="1" applyFill="1" applyBorder="1" applyAlignment="1">
      <alignment horizontal="center" vertical="center" readingOrder="1"/>
    </xf>
    <xf numFmtId="171" fontId="8" fillId="3" borderId="233" xfId="3" applyNumberFormat="1" applyFont="1" applyFill="1" applyBorder="1" applyAlignment="1">
      <alignment horizontal="center" vertical="center" readingOrder="1"/>
    </xf>
    <xf numFmtId="3" fontId="27" fillId="3" borderId="233" xfId="5" applyNumberFormat="1" applyFont="1" applyFill="1" applyBorder="1" applyAlignment="1">
      <alignment horizontal="center" vertical="center" readingOrder="1"/>
    </xf>
    <xf numFmtId="10" fontId="14" fillId="2" borderId="233" xfId="3" applyNumberFormat="1" applyFont="1" applyFill="1" applyBorder="1" applyAlignment="1">
      <alignment horizontal="center" vertical="center"/>
    </xf>
    <xf numFmtId="3" fontId="14" fillId="2" borderId="234" xfId="1" applyNumberFormat="1" applyFont="1" applyFill="1" applyBorder="1" applyAlignment="1">
      <alignment horizontal="center" vertical="center"/>
    </xf>
    <xf numFmtId="171" fontId="26" fillId="9" borderId="4" xfId="3" applyNumberFormat="1" applyFont="1" applyFill="1" applyBorder="1" applyAlignment="1">
      <alignment horizontal="center" vertical="center" readingOrder="1"/>
    </xf>
    <xf numFmtId="1" fontId="10" fillId="9" borderId="4" xfId="0" applyNumberFormat="1" applyFont="1" applyFill="1" applyBorder="1" applyAlignment="1">
      <alignment horizontal="center" vertical="center" readingOrder="1"/>
    </xf>
    <xf numFmtId="3" fontId="28" fillId="3" borderId="4" xfId="5" applyNumberFormat="1" applyFont="1" applyFill="1" applyBorder="1" applyAlignment="1">
      <alignment horizontal="center" vertical="center" readingOrder="1"/>
    </xf>
    <xf numFmtId="10" fontId="15" fillId="10" borderId="4" xfId="3" applyNumberFormat="1" applyFont="1" applyFill="1" applyBorder="1" applyAlignment="1">
      <alignment horizontal="center" vertical="center"/>
    </xf>
    <xf numFmtId="10" fontId="14" fillId="10" borderId="233" xfId="3" applyNumberFormat="1" applyFont="1" applyFill="1" applyBorder="1" applyAlignment="1">
      <alignment horizontal="center" vertical="center"/>
    </xf>
    <xf numFmtId="0" fontId="8" fillId="0" borderId="228" xfId="0" applyFont="1" applyBorder="1" applyAlignment="1">
      <alignment horizontal="center" vertical="center"/>
    </xf>
    <xf numFmtId="0" fontId="10" fillId="0" borderId="228" xfId="0" applyFont="1" applyBorder="1" applyAlignment="1">
      <alignment horizontal="center" vertical="center"/>
    </xf>
    <xf numFmtId="0" fontId="2" fillId="9" borderId="23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right" vertical="center" wrapText="1" indent="1"/>
    </xf>
    <xf numFmtId="3" fontId="8" fillId="9" borderId="5" xfId="0" applyNumberFormat="1" applyFont="1" applyFill="1" applyBorder="1" applyAlignment="1">
      <alignment horizontal="center" vertical="center" readingOrder="1"/>
    </xf>
    <xf numFmtId="171" fontId="25" fillId="9" borderId="5" xfId="3" applyNumberFormat="1" applyFont="1" applyFill="1" applyBorder="1" applyAlignment="1">
      <alignment horizontal="center" vertical="center" readingOrder="1"/>
    </xf>
    <xf numFmtId="1" fontId="8" fillId="9" borderId="5" xfId="0" applyNumberFormat="1" applyFont="1" applyFill="1" applyBorder="1" applyAlignment="1">
      <alignment horizontal="center" vertical="center" readingOrder="1"/>
    </xf>
    <xf numFmtId="9" fontId="11" fillId="3" borderId="5" xfId="3" applyFont="1" applyFill="1" applyBorder="1" applyAlignment="1">
      <alignment horizontal="center" vertical="center" readingOrder="1"/>
    </xf>
    <xf numFmtId="171" fontId="8" fillId="3" borderId="5" xfId="3" applyNumberFormat="1" applyFont="1" applyFill="1" applyBorder="1" applyAlignment="1">
      <alignment horizontal="center" vertical="center" readingOrder="1"/>
    </xf>
    <xf numFmtId="3" fontId="27" fillId="3" borderId="5" xfId="5" applyNumberFormat="1" applyFont="1" applyFill="1" applyBorder="1" applyAlignment="1">
      <alignment horizontal="center" vertical="center" readingOrder="1"/>
    </xf>
    <xf numFmtId="10" fontId="15" fillId="2" borderId="5" xfId="3" applyNumberFormat="1" applyFont="1" applyFill="1" applyBorder="1" applyAlignment="1">
      <alignment horizontal="center" vertical="center"/>
    </xf>
    <xf numFmtId="3" fontId="15" fillId="2" borderId="236" xfId="1" applyNumberFormat="1" applyFont="1" applyFill="1" applyBorder="1" applyAlignment="1">
      <alignment horizontal="center" vertical="center"/>
    </xf>
    <xf numFmtId="10" fontId="23" fillId="6" borderId="64" xfId="3" applyNumberFormat="1" applyFont="1" applyFill="1" applyBorder="1" applyAlignment="1">
      <alignment horizontal="center" vertical="center"/>
    </xf>
    <xf numFmtId="10" fontId="23" fillId="6" borderId="4" xfId="3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0" fontId="2" fillId="9" borderId="237" xfId="0" applyFont="1" applyFill="1" applyBorder="1" applyAlignment="1">
      <alignment horizontal="center" vertical="center"/>
    </xf>
    <xf numFmtId="0" fontId="2" fillId="9" borderId="238" xfId="0" applyFont="1" applyFill="1" applyBorder="1" applyAlignment="1">
      <alignment horizontal="center" vertical="center"/>
    </xf>
    <xf numFmtId="0" fontId="10" fillId="9" borderId="225" xfId="0" applyFont="1" applyFill="1" applyBorder="1" applyAlignment="1">
      <alignment horizontal="center" vertical="center"/>
    </xf>
    <xf numFmtId="0" fontId="10" fillId="9" borderId="225" xfId="0" applyFont="1" applyFill="1" applyBorder="1" applyAlignment="1">
      <alignment horizontal="right" vertical="center" wrapText="1" indent="2"/>
    </xf>
    <xf numFmtId="3" fontId="10" fillId="9" borderId="225" xfId="0" applyNumberFormat="1" applyFont="1" applyFill="1" applyBorder="1" applyAlignment="1">
      <alignment horizontal="center" vertical="center" readingOrder="1"/>
    </xf>
    <xf numFmtId="171" fontId="26" fillId="9" borderId="225" xfId="3" applyNumberFormat="1" applyFont="1" applyFill="1" applyBorder="1" applyAlignment="1">
      <alignment horizontal="center" vertical="center" readingOrder="1"/>
    </xf>
    <xf numFmtId="1" fontId="10" fillId="9" borderId="225" xfId="0" applyNumberFormat="1" applyFont="1" applyFill="1" applyBorder="1" applyAlignment="1">
      <alignment horizontal="center" vertical="center" readingOrder="1"/>
    </xf>
    <xf numFmtId="9" fontId="13" fillId="3" borderId="225" xfId="3" applyFont="1" applyFill="1" applyBorder="1" applyAlignment="1">
      <alignment horizontal="center" vertical="center" readingOrder="1"/>
    </xf>
    <xf numFmtId="171" fontId="10" fillId="3" borderId="225" xfId="3" applyNumberFormat="1" applyFont="1" applyFill="1" applyBorder="1" applyAlignment="1">
      <alignment horizontal="center" vertical="center" readingOrder="1"/>
    </xf>
    <xf numFmtId="3" fontId="28" fillId="3" borderId="225" xfId="5" applyNumberFormat="1" applyFont="1" applyFill="1" applyBorder="1" applyAlignment="1">
      <alignment horizontal="center" vertical="center" readingOrder="1"/>
    </xf>
    <xf numFmtId="10" fontId="15" fillId="2" borderId="225" xfId="3" applyNumberFormat="1" applyFont="1" applyFill="1" applyBorder="1" applyAlignment="1">
      <alignment horizontal="center" vertical="center"/>
    </xf>
    <xf numFmtId="3" fontId="15" fillId="2" borderId="225" xfId="1" applyNumberFormat="1" applyFont="1" applyFill="1" applyBorder="1" applyAlignment="1">
      <alignment horizontal="center" vertical="center"/>
    </xf>
    <xf numFmtId="0" fontId="2" fillId="9" borderId="239" xfId="0" applyFont="1" applyFill="1" applyBorder="1" applyAlignment="1">
      <alignment horizontal="center" vertical="center"/>
    </xf>
    <xf numFmtId="0" fontId="10" fillId="9" borderId="240" xfId="0" applyFont="1" applyFill="1" applyBorder="1" applyAlignment="1">
      <alignment horizontal="center" vertical="center"/>
    </xf>
    <xf numFmtId="0" fontId="10" fillId="9" borderId="240" xfId="0" applyFont="1" applyFill="1" applyBorder="1" applyAlignment="1">
      <alignment horizontal="right" vertical="center" wrapText="1" indent="2"/>
    </xf>
    <xf numFmtId="3" fontId="10" fillId="9" borderId="240" xfId="0" applyNumberFormat="1" applyFont="1" applyFill="1" applyBorder="1" applyAlignment="1">
      <alignment horizontal="center" vertical="center" readingOrder="1"/>
    </xf>
    <xf numFmtId="171" fontId="26" fillId="9" borderId="240" xfId="3" applyNumberFormat="1" applyFont="1" applyFill="1" applyBorder="1" applyAlignment="1">
      <alignment horizontal="center" vertical="center" readingOrder="1"/>
    </xf>
    <xf numFmtId="1" fontId="10" fillId="9" borderId="240" xfId="0" applyNumberFormat="1" applyFont="1" applyFill="1" applyBorder="1" applyAlignment="1">
      <alignment horizontal="center" vertical="center" readingOrder="1"/>
    </xf>
    <xf numFmtId="175" fontId="13" fillId="3" borderId="240" xfId="3" applyNumberFormat="1" applyFont="1" applyFill="1" applyBorder="1" applyAlignment="1">
      <alignment horizontal="center" vertical="center" readingOrder="1"/>
    </xf>
    <xf numFmtId="171" fontId="10" fillId="3" borderId="240" xfId="3" applyNumberFormat="1" applyFont="1" applyFill="1" applyBorder="1" applyAlignment="1">
      <alignment horizontal="center" vertical="center" readingOrder="1"/>
    </xf>
    <xf numFmtId="3" fontId="28" fillId="3" borderId="240" xfId="5" applyNumberFormat="1" applyFont="1" applyFill="1" applyBorder="1" applyAlignment="1">
      <alignment horizontal="center" vertical="center" readingOrder="1"/>
    </xf>
    <xf numFmtId="10" fontId="15" fillId="10" borderId="240" xfId="3" applyNumberFormat="1" applyFont="1" applyFill="1" applyBorder="1" applyAlignment="1">
      <alignment horizontal="center" vertical="center"/>
    </xf>
    <xf numFmtId="10" fontId="15" fillId="2" borderId="240" xfId="3" applyNumberFormat="1" applyFont="1" applyFill="1" applyBorder="1" applyAlignment="1">
      <alignment horizontal="center" vertical="center"/>
    </xf>
    <xf numFmtId="3" fontId="15" fillId="2" borderId="240" xfId="1" applyNumberFormat="1" applyFont="1" applyFill="1" applyBorder="1" applyAlignment="1">
      <alignment horizontal="center" vertical="center"/>
    </xf>
    <xf numFmtId="171" fontId="56" fillId="9" borderId="225" xfId="3" applyNumberFormat="1" applyFont="1" applyFill="1" applyBorder="1" applyAlignment="1">
      <alignment horizontal="center" vertical="center" readingOrder="1"/>
    </xf>
    <xf numFmtId="1" fontId="13" fillId="9" borderId="225" xfId="0" applyNumberFormat="1" applyFont="1" applyFill="1" applyBorder="1" applyAlignment="1">
      <alignment horizontal="center" vertical="center" readingOrder="1"/>
    </xf>
    <xf numFmtId="3" fontId="57" fillId="3" borderId="225" xfId="5" applyNumberFormat="1" applyFont="1" applyFill="1" applyBorder="1" applyAlignment="1">
      <alignment horizontal="center" vertical="center" readingOrder="1"/>
    </xf>
    <xf numFmtId="175" fontId="15" fillId="2" borderId="225" xfId="3" applyNumberFormat="1" applyFont="1" applyFill="1" applyBorder="1" applyAlignment="1">
      <alignment horizontal="center" vertical="center"/>
    </xf>
    <xf numFmtId="171" fontId="56" fillId="9" borderId="240" xfId="3" applyNumberFormat="1" applyFont="1" applyFill="1" applyBorder="1" applyAlignment="1">
      <alignment horizontal="center" vertical="center" readingOrder="1"/>
    </xf>
    <xf numFmtId="1" fontId="13" fillId="9" borderId="240" xfId="0" applyNumberFormat="1" applyFont="1" applyFill="1" applyBorder="1" applyAlignment="1">
      <alignment horizontal="center" vertical="center" readingOrder="1"/>
    </xf>
    <xf numFmtId="9" fontId="13" fillId="3" borderId="240" xfId="3" applyFont="1" applyFill="1" applyBorder="1" applyAlignment="1">
      <alignment horizontal="center" vertical="center" readingOrder="1"/>
    </xf>
    <xf numFmtId="3" fontId="57" fillId="3" borderId="240" xfId="5" applyNumberFormat="1" applyFont="1" applyFill="1" applyBorder="1" applyAlignment="1">
      <alignment horizontal="center" vertical="center" readingOrder="1"/>
    </xf>
    <xf numFmtId="175" fontId="15" fillId="2" borderId="240" xfId="3" applyNumberFormat="1" applyFont="1" applyFill="1" applyBorder="1" applyAlignment="1">
      <alignment horizontal="center" vertical="center"/>
    </xf>
    <xf numFmtId="0" fontId="42" fillId="0" borderId="228" xfId="0" applyFont="1" applyBorder="1" applyAlignment="1">
      <alignment horizontal="center" vertical="center"/>
    </xf>
    <xf numFmtId="9" fontId="10" fillId="3" borderId="225" xfId="3" applyFont="1" applyFill="1" applyBorder="1" applyAlignment="1">
      <alignment horizontal="center" vertical="center" readingOrder="1"/>
    </xf>
    <xf numFmtId="0" fontId="42" fillId="9" borderId="225" xfId="0" applyFont="1" applyFill="1" applyBorder="1" applyAlignment="1">
      <alignment horizontal="center" vertical="center"/>
    </xf>
    <xf numFmtId="0" fontId="42" fillId="9" borderId="225" xfId="0" applyFont="1" applyFill="1" applyBorder="1" applyAlignment="1">
      <alignment horizontal="right" vertical="center" wrapText="1" indent="3"/>
    </xf>
    <xf numFmtId="3" fontId="42" fillId="9" borderId="225" xfId="0" applyNumberFormat="1" applyFont="1" applyFill="1" applyBorder="1" applyAlignment="1">
      <alignment horizontal="center" vertical="center" readingOrder="1"/>
    </xf>
    <xf numFmtId="171" fontId="43" fillId="9" borderId="225" xfId="3" applyNumberFormat="1" applyFont="1" applyFill="1" applyBorder="1" applyAlignment="1">
      <alignment horizontal="center" vertical="center" readingOrder="1"/>
    </xf>
    <xf numFmtId="1" fontId="42" fillId="9" borderId="225" xfId="0" applyNumberFormat="1" applyFont="1" applyFill="1" applyBorder="1" applyAlignment="1">
      <alignment horizontal="center" vertical="center" readingOrder="1"/>
    </xf>
    <xf numFmtId="9" fontId="42" fillId="3" borderId="225" xfId="3" applyFont="1" applyFill="1" applyBorder="1" applyAlignment="1">
      <alignment horizontal="center" vertical="center" readingOrder="1"/>
    </xf>
    <xf numFmtId="171" fontId="42" fillId="3" borderId="225" xfId="3" applyNumberFormat="1" applyFont="1" applyFill="1" applyBorder="1" applyAlignment="1">
      <alignment horizontal="center" vertical="center" readingOrder="1"/>
    </xf>
    <xf numFmtId="3" fontId="42" fillId="3" borderId="225" xfId="5" applyNumberFormat="1" applyFont="1" applyFill="1" applyBorder="1" applyAlignment="1">
      <alignment horizontal="center" vertical="center" readingOrder="1"/>
    </xf>
    <xf numFmtId="171" fontId="44" fillId="2" borderId="225" xfId="3" applyNumberFormat="1" applyFont="1" applyFill="1" applyBorder="1" applyAlignment="1">
      <alignment horizontal="center" vertical="center"/>
    </xf>
    <xf numFmtId="3" fontId="44" fillId="2" borderId="225" xfId="1" applyNumberFormat="1" applyFont="1" applyFill="1" applyBorder="1" applyAlignment="1">
      <alignment horizontal="center" vertical="center"/>
    </xf>
    <xf numFmtId="0" fontId="42" fillId="9" borderId="240" xfId="0" applyFont="1" applyFill="1" applyBorder="1" applyAlignment="1">
      <alignment horizontal="center" vertical="center"/>
    </xf>
    <xf numFmtId="0" fontId="42" fillId="9" borderId="240" xfId="0" applyFont="1" applyFill="1" applyBorder="1" applyAlignment="1">
      <alignment horizontal="right" vertical="center" wrapText="1" indent="3"/>
    </xf>
    <xf numFmtId="3" fontId="42" fillId="9" borderId="240" xfId="0" applyNumberFormat="1" applyFont="1" applyFill="1" applyBorder="1" applyAlignment="1">
      <alignment horizontal="center" vertical="center" readingOrder="1"/>
    </xf>
    <xf numFmtId="171" fontId="43" fillId="9" borderId="240" xfId="3" applyNumberFormat="1" applyFont="1" applyFill="1" applyBorder="1" applyAlignment="1">
      <alignment horizontal="center" vertical="center" readingOrder="1"/>
    </xf>
    <xf numFmtId="1" fontId="42" fillId="9" borderId="240" xfId="0" applyNumberFormat="1" applyFont="1" applyFill="1" applyBorder="1" applyAlignment="1">
      <alignment horizontal="center" vertical="center" readingOrder="1"/>
    </xf>
    <xf numFmtId="9" fontId="42" fillId="3" borderId="240" xfId="3" applyFont="1" applyFill="1" applyBorder="1" applyAlignment="1">
      <alignment horizontal="center" vertical="center" readingOrder="1"/>
    </xf>
    <xf numFmtId="171" fontId="42" fillId="3" borderId="240" xfId="3" applyNumberFormat="1" applyFont="1" applyFill="1" applyBorder="1" applyAlignment="1">
      <alignment horizontal="center" vertical="center" readingOrder="1"/>
    </xf>
    <xf numFmtId="3" fontId="42" fillId="3" borderId="240" xfId="5" applyNumberFormat="1" applyFont="1" applyFill="1" applyBorder="1" applyAlignment="1">
      <alignment horizontal="center" vertical="center" readingOrder="1"/>
    </xf>
    <xf numFmtId="171" fontId="44" fillId="2" borderId="240" xfId="3" applyNumberFormat="1" applyFont="1" applyFill="1" applyBorder="1" applyAlignment="1">
      <alignment horizontal="center" vertical="center"/>
    </xf>
    <xf numFmtId="3" fontId="44" fillId="2" borderId="240" xfId="1" applyNumberFormat="1" applyFont="1" applyFill="1" applyBorder="1" applyAlignment="1">
      <alignment horizontal="center" vertical="center"/>
    </xf>
    <xf numFmtId="9" fontId="10" fillId="3" borderId="4" xfId="3" applyFont="1" applyFill="1" applyBorder="1" applyAlignment="1">
      <alignment horizontal="center" vertical="center" readingOrder="1"/>
    </xf>
    <xf numFmtId="171" fontId="15" fillId="2" borderId="4" xfId="3" applyNumberFormat="1" applyFont="1" applyFill="1" applyBorder="1" applyAlignment="1">
      <alignment horizontal="center" vertical="center"/>
    </xf>
    <xf numFmtId="171" fontId="14" fillId="2" borderId="233" xfId="3" applyNumberFormat="1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31" fillId="9" borderId="29" xfId="0" applyFont="1" applyFill="1" applyBorder="1" applyAlignment="1">
      <alignment horizontal="center" vertical="center"/>
    </xf>
    <xf numFmtId="0" fontId="31" fillId="9" borderId="29" xfId="0" applyFont="1" applyFill="1" applyBorder="1" applyAlignment="1">
      <alignment horizontal="right" vertical="center" wrapText="1"/>
    </xf>
    <xf numFmtId="3" fontId="31" fillId="9" borderId="29" xfId="2" applyNumberFormat="1" applyFont="1" applyFill="1" applyBorder="1" applyAlignment="1">
      <alignment horizontal="center" vertical="center" readingOrder="1"/>
    </xf>
    <xf numFmtId="171" fontId="38" fillId="9" borderId="29" xfId="3" applyNumberFormat="1" applyFont="1" applyFill="1" applyBorder="1" applyAlignment="1">
      <alignment horizontal="center" vertical="center" readingOrder="1"/>
    </xf>
    <xf numFmtId="1" fontId="31" fillId="9" borderId="29" xfId="0" applyNumberFormat="1" applyFont="1" applyFill="1" applyBorder="1" applyAlignment="1">
      <alignment horizontal="center" vertical="center" readingOrder="1"/>
    </xf>
    <xf numFmtId="175" fontId="31" fillId="3" borderId="29" xfId="3" applyNumberFormat="1" applyFont="1" applyFill="1" applyBorder="1" applyAlignment="1">
      <alignment horizontal="center" vertical="center" readingOrder="1"/>
    </xf>
    <xf numFmtId="171" fontId="31" fillId="3" borderId="29" xfId="3" applyNumberFormat="1" applyFont="1" applyFill="1" applyBorder="1" applyAlignment="1">
      <alignment horizontal="center" vertical="center" readingOrder="1"/>
    </xf>
    <xf numFmtId="3" fontId="39" fillId="3" borderId="29" xfId="5" applyNumberFormat="1" applyFont="1" applyFill="1" applyBorder="1" applyAlignment="1">
      <alignment horizontal="center" vertical="center" readingOrder="1"/>
    </xf>
    <xf numFmtId="10" fontId="40" fillId="2" borderId="29" xfId="3" applyNumberFormat="1" applyFont="1" applyFill="1" applyBorder="1" applyAlignment="1">
      <alignment horizontal="center" vertical="center"/>
    </xf>
    <xf numFmtId="171" fontId="40" fillId="2" borderId="29" xfId="3" applyNumberFormat="1" applyFont="1" applyFill="1" applyBorder="1" applyAlignment="1">
      <alignment horizontal="center" vertical="center"/>
    </xf>
    <xf numFmtId="3" fontId="40" fillId="2" borderId="29" xfId="1" applyNumberFormat="1" applyFont="1" applyFill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5" fillId="4" borderId="225" xfId="0" applyFont="1" applyFill="1" applyBorder="1" applyAlignment="1">
      <alignment horizontal="center" vertical="center" wrapText="1" readingOrder="2"/>
    </xf>
    <xf numFmtId="3" fontId="5" fillId="4" borderId="225" xfId="0" applyNumberFormat="1" applyFont="1" applyFill="1" applyBorder="1" applyAlignment="1">
      <alignment horizontal="center" vertical="center" wrapText="1" readingOrder="2"/>
    </xf>
    <xf numFmtId="0" fontId="5" fillId="5" borderId="225" xfId="0" applyFont="1" applyFill="1" applyBorder="1" applyAlignment="1">
      <alignment horizontal="center" vertical="center" wrapText="1" readingOrder="2"/>
    </xf>
    <xf numFmtId="3" fontId="5" fillId="5" borderId="225" xfId="0" applyNumberFormat="1" applyFont="1" applyFill="1" applyBorder="1" applyAlignment="1">
      <alignment horizontal="center" vertical="center" wrapText="1" readingOrder="2"/>
    </xf>
    <xf numFmtId="0" fontId="5" fillId="7" borderId="225" xfId="0" applyFont="1" applyFill="1" applyBorder="1" applyAlignment="1">
      <alignment horizontal="center" vertical="center" wrapText="1" readingOrder="2"/>
    </xf>
    <xf numFmtId="3" fontId="5" fillId="7" borderId="225" xfId="0" applyNumberFormat="1" applyFont="1" applyFill="1" applyBorder="1" applyAlignment="1">
      <alignment horizontal="center" vertical="center" wrapText="1" readingOrder="2"/>
    </xf>
    <xf numFmtId="3" fontId="59" fillId="14" borderId="2" xfId="1" applyNumberFormat="1" applyFont="1" applyFill="1" applyBorder="1" applyAlignment="1">
      <alignment horizontal="center" vertical="center"/>
    </xf>
    <xf numFmtId="169" fontId="42" fillId="0" borderId="0" xfId="1" applyNumberFormat="1" applyFont="1" applyAlignment="1">
      <alignment horizontal="center" vertical="center"/>
    </xf>
    <xf numFmtId="0" fontId="6" fillId="0" borderId="134" xfId="15" applyFont="1" applyBorder="1" applyAlignment="1">
      <alignment horizontal="center" vertical="center" readingOrder="2"/>
    </xf>
    <xf numFmtId="0" fontId="6" fillId="0" borderId="135" xfId="15" applyFont="1" applyBorder="1" applyAlignment="1">
      <alignment horizontal="center" vertical="center" readingOrder="2"/>
    </xf>
    <xf numFmtId="0" fontId="6" fillId="0" borderId="136" xfId="15" applyFont="1" applyBorder="1" applyAlignment="1">
      <alignment horizontal="center" vertical="center" readingOrder="2"/>
    </xf>
    <xf numFmtId="0" fontId="6" fillId="0" borderId="137" xfId="15" applyFont="1" applyBorder="1" applyAlignment="1">
      <alignment horizontal="center" vertical="center" readingOrder="2"/>
    </xf>
    <xf numFmtId="0" fontId="6" fillId="0" borderId="138" xfId="15" applyFont="1" applyBorder="1" applyAlignment="1">
      <alignment horizontal="center" vertical="center" readingOrder="2"/>
    </xf>
    <xf numFmtId="3" fontId="6" fillId="17" borderId="135" xfId="15" applyNumberFormat="1" applyFont="1" applyFill="1" applyBorder="1" applyAlignment="1">
      <alignment horizontal="center" vertical="center" readingOrder="2"/>
    </xf>
    <xf numFmtId="177" fontId="7" fillId="2" borderId="131" xfId="15" applyNumberFormat="1" applyFont="1" applyFill="1" applyBorder="1" applyAlignment="1">
      <alignment horizontal="center" vertical="center" readingOrder="2"/>
    </xf>
    <xf numFmtId="177" fontId="7" fillId="2" borderId="127" xfId="15" applyNumberFormat="1" applyFont="1" applyFill="1" applyBorder="1" applyAlignment="1">
      <alignment horizontal="center" vertical="center" readingOrder="2"/>
    </xf>
    <xf numFmtId="177" fontId="7" fillId="2" borderId="132" xfId="15" applyNumberFormat="1" applyFont="1" applyFill="1" applyBorder="1" applyAlignment="1">
      <alignment horizontal="center" vertical="center" readingOrder="2"/>
    </xf>
    <xf numFmtId="177" fontId="65" fillId="15" borderId="127" xfId="15" applyNumberFormat="1" applyFont="1" applyFill="1" applyBorder="1" applyAlignment="1">
      <alignment horizontal="center" vertical="center" readingOrder="2"/>
    </xf>
    <xf numFmtId="177" fontId="65" fillId="15" borderId="133" xfId="15" applyNumberFormat="1" applyFont="1" applyFill="1" applyBorder="1" applyAlignment="1">
      <alignment horizontal="center" vertical="center" readingOrder="2"/>
    </xf>
    <xf numFmtId="0" fontId="6" fillId="0" borderId="140" xfId="15" applyFont="1" applyBorder="1" applyAlignment="1">
      <alignment horizontal="center" vertical="center" readingOrder="2"/>
    </xf>
    <xf numFmtId="0" fontId="6" fillId="0" borderId="93" xfId="15" applyFont="1" applyBorder="1" applyAlignment="1">
      <alignment horizontal="center" vertical="center" readingOrder="2"/>
    </xf>
    <xf numFmtId="0" fontId="6" fillId="0" borderId="141" xfId="15" applyFont="1" applyBorder="1" applyAlignment="1">
      <alignment horizontal="center" vertical="center" readingOrder="2"/>
    </xf>
    <xf numFmtId="0" fontId="6" fillId="0" borderId="142" xfId="15" applyFont="1" applyBorder="1" applyAlignment="1">
      <alignment horizontal="center" vertical="center" readingOrder="2"/>
    </xf>
    <xf numFmtId="0" fontId="6" fillId="0" borderId="143" xfId="15" applyFont="1" applyBorder="1" applyAlignment="1">
      <alignment horizontal="center" vertical="center" readingOrder="2"/>
    </xf>
    <xf numFmtId="3" fontId="6" fillId="17" borderId="93" xfId="15" applyNumberFormat="1" applyFont="1" applyFill="1" applyBorder="1" applyAlignment="1">
      <alignment horizontal="center" vertical="center" readingOrder="2"/>
    </xf>
    <xf numFmtId="177" fontId="7" fillId="2" borderId="91" xfId="15" applyNumberFormat="1" applyFont="1" applyFill="1" applyBorder="1" applyAlignment="1">
      <alignment horizontal="center" vertical="center" readingOrder="2"/>
    </xf>
    <xf numFmtId="177" fontId="7" fillId="2" borderId="93" xfId="15" applyNumberFormat="1" applyFont="1" applyFill="1" applyBorder="1" applyAlignment="1">
      <alignment horizontal="center" vertical="center" readingOrder="2"/>
    </xf>
    <xf numFmtId="177" fontId="7" fillId="2" borderId="90" xfId="15" applyNumberFormat="1" applyFont="1" applyFill="1" applyBorder="1" applyAlignment="1">
      <alignment horizontal="center" vertical="center" readingOrder="2"/>
    </xf>
    <xf numFmtId="177" fontId="65" fillId="15" borderId="93" xfId="15" applyNumberFormat="1" applyFont="1" applyFill="1" applyBorder="1" applyAlignment="1">
      <alignment horizontal="center" vertical="center" readingOrder="2"/>
    </xf>
    <xf numFmtId="177" fontId="65" fillId="15" borderId="94" xfId="15" applyNumberFormat="1" applyFont="1" applyFill="1" applyBorder="1" applyAlignment="1">
      <alignment horizontal="center" vertical="center" readingOrder="2"/>
    </xf>
    <xf numFmtId="0" fontId="6" fillId="0" borderId="126" xfId="15" applyFont="1" applyBorder="1" applyAlignment="1">
      <alignment horizontal="center" vertical="center" readingOrder="2"/>
    </xf>
    <xf numFmtId="0" fontId="6" fillId="0" borderId="127" xfId="15" applyFont="1" applyBorder="1" applyAlignment="1">
      <alignment horizontal="center" vertical="center" readingOrder="2"/>
    </xf>
    <xf numFmtId="0" fontId="6" fillId="0" borderId="128" xfId="15" applyFont="1" applyBorder="1" applyAlignment="1">
      <alignment horizontal="center" vertical="center" readingOrder="2"/>
    </xf>
    <xf numFmtId="0" fontId="6" fillId="0" borderId="129" xfId="15" applyFont="1" applyBorder="1" applyAlignment="1">
      <alignment horizontal="center" vertical="center" readingOrder="2"/>
    </xf>
    <xf numFmtId="0" fontId="6" fillId="0" borderId="130" xfId="15" applyFont="1" applyBorder="1" applyAlignment="1">
      <alignment horizontal="center" vertical="center" readingOrder="2"/>
    </xf>
    <xf numFmtId="3" fontId="6" fillId="17" borderId="127" xfId="15" applyNumberFormat="1" applyFont="1" applyFill="1" applyBorder="1" applyAlignment="1">
      <alignment horizontal="center" vertical="center" readingOrder="2"/>
    </xf>
    <xf numFmtId="3" fontId="6" fillId="17" borderId="132" xfId="15" applyNumberFormat="1" applyFont="1" applyFill="1" applyBorder="1" applyAlignment="1">
      <alignment horizontal="center" vertical="center" readingOrder="2"/>
    </xf>
    <xf numFmtId="0" fontId="6" fillId="0" borderId="117" xfId="15" applyFont="1" applyBorder="1" applyAlignment="1">
      <alignment horizontal="center" vertical="center" readingOrder="2"/>
    </xf>
    <xf numFmtId="0" fontId="6" fillId="0" borderId="114" xfId="15" applyFont="1" applyBorder="1" applyAlignment="1">
      <alignment horizontal="center" vertical="center" readingOrder="2"/>
    </xf>
    <xf numFmtId="0" fontId="6" fillId="0" borderId="118" xfId="15" applyFont="1" applyBorder="1" applyAlignment="1">
      <alignment horizontal="center" vertical="center" readingOrder="2"/>
    </xf>
    <xf numFmtId="0" fontId="6" fillId="0" borderId="119" xfId="15" applyFont="1" applyBorder="1" applyAlignment="1">
      <alignment horizontal="center" vertical="center" readingOrder="2"/>
    </xf>
    <xf numFmtId="0" fontId="6" fillId="0" borderId="120" xfId="15" applyFont="1" applyBorder="1" applyAlignment="1">
      <alignment horizontal="center" vertical="center" readingOrder="2"/>
    </xf>
    <xf numFmtId="3" fontId="6" fillId="17" borderId="114" xfId="15" applyNumberFormat="1" applyFont="1" applyFill="1" applyBorder="1" applyAlignment="1">
      <alignment horizontal="center" vertical="center" readingOrder="2"/>
    </xf>
    <xf numFmtId="177" fontId="7" fillId="2" borderId="121" xfId="15" applyNumberFormat="1" applyFont="1" applyFill="1" applyBorder="1" applyAlignment="1">
      <alignment horizontal="center" vertical="center" readingOrder="2"/>
    </xf>
    <xf numFmtId="177" fontId="7" fillId="2" borderId="122" xfId="15" applyNumberFormat="1" applyFont="1" applyFill="1" applyBorder="1" applyAlignment="1">
      <alignment horizontal="center" vertical="center" readingOrder="2"/>
    </xf>
    <xf numFmtId="177" fontId="7" fillId="2" borderId="123" xfId="15" applyNumberFormat="1" applyFont="1" applyFill="1" applyBorder="1" applyAlignment="1">
      <alignment horizontal="center" vertical="center" readingOrder="2"/>
    </xf>
    <xf numFmtId="177" fontId="65" fillId="15" borderId="114" xfId="15" applyNumberFormat="1" applyFont="1" applyFill="1" applyBorder="1" applyAlignment="1">
      <alignment horizontal="center" vertical="center" readingOrder="2"/>
    </xf>
    <xf numFmtId="177" fontId="65" fillId="15" borderId="124" xfId="15" applyNumberFormat="1" applyFont="1" applyFill="1" applyBorder="1" applyAlignment="1">
      <alignment horizontal="center" vertical="center" readingOrder="2"/>
    </xf>
    <xf numFmtId="0" fontId="2" fillId="0" borderId="0" xfId="15" applyFont="1" applyAlignment="1">
      <alignment horizontal="center" vertical="center" readingOrder="2"/>
    </xf>
    <xf numFmtId="0" fontId="2" fillId="0" borderId="7" xfId="15" applyFont="1" applyBorder="1" applyAlignment="1">
      <alignment horizontal="center" vertical="center" readingOrder="2"/>
    </xf>
    <xf numFmtId="0" fontId="2" fillId="0" borderId="6" xfId="15" applyFont="1" applyBorder="1" applyAlignment="1">
      <alignment horizontal="center" vertical="center" readingOrder="2"/>
    </xf>
    <xf numFmtId="0" fontId="2" fillId="0" borderId="8" xfId="15" applyFont="1" applyBorder="1" applyAlignment="1">
      <alignment horizontal="center" vertical="center" readingOrder="2"/>
    </xf>
    <xf numFmtId="0" fontId="8" fillId="0" borderId="9" xfId="15" applyFont="1" applyBorder="1" applyAlignment="1">
      <alignment horizontal="center" vertical="center" readingOrder="2"/>
    </xf>
    <xf numFmtId="0" fontId="8" fillId="0" borderId="0" xfId="15" applyFont="1" applyAlignment="1">
      <alignment horizontal="center" vertical="center" readingOrder="2"/>
    </xf>
    <xf numFmtId="0" fontId="8" fillId="0" borderId="10" xfId="15" applyFont="1" applyBorder="1" applyAlignment="1">
      <alignment horizontal="center" vertical="center" readingOrder="2"/>
    </xf>
    <xf numFmtId="0" fontId="6" fillId="0" borderId="9" xfId="15" applyFont="1" applyBorder="1" applyAlignment="1">
      <alignment horizontal="center" vertical="center" readingOrder="2"/>
    </xf>
    <xf numFmtId="0" fontId="6" fillId="0" borderId="0" xfId="15" applyFont="1" applyAlignment="1">
      <alignment horizontal="center" vertical="center" readingOrder="2"/>
    </xf>
    <xf numFmtId="0" fontId="6" fillId="0" borderId="10" xfId="15" applyFont="1" applyBorder="1" applyAlignment="1">
      <alignment horizontal="center" vertical="center" readingOrder="2"/>
    </xf>
    <xf numFmtId="0" fontId="6" fillId="0" borderId="95" xfId="15" applyFont="1" applyBorder="1" applyAlignment="1">
      <alignment horizontal="center" vertical="center" readingOrder="2"/>
    </xf>
    <xf numFmtId="0" fontId="6" fillId="0" borderId="87" xfId="15" applyFont="1" applyBorder="1" applyAlignment="1">
      <alignment horizontal="center" vertical="center" readingOrder="2"/>
    </xf>
    <xf numFmtId="0" fontId="6" fillId="0" borderId="51" xfId="15" applyFont="1" applyBorder="1" applyAlignment="1">
      <alignment horizontal="center" vertical="center" wrapText="1" readingOrder="2"/>
    </xf>
    <xf numFmtId="0" fontId="6" fillId="0" borderId="6" xfId="15" applyFont="1" applyBorder="1" applyAlignment="1">
      <alignment horizontal="center" vertical="center" wrapText="1" readingOrder="2"/>
    </xf>
    <xf numFmtId="0" fontId="6" fillId="0" borderId="96" xfId="15" applyFont="1" applyBorder="1" applyAlignment="1">
      <alignment horizontal="center" vertical="center" wrapText="1" readingOrder="2"/>
    </xf>
    <xf numFmtId="0" fontId="6" fillId="0" borderId="105" xfId="15" applyFont="1" applyBorder="1" applyAlignment="1">
      <alignment horizontal="center" vertical="center" wrapText="1" readingOrder="2"/>
    </xf>
    <xf numFmtId="0" fontId="6" fillId="0" borderId="106" xfId="15" applyFont="1" applyBorder="1" applyAlignment="1">
      <alignment horizontal="center" vertical="center" wrapText="1" readingOrder="2"/>
    </xf>
    <xf numFmtId="0" fontId="6" fillId="0" borderId="107" xfId="15" applyFont="1" applyBorder="1" applyAlignment="1">
      <alignment horizontal="center" vertical="center" wrapText="1" readingOrder="2"/>
    </xf>
    <xf numFmtId="0" fontId="6" fillId="17" borderId="97" xfId="15" applyFont="1" applyFill="1" applyBorder="1" applyAlignment="1">
      <alignment horizontal="center" vertical="center" wrapText="1" readingOrder="2"/>
    </xf>
    <xf numFmtId="0" fontId="6" fillId="17" borderId="98" xfId="15" applyFont="1" applyFill="1" applyBorder="1" applyAlignment="1">
      <alignment horizontal="center" vertical="center" wrapText="1" readingOrder="2"/>
    </xf>
    <xf numFmtId="0" fontId="6" fillId="17" borderId="99" xfId="15" applyFont="1" applyFill="1" applyBorder="1" applyAlignment="1">
      <alignment horizontal="center" vertical="center" wrapText="1" readingOrder="2"/>
    </xf>
    <xf numFmtId="0" fontId="6" fillId="17" borderId="108" xfId="15" applyFont="1" applyFill="1" applyBorder="1" applyAlignment="1">
      <alignment horizontal="center" vertical="center" wrapText="1" readingOrder="2"/>
    </xf>
    <xf numFmtId="0" fontId="6" fillId="17" borderId="103" xfId="15" applyFont="1" applyFill="1" applyBorder="1" applyAlignment="1">
      <alignment horizontal="center" vertical="center" wrapText="1" readingOrder="2"/>
    </xf>
    <xf numFmtId="0" fontId="6" fillId="17" borderId="109" xfId="15" applyFont="1" applyFill="1" applyBorder="1" applyAlignment="1">
      <alignment horizontal="center" vertical="center" wrapText="1" readingOrder="2"/>
    </xf>
    <xf numFmtId="0" fontId="63" fillId="2" borderId="97" xfId="15" applyFont="1" applyFill="1" applyBorder="1" applyAlignment="1">
      <alignment horizontal="center" vertical="center" wrapText="1" readingOrder="2"/>
    </xf>
    <xf numFmtId="0" fontId="63" fillId="2" borderId="98" xfId="15" applyFont="1" applyFill="1" applyBorder="1" applyAlignment="1">
      <alignment horizontal="center" vertical="center" wrapText="1" readingOrder="2"/>
    </xf>
    <xf numFmtId="0" fontId="63" fillId="2" borderId="99" xfId="15" applyFont="1" applyFill="1" applyBorder="1" applyAlignment="1">
      <alignment horizontal="center" vertical="center" wrapText="1" readingOrder="2"/>
    </xf>
    <xf numFmtId="0" fontId="63" fillId="2" borderId="108" xfId="15" applyFont="1" applyFill="1" applyBorder="1" applyAlignment="1">
      <alignment horizontal="center" vertical="center" wrapText="1" readingOrder="2"/>
    </xf>
    <xf numFmtId="0" fontId="63" fillId="2" borderId="103" xfId="15" applyFont="1" applyFill="1" applyBorder="1" applyAlignment="1">
      <alignment horizontal="center" vertical="center" wrapText="1" readingOrder="2"/>
    </xf>
    <xf numFmtId="0" fontId="63" fillId="2" borderId="109" xfId="15" applyFont="1" applyFill="1" applyBorder="1" applyAlignment="1">
      <alignment horizontal="center" vertical="center" wrapText="1" readingOrder="2"/>
    </xf>
    <xf numFmtId="0" fontId="63" fillId="15" borderId="100" xfId="15" applyFont="1" applyFill="1" applyBorder="1" applyAlignment="1">
      <alignment horizontal="center" vertical="center" wrapText="1" readingOrder="2"/>
    </xf>
    <xf numFmtId="0" fontId="63" fillId="15" borderId="98" xfId="15" applyFont="1" applyFill="1" applyBorder="1" applyAlignment="1">
      <alignment horizontal="center" vertical="center" wrapText="1" readingOrder="2"/>
    </xf>
    <xf numFmtId="0" fontId="63" fillId="15" borderId="101" xfId="15" applyFont="1" applyFill="1" applyBorder="1" applyAlignment="1">
      <alignment horizontal="center" vertical="center" wrapText="1" readingOrder="2"/>
    </xf>
    <xf numFmtId="0" fontId="63" fillId="15" borderId="110" xfId="15" applyFont="1" applyFill="1" applyBorder="1" applyAlignment="1">
      <alignment horizontal="center" vertical="center" wrapText="1" readingOrder="2"/>
    </xf>
    <xf numFmtId="0" fontId="63" fillId="15" borderId="103" xfId="15" applyFont="1" applyFill="1" applyBorder="1" applyAlignment="1">
      <alignment horizontal="center" vertical="center" wrapText="1" readingOrder="2"/>
    </xf>
    <xf numFmtId="0" fontId="63" fillId="15" borderId="111" xfId="15" applyFont="1" applyFill="1" applyBorder="1" applyAlignment="1">
      <alignment horizontal="center" vertical="center" wrapText="1" readingOrder="2"/>
    </xf>
    <xf numFmtId="0" fontId="6" fillId="0" borderId="103" xfId="15" applyFont="1" applyBorder="1" applyAlignment="1">
      <alignment horizontal="center" vertical="center" wrapText="1" readingOrder="2"/>
    </xf>
    <xf numFmtId="0" fontId="6" fillId="0" borderId="104" xfId="15" applyFont="1" applyBorder="1" applyAlignment="1">
      <alignment horizontal="center" vertical="center" wrapText="1" readingOrder="2"/>
    </xf>
    <xf numFmtId="49" fontId="62" fillId="0" borderId="89" xfId="15" applyNumberFormat="1" applyFont="1" applyBorder="1" applyAlignment="1">
      <alignment horizontal="center" vertical="center" readingOrder="2"/>
    </xf>
    <xf numFmtId="49" fontId="62" fillId="0" borderId="90" xfId="15" applyNumberFormat="1" applyFont="1" applyBorder="1" applyAlignment="1">
      <alignment horizontal="center" vertical="center" readingOrder="2"/>
    </xf>
    <xf numFmtId="49" fontId="62" fillId="0" borderId="91" xfId="15" applyNumberFormat="1" applyFont="1" applyBorder="1" applyAlignment="1">
      <alignment horizontal="center" vertical="center" readingOrder="2"/>
    </xf>
    <xf numFmtId="0" fontId="62" fillId="0" borderId="91" xfId="15" applyFont="1" applyBorder="1" applyAlignment="1">
      <alignment horizontal="center" vertical="center" readingOrder="2"/>
    </xf>
    <xf numFmtId="0" fontId="62" fillId="0" borderId="90" xfId="15" applyFont="1" applyBorder="1" applyAlignment="1">
      <alignment horizontal="center" vertical="center" readingOrder="2"/>
    </xf>
    <xf numFmtId="0" fontId="62" fillId="0" borderId="92" xfId="15" applyFont="1" applyBorder="1" applyAlignment="1">
      <alignment horizontal="center" vertical="center" readingOrder="2"/>
    </xf>
    <xf numFmtId="0" fontId="6" fillId="0" borderId="91" xfId="15" applyFont="1" applyBorder="1" applyAlignment="1">
      <alignment horizontal="center" vertical="center" readingOrder="2"/>
    </xf>
    <xf numFmtId="0" fontId="6" fillId="0" borderId="94" xfId="15" applyFont="1" applyBorder="1" applyAlignment="1">
      <alignment horizontal="center" vertical="center" readingOrder="2"/>
    </xf>
    <xf numFmtId="0" fontId="6" fillId="0" borderId="112" xfId="15" applyFont="1" applyBorder="1" applyAlignment="1">
      <alignment horizontal="center" vertical="center" wrapText="1" readingOrder="2"/>
    </xf>
    <xf numFmtId="0" fontId="6" fillId="0" borderId="113" xfId="15" applyFont="1" applyBorder="1" applyAlignment="1">
      <alignment horizontal="center" vertical="center" wrapText="1" readingOrder="2"/>
    </xf>
    <xf numFmtId="0" fontId="6" fillId="0" borderId="114" xfId="15" applyFont="1" applyBorder="1" applyAlignment="1">
      <alignment horizontal="center" vertical="center" wrapText="1" readingOrder="2"/>
    </xf>
    <xf numFmtId="0" fontId="6" fillId="0" borderId="115" xfId="15" applyFont="1" applyBorder="1" applyAlignment="1">
      <alignment horizontal="center" vertical="center" wrapText="1" readingOrder="2"/>
    </xf>
    <xf numFmtId="0" fontId="2" fillId="0" borderId="66" xfId="15" applyFont="1" applyBorder="1" applyAlignment="1">
      <alignment horizontal="center" vertical="center" readingOrder="2"/>
    </xf>
    <xf numFmtId="0" fontId="2" fillId="0" borderId="67" xfId="15" applyFont="1" applyBorder="1" applyAlignment="1">
      <alignment horizontal="center" vertical="center" readingOrder="2"/>
    </xf>
    <xf numFmtId="0" fontId="2" fillId="0" borderId="68" xfId="15" applyFont="1" applyBorder="1" applyAlignment="1">
      <alignment horizontal="center" vertical="center" readingOrder="2"/>
    </xf>
    <xf numFmtId="0" fontId="2" fillId="0" borderId="73" xfId="15" applyFont="1" applyBorder="1" applyAlignment="1">
      <alignment horizontal="center" vertical="center" readingOrder="2"/>
    </xf>
    <xf numFmtId="0" fontId="2" fillId="0" borderId="41" xfId="15" applyFont="1" applyBorder="1" applyAlignment="1">
      <alignment horizontal="center" vertical="center" readingOrder="2"/>
    </xf>
    <xf numFmtId="0" fontId="2" fillId="0" borderId="43" xfId="15" applyFont="1" applyBorder="1" applyAlignment="1">
      <alignment horizontal="center" vertical="center" readingOrder="2"/>
    </xf>
    <xf numFmtId="0" fontId="2" fillId="0" borderId="77" xfId="15" applyFont="1" applyBorder="1" applyAlignment="1">
      <alignment horizontal="center" vertical="center" readingOrder="2"/>
    </xf>
    <xf numFmtId="0" fontId="2" fillId="0" borderId="78" xfId="15" applyFont="1" applyBorder="1" applyAlignment="1">
      <alignment horizontal="center" vertical="center" readingOrder="2"/>
    </xf>
    <xf numFmtId="0" fontId="2" fillId="0" borderId="79" xfId="15" applyFont="1" applyBorder="1" applyAlignment="1">
      <alignment horizontal="center" vertical="center" readingOrder="2"/>
    </xf>
    <xf numFmtId="0" fontId="61" fillId="0" borderId="69" xfId="15" applyFont="1" applyBorder="1" applyAlignment="1">
      <alignment horizontal="center" vertical="center" wrapText="1" readingOrder="2"/>
    </xf>
    <xf numFmtId="0" fontId="61" fillId="0" borderId="67" xfId="15" applyFont="1" applyBorder="1" applyAlignment="1">
      <alignment horizontal="center" vertical="center" readingOrder="2"/>
    </xf>
    <xf numFmtId="0" fontId="61" fillId="0" borderId="70" xfId="15" applyFont="1" applyBorder="1" applyAlignment="1">
      <alignment horizontal="center" vertical="center" readingOrder="2"/>
    </xf>
    <xf numFmtId="0" fontId="61" fillId="0" borderId="74" xfId="15" applyFont="1" applyBorder="1" applyAlignment="1">
      <alignment horizontal="center" vertical="center" readingOrder="2"/>
    </xf>
    <xf numFmtId="0" fontId="61" fillId="0" borderId="41" xfId="15" applyFont="1" applyBorder="1" applyAlignment="1">
      <alignment horizontal="center" vertical="center" readingOrder="2"/>
    </xf>
    <xf numFmtId="0" fontId="61" fillId="0" borderId="75" xfId="15" applyFont="1" applyBorder="1" applyAlignment="1">
      <alignment horizontal="center" vertical="center" readingOrder="2"/>
    </xf>
    <xf numFmtId="0" fontId="61" fillId="0" borderId="80" xfId="15" applyFont="1" applyBorder="1" applyAlignment="1">
      <alignment horizontal="center" vertical="center" readingOrder="2"/>
    </xf>
    <xf numFmtId="0" fontId="61" fillId="0" borderId="78" xfId="15" applyFont="1" applyBorder="1" applyAlignment="1">
      <alignment horizontal="center" vertical="center" readingOrder="2"/>
    </xf>
    <xf numFmtId="0" fontId="61" fillId="0" borderId="81" xfId="15" applyFont="1" applyBorder="1" applyAlignment="1">
      <alignment horizontal="center" vertical="center" readingOrder="2"/>
    </xf>
    <xf numFmtId="0" fontId="2" fillId="0" borderId="71" xfId="15" applyFont="1" applyBorder="1" applyAlignment="1">
      <alignment horizontal="center" vertical="center" readingOrder="2"/>
    </xf>
    <xf numFmtId="0" fontId="2" fillId="0" borderId="72" xfId="15" applyFont="1" applyBorder="1" applyAlignment="1">
      <alignment horizontal="center" vertical="center" readingOrder="2"/>
    </xf>
    <xf numFmtId="0" fontId="2" fillId="0" borderId="46" xfId="15" applyFont="1" applyBorder="1" applyAlignment="1">
      <alignment horizontal="center" vertical="center" readingOrder="2"/>
    </xf>
    <xf numFmtId="0" fontId="2" fillId="0" borderId="76" xfId="15" applyFont="1" applyBorder="1" applyAlignment="1">
      <alignment horizontal="center" vertical="center" readingOrder="2"/>
    </xf>
    <xf numFmtId="0" fontId="2" fillId="0" borderId="82" xfId="15" applyFont="1" applyBorder="1" applyAlignment="1">
      <alignment horizontal="center" vertical="center" readingOrder="2"/>
    </xf>
    <xf numFmtId="0" fontId="2" fillId="0" borderId="83" xfId="15" applyFont="1" applyBorder="1" applyAlignment="1">
      <alignment horizontal="center" vertical="center" readingOrder="2"/>
    </xf>
    <xf numFmtId="0" fontId="62" fillId="0" borderId="84" xfId="15" applyFont="1" applyBorder="1" applyAlignment="1">
      <alignment horizontal="center" vertical="center" readingOrder="2"/>
    </xf>
    <xf numFmtId="0" fontId="62" fillId="0" borderId="85" xfId="15" applyFont="1" applyBorder="1" applyAlignment="1">
      <alignment horizontal="center" vertical="center" readingOrder="2"/>
    </xf>
    <xf numFmtId="0" fontId="6" fillId="0" borderId="86" xfId="15" applyFont="1" applyBorder="1" applyAlignment="1">
      <alignment horizontal="center" vertical="center" readingOrder="2"/>
    </xf>
    <xf numFmtId="0" fontId="6" fillId="0" borderId="88" xfId="15" applyFont="1" applyBorder="1" applyAlignment="1">
      <alignment horizontal="center" vertical="center" readingOrder="2"/>
    </xf>
    <xf numFmtId="177" fontId="6" fillId="19" borderId="140" xfId="15" applyNumberFormat="1" applyFont="1" applyFill="1" applyBorder="1" applyAlignment="1">
      <alignment horizontal="center" vertical="center" readingOrder="2"/>
    </xf>
    <xf numFmtId="177" fontId="6" fillId="19" borderId="93" xfId="15" applyNumberFormat="1" applyFont="1" applyFill="1" applyBorder="1" applyAlignment="1">
      <alignment horizontal="center" vertical="center" readingOrder="2"/>
    </xf>
    <xf numFmtId="177" fontId="6" fillId="19" borderId="193" xfId="15" applyNumberFormat="1" applyFont="1" applyFill="1" applyBorder="1" applyAlignment="1">
      <alignment horizontal="center" vertical="center" readingOrder="2"/>
    </xf>
    <xf numFmtId="0" fontId="6" fillId="19" borderId="142" xfId="15" applyFont="1" applyFill="1" applyBorder="1" applyAlignment="1">
      <alignment horizontal="center" vertical="center" readingOrder="2"/>
    </xf>
    <xf numFmtId="0" fontId="6" fillId="19" borderId="143" xfId="15" applyFont="1" applyFill="1" applyBorder="1" applyAlignment="1">
      <alignment horizontal="center" vertical="center" readingOrder="2"/>
    </xf>
    <xf numFmtId="0" fontId="6" fillId="0" borderId="152" xfId="15" applyFont="1" applyBorder="1" applyAlignment="1">
      <alignment horizontal="center" vertical="center" readingOrder="2"/>
    </xf>
    <xf numFmtId="0" fontId="2" fillId="0" borderId="139" xfId="15" applyFont="1" applyBorder="1" applyAlignment="1">
      <alignment horizontal="center" vertical="center" readingOrder="2"/>
    </xf>
    <xf numFmtId="0" fontId="2" fillId="0" borderId="142" xfId="15" applyFont="1" applyBorder="1" applyAlignment="1">
      <alignment horizontal="center" vertical="center" readingOrder="2"/>
    </xf>
    <xf numFmtId="0" fontId="2" fillId="0" borderId="197" xfId="15" applyFont="1" applyBorder="1" applyAlignment="1">
      <alignment horizontal="center" vertical="center" readingOrder="2"/>
    </xf>
    <xf numFmtId="0" fontId="5" fillId="0" borderId="214" xfId="15" applyFont="1" applyBorder="1" applyAlignment="1">
      <alignment horizontal="center" vertical="center" readingOrder="2"/>
    </xf>
    <xf numFmtId="0" fontId="5" fillId="0" borderId="73" xfId="15" applyFont="1" applyBorder="1" applyAlignment="1">
      <alignment horizontal="center" vertical="center" readingOrder="2"/>
    </xf>
    <xf numFmtId="0" fontId="5" fillId="0" borderId="174" xfId="15" applyFont="1" applyBorder="1" applyAlignment="1">
      <alignment horizontal="center" vertical="center" readingOrder="2"/>
    </xf>
    <xf numFmtId="0" fontId="6" fillId="0" borderId="241" xfId="15" applyFont="1" applyBorder="1" applyAlignment="1">
      <alignment horizontal="center" vertical="center" readingOrder="2"/>
    </xf>
    <xf numFmtId="0" fontId="6" fillId="0" borderId="230" xfId="15" applyFont="1" applyBorder="1" applyAlignment="1">
      <alignment horizontal="center" vertical="center" readingOrder="2"/>
    </xf>
    <xf numFmtId="0" fontId="6" fillId="0" borderId="231" xfId="15" applyFont="1" applyBorder="1" applyAlignment="1">
      <alignment horizontal="center" vertical="center" readingOrder="2"/>
    </xf>
    <xf numFmtId="0" fontId="6" fillId="0" borderId="43" xfId="15" applyFont="1" applyBorder="1" applyAlignment="1">
      <alignment horizontal="center" vertical="center" readingOrder="2"/>
    </xf>
    <xf numFmtId="0" fontId="6" fillId="0" borderId="62" xfId="15" applyFont="1" applyBorder="1" applyAlignment="1">
      <alignment horizontal="center" vertical="center" readingOrder="2"/>
    </xf>
    <xf numFmtId="0" fontId="6" fillId="0" borderId="175" xfId="15" applyFont="1" applyBorder="1" applyAlignment="1">
      <alignment horizontal="center" vertical="center" readingOrder="2"/>
    </xf>
    <xf numFmtId="0" fontId="6" fillId="0" borderId="58" xfId="15" applyFont="1" applyBorder="1" applyAlignment="1">
      <alignment horizontal="center" vertical="center" readingOrder="2"/>
    </xf>
    <xf numFmtId="0" fontId="6" fillId="0" borderId="64" xfId="15" applyFont="1" applyBorder="1" applyAlignment="1">
      <alignment horizontal="center" vertical="center" readingOrder="2"/>
    </xf>
    <xf numFmtId="177" fontId="6" fillId="17" borderId="185" xfId="15" applyNumberFormat="1" applyFont="1" applyFill="1" applyBorder="1" applyAlignment="1">
      <alignment horizontal="center" vertical="center" readingOrder="2"/>
    </xf>
    <xf numFmtId="177" fontId="6" fillId="17" borderId="171" xfId="15" applyNumberFormat="1" applyFont="1" applyFill="1" applyBorder="1" applyAlignment="1">
      <alignment horizontal="center" vertical="center" readingOrder="2"/>
    </xf>
    <xf numFmtId="177" fontId="6" fillId="17" borderId="172" xfId="15" applyNumberFormat="1" applyFont="1" applyFill="1" applyBorder="1" applyAlignment="1">
      <alignment horizontal="center" vertical="center" readingOrder="2"/>
    </xf>
    <xf numFmtId="177" fontId="6" fillId="17" borderId="170" xfId="15" applyNumberFormat="1" applyFont="1" applyFill="1" applyBorder="1" applyAlignment="1">
      <alignment horizontal="center" vertical="center" readingOrder="2"/>
    </xf>
    <xf numFmtId="177" fontId="6" fillId="17" borderId="173" xfId="15" applyNumberFormat="1" applyFont="1" applyFill="1" applyBorder="1" applyAlignment="1">
      <alignment horizontal="center" vertical="center" readingOrder="2"/>
    </xf>
    <xf numFmtId="0" fontId="6" fillId="17" borderId="173" xfId="15" applyFont="1" applyFill="1" applyBorder="1" applyAlignment="1">
      <alignment horizontal="center" vertical="center" readingOrder="2"/>
    </xf>
    <xf numFmtId="0" fontId="6" fillId="17" borderId="180" xfId="15" applyFont="1" applyFill="1" applyBorder="1" applyAlignment="1">
      <alignment horizontal="center" vertical="center" readingOrder="2"/>
    </xf>
    <xf numFmtId="0" fontId="6" fillId="0" borderId="150" xfId="15" applyFont="1" applyBorder="1" applyAlignment="1">
      <alignment horizontal="center" vertical="center" readingOrder="2"/>
    </xf>
    <xf numFmtId="0" fontId="6" fillId="0" borderId="98" xfId="15" applyFont="1" applyBorder="1" applyAlignment="1">
      <alignment horizontal="center" vertical="center" readingOrder="2"/>
    </xf>
    <xf numFmtId="0" fontId="6" fillId="0" borderId="98" xfId="15" applyFont="1" applyBorder="1" applyAlignment="1">
      <alignment horizontal="center" vertical="center" wrapText="1" readingOrder="2"/>
    </xf>
    <xf numFmtId="0" fontId="6" fillId="0" borderId="101" xfId="15" applyFont="1" applyBorder="1" applyAlignment="1">
      <alignment horizontal="center" vertical="center" readingOrder="2"/>
    </xf>
    <xf numFmtId="0" fontId="6" fillId="19" borderId="190" xfId="15" applyFont="1" applyFill="1" applyBorder="1" applyAlignment="1">
      <alignment horizontal="center" vertical="center" readingOrder="2"/>
    </xf>
    <xf numFmtId="0" fontId="6" fillId="19" borderId="114" xfId="15" applyFont="1" applyFill="1" applyBorder="1" applyAlignment="1">
      <alignment horizontal="center" vertical="center" readingOrder="2"/>
    </xf>
    <xf numFmtId="0" fontId="6" fillId="19" borderId="9" xfId="15" applyFont="1" applyFill="1" applyBorder="1" applyAlignment="1">
      <alignment horizontal="center" vertical="center" readingOrder="2"/>
    </xf>
    <xf numFmtId="0" fontId="6" fillId="19" borderId="0" xfId="15" applyFont="1" applyFill="1" applyAlignment="1">
      <alignment horizontal="center" vertical="center" readingOrder="2"/>
    </xf>
    <xf numFmtId="0" fontId="6" fillId="19" borderId="144" xfId="15" applyFont="1" applyFill="1" applyBorder="1" applyAlignment="1">
      <alignment horizontal="center" vertical="center" readingOrder="2"/>
    </xf>
    <xf numFmtId="0" fontId="6" fillId="19" borderId="145" xfId="15" applyFont="1" applyFill="1" applyBorder="1" applyAlignment="1">
      <alignment horizontal="center" vertical="center" readingOrder="2"/>
    </xf>
    <xf numFmtId="177" fontId="6" fillId="19" borderId="121" xfId="15" applyNumberFormat="1" applyFont="1" applyFill="1" applyBorder="1" applyAlignment="1">
      <alignment horizontal="center" vertical="center" readingOrder="2"/>
    </xf>
    <xf numFmtId="177" fontId="6" fillId="19" borderId="122" xfId="15" applyNumberFormat="1" applyFont="1" applyFill="1" applyBorder="1" applyAlignment="1">
      <alignment horizontal="center" vertical="center" readingOrder="2"/>
    </xf>
    <xf numFmtId="177" fontId="6" fillId="19" borderId="191" xfId="15" applyNumberFormat="1" applyFont="1" applyFill="1" applyBorder="1" applyAlignment="1">
      <alignment horizontal="center" vertical="center" readingOrder="2"/>
    </xf>
    <xf numFmtId="177" fontId="6" fillId="19" borderId="192" xfId="15" applyNumberFormat="1" applyFont="1" applyFill="1" applyBorder="1" applyAlignment="1">
      <alignment horizontal="center" vertical="center" readingOrder="2"/>
    </xf>
    <xf numFmtId="177" fontId="5" fillId="19" borderId="121" xfId="15" applyNumberFormat="1" applyFont="1" applyFill="1" applyBorder="1" applyAlignment="1">
      <alignment horizontal="center" vertical="center" readingOrder="2"/>
    </xf>
    <xf numFmtId="177" fontId="5" fillId="19" borderId="122" xfId="15" applyNumberFormat="1" applyFont="1" applyFill="1" applyBorder="1" applyAlignment="1">
      <alignment horizontal="center" vertical="center" readingOrder="2"/>
    </xf>
    <xf numFmtId="177" fontId="5" fillId="19" borderId="191" xfId="15" applyNumberFormat="1" applyFont="1" applyFill="1" applyBorder="1" applyAlignment="1">
      <alignment horizontal="center" vertical="center" readingOrder="2"/>
    </xf>
    <xf numFmtId="0" fontId="6" fillId="19" borderId="119" xfId="15" applyFont="1" applyFill="1" applyBorder="1" applyAlignment="1">
      <alignment horizontal="center" vertical="center" readingOrder="2"/>
    </xf>
    <xf numFmtId="0" fontId="6" fillId="19" borderId="120" xfId="15" applyFont="1" applyFill="1" applyBorder="1" applyAlignment="1">
      <alignment horizontal="center" vertical="center" readingOrder="2"/>
    </xf>
    <xf numFmtId="10" fontId="16" fillId="46" borderId="155" xfId="3" applyNumberFormat="1" applyFont="1" applyFill="1" applyBorder="1" applyAlignment="1">
      <alignment horizontal="center" vertical="center" readingOrder="2"/>
    </xf>
    <xf numFmtId="10" fontId="16" fillId="46" borderId="156" xfId="3" applyNumberFormat="1" applyFont="1" applyFill="1" applyBorder="1" applyAlignment="1">
      <alignment horizontal="center" vertical="center" readingOrder="2"/>
    </xf>
    <xf numFmtId="10" fontId="16" fillId="46" borderId="157" xfId="3" applyNumberFormat="1" applyFont="1" applyFill="1" applyBorder="1" applyAlignment="1">
      <alignment horizontal="center" vertical="center" readingOrder="2"/>
    </xf>
    <xf numFmtId="10" fontId="16" fillId="46" borderId="31" xfId="3" applyNumberFormat="1" applyFont="1" applyFill="1" applyBorder="1" applyAlignment="1">
      <alignment horizontal="center" vertical="center" readingOrder="2"/>
    </xf>
    <xf numFmtId="10" fontId="16" fillId="46" borderId="59" xfId="3" applyNumberFormat="1" applyFont="1" applyFill="1" applyBorder="1" applyAlignment="1">
      <alignment horizontal="center" vertical="center" readingOrder="2"/>
    </xf>
    <xf numFmtId="10" fontId="16" fillId="46" borderId="159" xfId="3" applyNumberFormat="1" applyFont="1" applyFill="1" applyBorder="1" applyAlignment="1">
      <alignment horizontal="center" vertical="center" readingOrder="2"/>
    </xf>
    <xf numFmtId="10" fontId="16" fillId="46" borderId="194" xfId="3" applyNumberFormat="1" applyFont="1" applyFill="1" applyBorder="1" applyAlignment="1">
      <alignment horizontal="center" vertical="center" readingOrder="2"/>
    </xf>
    <xf numFmtId="10" fontId="16" fillId="46" borderId="195" xfId="3" applyNumberFormat="1" applyFont="1" applyFill="1" applyBorder="1" applyAlignment="1">
      <alignment horizontal="center" vertical="center" readingOrder="2"/>
    </xf>
    <xf numFmtId="10" fontId="16" fillId="46" borderId="196" xfId="3" applyNumberFormat="1" applyFont="1" applyFill="1" applyBorder="1" applyAlignment="1">
      <alignment horizontal="center" vertical="center" readingOrder="2"/>
    </xf>
    <xf numFmtId="177" fontId="7" fillId="19" borderId="131" xfId="15" applyNumberFormat="1" applyFont="1" applyFill="1" applyBorder="1" applyAlignment="1">
      <alignment horizontal="center" vertical="center" readingOrder="2"/>
    </xf>
    <xf numFmtId="177" fontId="7" fillId="19" borderId="127" xfId="15" applyNumberFormat="1" applyFont="1" applyFill="1" applyBorder="1" applyAlignment="1">
      <alignment horizontal="center" vertical="center" readingOrder="2"/>
    </xf>
    <xf numFmtId="177" fontId="7" fillId="19" borderId="158" xfId="15" applyNumberFormat="1" applyFont="1" applyFill="1" applyBorder="1" applyAlignment="1">
      <alignment horizontal="center" vertical="center" readingOrder="2"/>
    </xf>
    <xf numFmtId="177" fontId="7" fillId="19" borderId="126" xfId="15" applyNumberFormat="1" applyFont="1" applyFill="1" applyBorder="1" applyAlignment="1">
      <alignment horizontal="center" vertical="center" readingOrder="2"/>
    </xf>
    <xf numFmtId="177" fontId="0" fillId="0" borderId="127" xfId="0" applyNumberFormat="1" applyBorder="1"/>
    <xf numFmtId="177" fontId="0" fillId="0" borderId="158" xfId="0" applyNumberFormat="1" applyBorder="1"/>
    <xf numFmtId="177" fontId="108" fillId="19" borderId="131" xfId="15" applyNumberFormat="1" applyFont="1" applyFill="1" applyBorder="1" applyAlignment="1">
      <alignment horizontal="center" vertical="center" readingOrder="2"/>
    </xf>
    <xf numFmtId="177" fontId="108" fillId="19" borderId="127" xfId="15" applyNumberFormat="1" applyFont="1" applyFill="1" applyBorder="1" applyAlignment="1">
      <alignment horizontal="center" vertical="center" readingOrder="2"/>
    </xf>
    <xf numFmtId="177" fontId="108" fillId="19" borderId="158" xfId="15" applyNumberFormat="1" applyFont="1" applyFill="1" applyBorder="1" applyAlignment="1">
      <alignment horizontal="center" vertical="center" readingOrder="2"/>
    </xf>
    <xf numFmtId="0" fontId="6" fillId="19" borderId="129" xfId="15" applyFont="1" applyFill="1" applyBorder="1" applyAlignment="1">
      <alignment horizontal="center" vertical="center" readingOrder="2"/>
    </xf>
    <xf numFmtId="0" fontId="6" fillId="19" borderId="130" xfId="15" applyFont="1" applyFill="1" applyBorder="1" applyAlignment="1">
      <alignment horizontal="center" vertical="center" readingOrder="2"/>
    </xf>
    <xf numFmtId="177" fontId="6" fillId="19" borderId="91" xfId="15" applyNumberFormat="1" applyFont="1" applyFill="1" applyBorder="1" applyAlignment="1">
      <alignment horizontal="center" vertical="center" readingOrder="2"/>
    </xf>
    <xf numFmtId="0" fontId="5" fillId="46" borderId="229" xfId="15" applyFont="1" applyFill="1" applyBorder="1" applyAlignment="1">
      <alignment horizontal="center" vertical="center" wrapText="1" readingOrder="2"/>
    </xf>
    <xf numFmtId="0" fontId="5" fillId="46" borderId="230" xfId="15" applyFont="1" applyFill="1" applyBorder="1" applyAlignment="1">
      <alignment horizontal="center" vertical="center" wrapText="1" readingOrder="2"/>
    </xf>
    <xf numFmtId="0" fontId="5" fillId="46" borderId="167" xfId="15" applyFont="1" applyFill="1" applyBorder="1" applyAlignment="1">
      <alignment horizontal="center" vertical="center" wrapText="1" readingOrder="2"/>
    </xf>
    <xf numFmtId="0" fontId="5" fillId="46" borderId="36" xfId="15" applyFont="1" applyFill="1" applyBorder="1" applyAlignment="1">
      <alignment horizontal="center" vertical="center" wrapText="1" readingOrder="2"/>
    </xf>
    <xf numFmtId="0" fontId="5" fillId="46" borderId="0" xfId="15" applyFont="1" applyFill="1" applyAlignment="1">
      <alignment horizontal="center" vertical="center" wrapText="1" readingOrder="2"/>
    </xf>
    <xf numFmtId="0" fontId="5" fillId="46" borderId="10" xfId="15" applyFont="1" applyFill="1" applyBorder="1" applyAlignment="1">
      <alignment horizontal="center" vertical="center" wrapText="1" readingOrder="2"/>
    </xf>
    <xf numFmtId="0" fontId="6" fillId="0" borderId="184" xfId="15" applyFont="1" applyBorder="1" applyAlignment="1">
      <alignment horizontal="center" vertical="center" readingOrder="2"/>
    </xf>
    <xf numFmtId="0" fontId="6" fillId="0" borderId="59" xfId="15" applyFont="1" applyBorder="1" applyAlignment="1">
      <alignment horizontal="center" vertical="center" readingOrder="2"/>
    </xf>
    <xf numFmtId="177" fontId="6" fillId="17" borderId="74" xfId="15" applyNumberFormat="1" applyFont="1" applyFill="1" applyBorder="1" applyAlignment="1">
      <alignment horizontal="center" vertical="center" readingOrder="2"/>
    </xf>
    <xf numFmtId="177" fontId="6" fillId="17" borderId="41" xfId="15" applyNumberFormat="1" applyFont="1" applyFill="1" applyBorder="1" applyAlignment="1">
      <alignment horizontal="center" vertical="center" readingOrder="2"/>
    </xf>
    <xf numFmtId="177" fontId="7" fillId="2" borderId="158" xfId="15" applyNumberFormat="1" applyFont="1" applyFill="1" applyBorder="1" applyAlignment="1">
      <alignment horizontal="center" vertical="center" readingOrder="2"/>
    </xf>
    <xf numFmtId="177" fontId="7" fillId="2" borderId="126" xfId="15" applyNumberFormat="1" applyFont="1" applyFill="1" applyBorder="1" applyAlignment="1">
      <alignment horizontal="center" vertical="center" readingOrder="2"/>
    </xf>
    <xf numFmtId="0" fontId="2" fillId="0" borderId="31" xfId="15" applyFont="1" applyBorder="1" applyAlignment="1">
      <alignment horizontal="center" vertical="center" readingOrder="2"/>
    </xf>
    <xf numFmtId="0" fontId="2" fillId="0" borderId="59" xfId="15" applyFont="1" applyBorder="1" applyAlignment="1">
      <alignment horizontal="center" vertical="center" readingOrder="2"/>
    </xf>
    <xf numFmtId="0" fontId="2" fillId="0" borderId="159" xfId="15" applyFont="1" applyBorder="1" applyAlignment="1">
      <alignment horizontal="center" vertical="center" readingOrder="2"/>
    </xf>
    <xf numFmtId="177" fontId="7" fillId="2" borderId="128" xfId="15" applyNumberFormat="1" applyFont="1" applyFill="1" applyBorder="1" applyAlignment="1">
      <alignment horizontal="center" vertical="center" readingOrder="2"/>
    </xf>
    <xf numFmtId="177" fontId="7" fillId="2" borderId="129" xfId="15" applyNumberFormat="1" applyFont="1" applyFill="1" applyBorder="1" applyAlignment="1">
      <alignment horizontal="center" vertical="center" readingOrder="2"/>
    </xf>
    <xf numFmtId="0" fontId="6" fillId="2" borderId="129" xfId="15" applyFont="1" applyFill="1" applyBorder="1" applyAlignment="1">
      <alignment horizontal="center" vertical="center" readingOrder="2"/>
    </xf>
    <xf numFmtId="0" fontId="6" fillId="2" borderId="130" xfId="15" applyFont="1" applyFill="1" applyBorder="1" applyAlignment="1">
      <alignment horizontal="center" vertical="center" readingOrder="2"/>
    </xf>
    <xf numFmtId="177" fontId="6" fillId="7" borderId="181" xfId="15" applyNumberFormat="1" applyFont="1" applyFill="1" applyBorder="1" applyAlignment="1">
      <alignment horizontal="center" vertical="center" readingOrder="2"/>
    </xf>
    <xf numFmtId="177" fontId="6" fillId="7" borderId="163" xfId="15" applyNumberFormat="1" applyFont="1" applyFill="1" applyBorder="1" applyAlignment="1">
      <alignment horizontal="center" vertical="center" readingOrder="2"/>
    </xf>
    <xf numFmtId="177" fontId="6" fillId="7" borderId="164" xfId="15" applyNumberFormat="1" applyFont="1" applyFill="1" applyBorder="1" applyAlignment="1">
      <alignment horizontal="center" vertical="center" readingOrder="2"/>
    </xf>
    <xf numFmtId="177" fontId="6" fillId="7" borderId="162" xfId="15" applyNumberFormat="1" applyFont="1" applyFill="1" applyBorder="1" applyAlignment="1">
      <alignment horizontal="center" vertical="center" readingOrder="2"/>
    </xf>
    <xf numFmtId="177" fontId="6" fillId="7" borderId="161" xfId="15" applyNumberFormat="1" applyFont="1" applyFill="1" applyBorder="1" applyAlignment="1">
      <alignment horizontal="center" vertical="center" readingOrder="2"/>
    </xf>
    <xf numFmtId="0" fontId="6" fillId="7" borderId="161" xfId="15" applyFont="1" applyFill="1" applyBorder="1" applyAlignment="1">
      <alignment horizontal="center" vertical="center" readingOrder="2"/>
    </xf>
    <xf numFmtId="0" fontId="6" fillId="7" borderId="182" xfId="15" applyFont="1" applyFill="1" applyBorder="1" applyAlignment="1">
      <alignment horizontal="center" vertical="center" readingOrder="2"/>
    </xf>
    <xf numFmtId="177" fontId="6" fillId="7" borderId="186" xfId="15" applyNumberFormat="1" applyFont="1" applyFill="1" applyBorder="1" applyAlignment="1">
      <alignment horizontal="center" vertical="center" readingOrder="2"/>
    </xf>
    <xf numFmtId="177" fontId="6" fillId="7" borderId="187" xfId="15" applyNumberFormat="1" applyFont="1" applyFill="1" applyBorder="1" applyAlignment="1">
      <alignment horizontal="center" vertical="center" readingOrder="2"/>
    </xf>
    <xf numFmtId="177" fontId="6" fillId="7" borderId="188" xfId="15" applyNumberFormat="1" applyFont="1" applyFill="1" applyBorder="1" applyAlignment="1">
      <alignment horizontal="center" vertical="center" readingOrder="2"/>
    </xf>
    <xf numFmtId="177" fontId="6" fillId="7" borderId="166" xfId="15" applyNumberFormat="1" applyFont="1" applyFill="1" applyBorder="1" applyAlignment="1">
      <alignment horizontal="center" vertical="center" readingOrder="2"/>
    </xf>
    <xf numFmtId="177" fontId="6" fillId="7" borderId="165" xfId="15" applyNumberFormat="1" applyFont="1" applyFill="1" applyBorder="1" applyAlignment="1">
      <alignment horizontal="center" vertical="center" readingOrder="2"/>
    </xf>
    <xf numFmtId="0" fontId="6" fillId="7" borderId="165" xfId="15" applyFont="1" applyFill="1" applyBorder="1" applyAlignment="1">
      <alignment horizontal="center" vertical="center" readingOrder="2"/>
    </xf>
    <xf numFmtId="0" fontId="6" fillId="7" borderId="189" xfId="15" applyFont="1" applyFill="1" applyBorder="1" applyAlignment="1">
      <alignment horizontal="center" vertical="center" readingOrder="2"/>
    </xf>
    <xf numFmtId="0" fontId="6" fillId="0" borderId="169" xfId="15" applyFont="1" applyBorder="1" applyAlignment="1">
      <alignment horizontal="center" vertical="center" readingOrder="2"/>
    </xf>
    <xf numFmtId="0" fontId="6" fillId="0" borderId="65" xfId="15" applyFont="1" applyBorder="1" applyAlignment="1">
      <alignment horizontal="center" vertical="center" readingOrder="2"/>
    </xf>
    <xf numFmtId="0" fontId="12" fillId="0" borderId="208" xfId="15" applyFont="1" applyBorder="1" applyAlignment="1">
      <alignment horizontal="center" vertical="center" wrapText="1" readingOrder="2"/>
    </xf>
    <xf numFmtId="0" fontId="6" fillId="0" borderId="212" xfId="15" applyFont="1" applyBorder="1" applyAlignment="1">
      <alignment horizontal="center" vertical="center" wrapText="1" readingOrder="2"/>
    </xf>
    <xf numFmtId="0" fontId="6" fillId="0" borderId="212" xfId="15" applyFont="1" applyBorder="1" applyAlignment="1">
      <alignment horizontal="center" vertical="center" readingOrder="2"/>
    </xf>
    <xf numFmtId="0" fontId="6" fillId="0" borderId="213" xfId="15" applyFont="1" applyBorder="1" applyAlignment="1">
      <alignment horizontal="center" vertical="center" readingOrder="2"/>
    </xf>
    <xf numFmtId="177" fontId="6" fillId="17" borderId="211" xfId="15" applyNumberFormat="1" applyFont="1" applyFill="1" applyBorder="1" applyAlignment="1">
      <alignment horizontal="center" vertical="center" readingOrder="2"/>
    </xf>
    <xf numFmtId="177" fontId="6" fillId="17" borderId="209" xfId="15" applyNumberFormat="1" applyFont="1" applyFill="1" applyBorder="1" applyAlignment="1">
      <alignment horizontal="center" vertical="center" readingOrder="2"/>
    </xf>
    <xf numFmtId="0" fontId="6" fillId="17" borderId="209" xfId="15" applyFont="1" applyFill="1" applyBorder="1" applyAlignment="1">
      <alignment horizontal="center" vertical="center" readingOrder="2"/>
    </xf>
    <xf numFmtId="0" fontId="6" fillId="17" borderId="210" xfId="15" applyFont="1" applyFill="1" applyBorder="1" applyAlignment="1">
      <alignment horizontal="center" vertical="center" readingOrder="2"/>
    </xf>
    <xf numFmtId="0" fontId="2" fillId="0" borderId="63" xfId="15" applyFont="1" applyBorder="1" applyAlignment="1">
      <alignment horizontal="center" vertical="center" readingOrder="2"/>
    </xf>
    <xf numFmtId="0" fontId="2" fillId="0" borderId="58" xfId="15" applyFont="1" applyBorder="1" applyAlignment="1">
      <alignment horizontal="center" vertical="center" readingOrder="2"/>
    </xf>
    <xf numFmtId="0" fontId="2" fillId="0" borderId="176" xfId="15" applyFont="1" applyBorder="1" applyAlignment="1">
      <alignment horizontal="center" vertical="center" readingOrder="2"/>
    </xf>
    <xf numFmtId="177" fontId="6" fillId="17" borderId="178" xfId="15" applyNumberFormat="1" applyFont="1" applyFill="1" applyBorder="1" applyAlignment="1">
      <alignment horizontal="center" vertical="center" readingOrder="2"/>
    </xf>
    <xf numFmtId="177" fontId="6" fillId="17" borderId="179" xfId="15" applyNumberFormat="1" applyFont="1" applyFill="1" applyBorder="1" applyAlignment="1">
      <alignment horizontal="center" vertical="center" readingOrder="2"/>
    </xf>
    <xf numFmtId="0" fontId="2" fillId="0" borderId="2" xfId="15" applyFont="1" applyBorder="1" applyAlignment="1">
      <alignment horizontal="center" vertical="center" readingOrder="2"/>
    </xf>
    <xf numFmtId="177" fontId="7" fillId="2" borderId="211" xfId="15" applyNumberFormat="1" applyFont="1" applyFill="1" applyBorder="1" applyAlignment="1">
      <alignment horizontal="center" vertical="center" readingOrder="2"/>
    </xf>
    <xf numFmtId="177" fontId="7" fillId="2" borderId="209" xfId="15" applyNumberFormat="1" applyFont="1" applyFill="1" applyBorder="1" applyAlignment="1">
      <alignment horizontal="center" vertical="center" readingOrder="2"/>
    </xf>
    <xf numFmtId="0" fontId="6" fillId="2" borderId="209" xfId="15" applyFont="1" applyFill="1" applyBorder="1" applyAlignment="1">
      <alignment horizontal="center" vertical="center" readingOrder="2"/>
    </xf>
    <xf numFmtId="0" fontId="6" fillId="2" borderId="210" xfId="15" applyFont="1" applyFill="1" applyBorder="1" applyAlignment="1">
      <alignment horizontal="center" vertical="center" readingOrder="2"/>
    </xf>
    <xf numFmtId="0" fontId="12" fillId="0" borderId="168" xfId="15" applyFont="1" applyBorder="1" applyAlignment="1">
      <alignment horizontal="center" vertical="center" readingOrder="2"/>
    </xf>
    <xf numFmtId="0" fontId="12" fillId="0" borderId="73" xfId="15" applyFont="1" applyBorder="1" applyAlignment="1">
      <alignment horizontal="center" vertical="center" readingOrder="2"/>
    </xf>
    <xf numFmtId="0" fontId="12" fillId="0" borderId="174" xfId="15" applyFont="1" applyBorder="1" applyAlignment="1">
      <alignment horizontal="center" vertical="center" readingOrder="2"/>
    </xf>
    <xf numFmtId="0" fontId="6" fillId="0" borderId="169" xfId="15" applyFont="1" applyBorder="1" applyAlignment="1">
      <alignment horizontal="center" vertical="center" wrapText="1" readingOrder="2"/>
    </xf>
    <xf numFmtId="0" fontId="6" fillId="17" borderId="169" xfId="15" applyFont="1" applyFill="1" applyBorder="1" applyAlignment="1">
      <alignment horizontal="center" vertical="center" readingOrder="2"/>
    </xf>
    <xf numFmtId="0" fontId="6" fillId="2" borderId="126" xfId="15" applyFont="1" applyFill="1" applyBorder="1" applyAlignment="1">
      <alignment horizontal="center" vertical="center" readingOrder="2"/>
    </xf>
    <xf numFmtId="177" fontId="6" fillId="7" borderId="160" xfId="15" applyNumberFormat="1" applyFont="1" applyFill="1" applyBorder="1" applyAlignment="1">
      <alignment horizontal="center" vertical="center" readingOrder="2"/>
    </xf>
    <xf numFmtId="0" fontId="6" fillId="7" borderId="162" xfId="15" applyFont="1" applyFill="1" applyBorder="1" applyAlignment="1">
      <alignment horizontal="center" vertical="center" readingOrder="2"/>
    </xf>
    <xf numFmtId="177" fontId="6" fillId="7" borderId="211" xfId="15" applyNumberFormat="1" applyFont="1" applyFill="1" applyBorder="1" applyAlignment="1">
      <alignment horizontal="center" vertical="center" readingOrder="2"/>
    </xf>
    <xf numFmtId="177" fontId="6" fillId="7" borderId="209" xfId="15" applyNumberFormat="1" applyFont="1" applyFill="1" applyBorder="1" applyAlignment="1">
      <alignment horizontal="center" vertical="center" readingOrder="2"/>
    </xf>
    <xf numFmtId="0" fontId="6" fillId="7" borderId="209" xfId="15" applyFont="1" applyFill="1" applyBorder="1" applyAlignment="1">
      <alignment horizontal="center" vertical="center" readingOrder="2"/>
    </xf>
    <xf numFmtId="0" fontId="6" fillId="7" borderId="210" xfId="15" applyFont="1" applyFill="1" applyBorder="1" applyAlignment="1">
      <alignment horizontal="center" vertical="center" readingOrder="2"/>
    </xf>
    <xf numFmtId="0" fontId="70" fillId="0" borderId="154" xfId="15" applyFont="1" applyBorder="1" applyAlignment="1">
      <alignment horizontal="center" vertical="center" readingOrder="2"/>
    </xf>
    <xf numFmtId="0" fontId="70" fillId="0" borderId="73" xfId="15" applyFont="1" applyBorder="1" applyAlignment="1">
      <alignment horizontal="center" vertical="center" readingOrder="2"/>
    </xf>
    <xf numFmtId="0" fontId="6" fillId="17" borderId="41" xfId="15" applyFont="1" applyFill="1" applyBorder="1" applyAlignment="1">
      <alignment horizontal="center" vertical="center" readingOrder="2"/>
    </xf>
    <xf numFmtId="0" fontId="6" fillId="17" borderId="43" xfId="15" applyFont="1" applyFill="1" applyBorder="1" applyAlignment="1">
      <alignment horizontal="center" vertical="center" readingOrder="2"/>
    </xf>
    <xf numFmtId="0" fontId="6" fillId="18" borderId="150" xfId="15" applyFont="1" applyFill="1" applyBorder="1" applyAlignment="1">
      <alignment horizontal="center" vertical="center" readingOrder="2"/>
    </xf>
    <xf numFmtId="0" fontId="6" fillId="18" borderId="102" xfId="15" applyFont="1" applyFill="1" applyBorder="1" applyAlignment="1">
      <alignment horizontal="center" vertical="center" readingOrder="2"/>
    </xf>
    <xf numFmtId="0" fontId="6" fillId="18" borderId="68" xfId="15" applyFont="1" applyFill="1" applyBorder="1" applyAlignment="1">
      <alignment horizontal="center" vertical="center" readingOrder="2"/>
    </xf>
    <xf numFmtId="0" fontId="6" fillId="18" borderId="6" xfId="15" applyFont="1" applyFill="1" applyBorder="1" applyAlignment="1">
      <alignment horizontal="center" vertical="center" readingOrder="2"/>
    </xf>
    <xf numFmtId="0" fontId="6" fillId="18" borderId="153" xfId="15" applyFont="1" applyFill="1" applyBorder="1" applyAlignment="1">
      <alignment horizontal="center" vertical="center" readingOrder="2"/>
    </xf>
    <xf numFmtId="0" fontId="6" fillId="18" borderId="106" xfId="15" applyFont="1" applyFill="1" applyBorder="1" applyAlignment="1">
      <alignment horizontal="center" vertical="center" readingOrder="2"/>
    </xf>
    <xf numFmtId="0" fontId="6" fillId="18" borderId="97" xfId="15" applyFont="1" applyFill="1" applyBorder="1" applyAlignment="1">
      <alignment horizontal="center" vertical="center" readingOrder="2"/>
    </xf>
    <xf numFmtId="0" fontId="6" fillId="18" borderId="98" xfId="15" applyFont="1" applyFill="1" applyBorder="1" applyAlignment="1">
      <alignment horizontal="center" vertical="center" readingOrder="2"/>
    </xf>
    <xf numFmtId="0" fontId="6" fillId="18" borderId="151" xfId="15" applyFont="1" applyFill="1" applyBorder="1" applyAlignment="1">
      <alignment horizontal="center" vertical="center" readingOrder="2"/>
    </xf>
    <xf numFmtId="0" fontId="6" fillId="18" borderId="103" xfId="15" applyFont="1" applyFill="1" applyBorder="1" applyAlignment="1">
      <alignment horizontal="center" vertical="center" readingOrder="2"/>
    </xf>
    <xf numFmtId="0" fontId="6" fillId="18" borderId="104" xfId="15" applyFont="1" applyFill="1" applyBorder="1" applyAlignment="1">
      <alignment horizontal="center" vertical="center" readingOrder="2"/>
    </xf>
    <xf numFmtId="0" fontId="6" fillId="18" borderId="101" xfId="15" applyFont="1" applyFill="1" applyBorder="1" applyAlignment="1">
      <alignment horizontal="center" vertical="center" readingOrder="2"/>
    </xf>
    <xf numFmtId="0" fontId="6" fillId="18" borderId="108" xfId="15" applyFont="1" applyFill="1" applyBorder="1" applyAlignment="1">
      <alignment horizontal="center" vertical="center" readingOrder="2"/>
    </xf>
    <xf numFmtId="0" fontId="6" fillId="18" borderId="111" xfId="15" applyFont="1" applyFill="1" applyBorder="1" applyAlignment="1">
      <alignment horizontal="center" vertical="center" readingOrder="2"/>
    </xf>
    <xf numFmtId="0" fontId="6" fillId="18" borderId="108" xfId="15" applyFont="1" applyFill="1" applyBorder="1" applyAlignment="1">
      <alignment horizontal="center" vertical="center" wrapText="1" readingOrder="2"/>
    </xf>
    <xf numFmtId="0" fontId="6" fillId="18" borderId="103" xfId="15" applyFont="1" applyFill="1" applyBorder="1" applyAlignment="1">
      <alignment horizontal="center" vertical="center" wrapText="1" readingOrder="2"/>
    </xf>
    <xf numFmtId="0" fontId="2" fillId="0" borderId="155" xfId="15" applyFont="1" applyBorder="1" applyAlignment="1">
      <alignment horizontal="center" vertical="center" readingOrder="2"/>
    </xf>
    <xf numFmtId="0" fontId="2" fillId="0" borderId="156" xfId="15" applyFont="1" applyBorder="1" applyAlignment="1">
      <alignment horizontal="center" vertical="center" readingOrder="2"/>
    </xf>
    <xf numFmtId="0" fontId="2" fillId="0" borderId="157" xfId="15" applyFont="1" applyBorder="1" applyAlignment="1">
      <alignment horizontal="center" vertical="center" readingOrder="2"/>
    </xf>
    <xf numFmtId="0" fontId="2" fillId="0" borderId="60" xfId="15" applyFont="1" applyBorder="1" applyAlignment="1">
      <alignment horizontal="center" vertical="center" readingOrder="2"/>
    </xf>
    <xf numFmtId="0" fontId="2" fillId="0" borderId="65" xfId="15" applyFont="1" applyBorder="1" applyAlignment="1">
      <alignment horizontal="center" vertical="center" readingOrder="2"/>
    </xf>
    <xf numFmtId="0" fontId="2" fillId="0" borderId="167" xfId="15" applyFont="1" applyBorder="1" applyAlignment="1">
      <alignment horizontal="center" vertical="center" readingOrder="2"/>
    </xf>
    <xf numFmtId="0" fontId="6" fillId="7" borderId="166" xfId="15" applyFont="1" applyFill="1" applyBorder="1" applyAlignment="1">
      <alignment horizontal="center" vertical="center" readingOrder="2"/>
    </xf>
    <xf numFmtId="0" fontId="6" fillId="0" borderId="145" xfId="15" applyFont="1" applyBorder="1" applyAlignment="1">
      <alignment horizontal="center" vertical="center" readingOrder="2"/>
    </xf>
    <xf numFmtId="0" fontId="6" fillId="0" borderId="151" xfId="15" applyFont="1" applyBorder="1" applyAlignment="1">
      <alignment horizontal="center" vertical="center" readingOrder="2"/>
    </xf>
    <xf numFmtId="0" fontId="12" fillId="0" borderId="151" xfId="15" applyFont="1" applyBorder="1" applyAlignment="1">
      <alignment horizontal="center" vertical="center" wrapText="1" readingOrder="2"/>
    </xf>
    <xf numFmtId="0" fontId="12" fillId="0" borderId="87" xfId="15" applyFont="1" applyBorder="1" applyAlignment="1">
      <alignment horizontal="center" vertical="center" wrapText="1" readingOrder="2"/>
    </xf>
    <xf numFmtId="0" fontId="12" fillId="0" borderId="88" xfId="15" applyFont="1" applyBorder="1" applyAlignment="1">
      <alignment horizontal="center" vertical="center" wrapText="1" readingOrder="2"/>
    </xf>
    <xf numFmtId="0" fontId="70" fillId="0" borderId="87" xfId="15" applyFont="1" applyBorder="1" applyAlignment="1">
      <alignment horizontal="center" vertical="center" wrapText="1" readingOrder="2"/>
    </xf>
    <xf numFmtId="0" fontId="70" fillId="0" borderId="88" xfId="15" applyFont="1" applyBorder="1" applyAlignment="1">
      <alignment horizontal="center" vertical="center" wrapText="1" readingOrder="2"/>
    </xf>
    <xf numFmtId="0" fontId="6" fillId="0" borderId="139" xfId="15" applyFont="1" applyBorder="1" applyAlignment="1">
      <alignment horizontal="center" vertical="center" readingOrder="2"/>
    </xf>
    <xf numFmtId="0" fontId="12" fillId="0" borderId="140" xfId="15" applyFont="1" applyBorder="1" applyAlignment="1">
      <alignment horizontal="center" vertical="center" readingOrder="2"/>
    </xf>
    <xf numFmtId="0" fontId="12" fillId="0" borderId="93" xfId="15" applyFont="1" applyBorder="1" applyAlignment="1">
      <alignment horizontal="center" vertical="center" readingOrder="2"/>
    </xf>
    <xf numFmtId="0" fontId="12" fillId="0" borderId="94" xfId="15" applyFont="1" applyBorder="1" applyAlignment="1">
      <alignment horizontal="center" vertical="center" readingOrder="2"/>
    </xf>
    <xf numFmtId="0" fontId="12" fillId="0" borderId="139" xfId="15" applyFont="1" applyBorder="1" applyAlignment="1">
      <alignment horizontal="center" vertical="center" readingOrder="2"/>
    </xf>
    <xf numFmtId="0" fontId="12" fillId="0" borderId="142" xfId="15" applyFont="1" applyBorder="1" applyAlignment="1">
      <alignment horizontal="center" vertical="center" readingOrder="2"/>
    </xf>
    <xf numFmtId="0" fontId="6" fillId="43" borderId="93" xfId="15" applyFont="1" applyFill="1" applyBorder="1" applyAlignment="1">
      <alignment horizontal="center" vertical="center" readingOrder="2"/>
    </xf>
    <xf numFmtId="0" fontId="6" fillId="43" borderId="94" xfId="15" applyFont="1" applyFill="1" applyBorder="1" applyAlignment="1">
      <alignment horizontal="center" vertical="center" readingOrder="2"/>
    </xf>
    <xf numFmtId="0" fontId="6" fillId="0" borderId="125" xfId="15" applyFont="1" applyBorder="1" applyAlignment="1">
      <alignment horizontal="center" vertical="center" readingOrder="2"/>
    </xf>
    <xf numFmtId="0" fontId="12" fillId="0" borderId="126" xfId="15" applyFont="1" applyBorder="1" applyAlignment="1">
      <alignment horizontal="center" vertical="center" wrapText="1" readingOrder="2"/>
    </xf>
    <xf numFmtId="0" fontId="12" fillId="0" borderId="127" xfId="15" applyFont="1" applyBorder="1" applyAlignment="1">
      <alignment horizontal="center" vertical="center" wrapText="1" readingOrder="2"/>
    </xf>
    <xf numFmtId="0" fontId="12" fillId="0" borderId="133" xfId="15" applyFont="1" applyBorder="1" applyAlignment="1">
      <alignment horizontal="center" vertical="center" wrapText="1" readingOrder="2"/>
    </xf>
    <xf numFmtId="0" fontId="6" fillId="0" borderId="133" xfId="15" applyFont="1" applyBorder="1" applyAlignment="1">
      <alignment horizontal="center" vertical="center" readingOrder="2"/>
    </xf>
    <xf numFmtId="49" fontId="62" fillId="0" borderId="93" xfId="15" applyNumberFormat="1" applyFont="1" applyBorder="1" applyAlignment="1">
      <alignment horizontal="center" vertical="center" readingOrder="2"/>
    </xf>
    <xf numFmtId="0" fontId="62" fillId="0" borderId="93" xfId="15" applyFont="1" applyBorder="1" applyAlignment="1">
      <alignment horizontal="center" vertical="center" readingOrder="2"/>
    </xf>
    <xf numFmtId="0" fontId="2" fillId="0" borderId="96" xfId="15" applyFont="1" applyBorder="1" applyAlignment="1">
      <alignment horizontal="center" vertical="center" readingOrder="2"/>
    </xf>
    <xf numFmtId="0" fontId="2" fillId="0" borderId="9" xfId="15" applyFont="1" applyBorder="1" applyAlignment="1">
      <alignment horizontal="center" vertical="center" readingOrder="2"/>
    </xf>
    <xf numFmtId="0" fontId="2" fillId="0" borderId="62" xfId="15" applyFont="1" applyBorder="1" applyAlignment="1">
      <alignment horizontal="center" vertical="center" readingOrder="2"/>
    </xf>
    <xf numFmtId="0" fontId="2" fillId="0" borderId="144" xfId="15" applyFont="1" applyBorder="1" applyAlignment="1">
      <alignment horizontal="center" vertical="center" readingOrder="2"/>
    </xf>
    <xf numFmtId="0" fontId="2" fillId="0" borderId="145" xfId="15" applyFont="1" applyBorder="1" applyAlignment="1">
      <alignment horizontal="center" vertical="center" readingOrder="2"/>
    </xf>
    <xf numFmtId="0" fontId="2" fillId="0" borderId="146" xfId="15" applyFont="1" applyBorder="1" applyAlignment="1">
      <alignment horizontal="center" vertical="center" readingOrder="2"/>
    </xf>
    <xf numFmtId="0" fontId="61" fillId="0" borderId="6" xfId="15" applyFont="1" applyBorder="1" applyAlignment="1">
      <alignment horizontal="center" vertical="center" wrapText="1" readingOrder="2"/>
    </xf>
    <xf numFmtId="0" fontId="61" fillId="0" borderId="96" xfId="15" applyFont="1" applyBorder="1" applyAlignment="1">
      <alignment horizontal="center" vertical="center" wrapText="1" readingOrder="2"/>
    </xf>
    <xf numFmtId="0" fontId="61" fillId="0" borderId="0" xfId="15" applyFont="1" applyAlignment="1">
      <alignment horizontal="center" vertical="center" wrapText="1" readingOrder="2"/>
    </xf>
    <xf numFmtId="0" fontId="61" fillId="0" borderId="62" xfId="15" applyFont="1" applyBorder="1" applyAlignment="1">
      <alignment horizontal="center" vertical="center" wrapText="1" readingOrder="2"/>
    </xf>
    <xf numFmtId="0" fontId="61" fillId="0" borderId="145" xfId="15" applyFont="1" applyBorder="1" applyAlignment="1">
      <alignment horizontal="center" vertical="center" wrapText="1" readingOrder="2"/>
    </xf>
    <xf numFmtId="0" fontId="61" fillId="0" borderId="146" xfId="15" applyFont="1" applyBorder="1" applyAlignment="1">
      <alignment horizontal="center" vertical="center" wrapText="1" readingOrder="2"/>
    </xf>
    <xf numFmtId="0" fontId="2" fillId="0" borderId="10" xfId="15" applyFont="1" applyBorder="1" applyAlignment="1">
      <alignment horizontal="center" vertical="center" readingOrder="2"/>
    </xf>
    <xf numFmtId="0" fontId="2" fillId="0" borderId="147" xfId="15" applyFont="1" applyBorder="1" applyAlignment="1">
      <alignment horizontal="center" vertical="center" readingOrder="2"/>
    </xf>
    <xf numFmtId="0" fontId="62" fillId="0" borderId="95" xfId="15" applyFont="1" applyBorder="1" applyAlignment="1">
      <alignment horizontal="center" vertical="center" readingOrder="2"/>
    </xf>
    <xf numFmtId="0" fontId="62" fillId="0" borderId="87" xfId="15" applyFont="1" applyBorder="1" applyAlignment="1">
      <alignment horizontal="center" vertical="center" readingOrder="2"/>
    </xf>
    <xf numFmtId="0" fontId="62" fillId="0" borderId="148" xfId="15" applyFont="1" applyBorder="1" applyAlignment="1">
      <alignment horizontal="center" vertical="center" readingOrder="2"/>
    </xf>
    <xf numFmtId="0" fontId="62" fillId="0" borderId="149" xfId="15" applyFont="1" applyBorder="1" applyAlignment="1">
      <alignment horizontal="center" vertical="center" readingOrder="2"/>
    </xf>
    <xf numFmtId="0" fontId="62" fillId="0" borderId="86" xfId="15" applyFont="1" applyBorder="1" applyAlignment="1">
      <alignment horizontal="center" vertical="center" readingOrder="2"/>
    </xf>
    <xf numFmtId="3" fontId="2" fillId="0" borderId="0" xfId="15" applyNumberFormat="1" applyFont="1" applyAlignment="1">
      <alignment horizontal="center" vertical="center" readingOrder="2"/>
    </xf>
    <xf numFmtId="0" fontId="70" fillId="0" borderId="60" xfId="15" applyFont="1" applyBorder="1" applyAlignment="1">
      <alignment horizontal="center" vertical="center" wrapText="1" readingOrder="2"/>
    </xf>
    <xf numFmtId="0" fontId="70" fillId="0" borderId="65" xfId="15" applyFont="1" applyBorder="1" applyAlignment="1">
      <alignment horizontal="center" vertical="center" wrapText="1" readingOrder="2"/>
    </xf>
    <xf numFmtId="0" fontId="70" fillId="0" borderId="167" xfId="15" applyFont="1" applyBorder="1" applyAlignment="1">
      <alignment horizontal="center" vertical="center" wrapText="1" readingOrder="2"/>
    </xf>
    <xf numFmtId="0" fontId="70" fillId="0" borderId="36" xfId="15" applyFont="1" applyBorder="1" applyAlignment="1">
      <alignment horizontal="center" vertical="center" wrapText="1" readingOrder="2"/>
    </xf>
    <xf numFmtId="0" fontId="70" fillId="0" borderId="0" xfId="15" applyFont="1" applyAlignment="1">
      <alignment horizontal="center" vertical="center" wrapText="1" readingOrder="2"/>
    </xf>
    <xf numFmtId="0" fontId="70" fillId="0" borderId="10" xfId="15" applyFont="1" applyBorder="1" applyAlignment="1">
      <alignment horizontal="center" vertical="center" wrapText="1" readingOrder="2"/>
    </xf>
    <xf numFmtId="0" fontId="70" fillId="0" borderId="37" xfId="15" applyFont="1" applyBorder="1" applyAlignment="1">
      <alignment horizontal="center" vertical="center" wrapText="1" readingOrder="2"/>
    </xf>
    <xf numFmtId="0" fontId="70" fillId="0" borderId="145" xfId="15" applyFont="1" applyBorder="1" applyAlignment="1">
      <alignment horizontal="center" vertical="center" wrapText="1" readingOrder="2"/>
    </xf>
    <xf numFmtId="0" fontId="70" fillId="0" borderId="147" xfId="15" applyFont="1" applyBorder="1" applyAlignment="1">
      <alignment horizontal="center" vertical="center" wrapText="1" readingOrder="2"/>
    </xf>
    <xf numFmtId="177" fontId="6" fillId="7" borderId="91" xfId="15" applyNumberFormat="1" applyFont="1" applyFill="1" applyBorder="1" applyAlignment="1">
      <alignment horizontal="center" vertical="center" readingOrder="2"/>
    </xf>
    <xf numFmtId="177" fontId="6" fillId="7" borderId="93" xfId="15" applyNumberFormat="1" applyFont="1" applyFill="1" applyBorder="1" applyAlignment="1">
      <alignment horizontal="center" vertical="center" readingOrder="2"/>
    </xf>
    <xf numFmtId="177" fontId="6" fillId="7" borderId="193" xfId="15" applyNumberFormat="1" applyFont="1" applyFill="1" applyBorder="1" applyAlignment="1">
      <alignment horizontal="center" vertical="center" readingOrder="2"/>
    </xf>
    <xf numFmtId="177" fontId="6" fillId="7" borderId="140" xfId="15" applyNumberFormat="1" applyFont="1" applyFill="1" applyBorder="1" applyAlignment="1">
      <alignment horizontal="center" vertical="center" readingOrder="2"/>
    </xf>
    <xf numFmtId="0" fontId="6" fillId="7" borderId="142" xfId="15" applyFont="1" applyFill="1" applyBorder="1" applyAlignment="1">
      <alignment horizontal="center" vertical="center" readingOrder="2"/>
    </xf>
    <xf numFmtId="0" fontId="6" fillId="7" borderId="143" xfId="15" applyFont="1" applyFill="1" applyBorder="1" applyAlignment="1">
      <alignment horizontal="center" vertical="center" readingOrder="2"/>
    </xf>
    <xf numFmtId="0" fontId="5" fillId="0" borderId="168" xfId="15" applyFont="1" applyBorder="1" applyAlignment="1">
      <alignment horizontal="center" vertical="center" readingOrder="2"/>
    </xf>
    <xf numFmtId="0" fontId="5" fillId="0" borderId="77" xfId="15" applyFont="1" applyBorder="1" applyAlignment="1">
      <alignment horizontal="center" vertical="center" readingOrder="2"/>
    </xf>
    <xf numFmtId="0" fontId="6" fillId="0" borderId="79" xfId="15" applyFont="1" applyBorder="1" applyAlignment="1">
      <alignment horizontal="center" vertical="center" readingOrder="2"/>
    </xf>
    <xf numFmtId="0" fontId="70" fillId="0" borderId="63" xfId="15" applyFont="1" applyBorder="1" applyAlignment="1">
      <alignment horizontal="center" vertical="center" wrapText="1" readingOrder="2"/>
    </xf>
    <xf numFmtId="0" fontId="70" fillId="0" borderId="58" xfId="15" applyFont="1" applyBorder="1" applyAlignment="1">
      <alignment horizontal="center" vertical="center" wrapText="1" readingOrder="2"/>
    </xf>
    <xf numFmtId="0" fontId="70" fillId="0" borderId="176" xfId="15" applyFont="1" applyBorder="1" applyAlignment="1">
      <alignment horizontal="center" vertical="center" wrapText="1" readingOrder="2"/>
    </xf>
    <xf numFmtId="0" fontId="5" fillId="0" borderId="183" xfId="15" applyFont="1" applyBorder="1" applyAlignment="1">
      <alignment horizontal="center" vertical="center" readingOrder="2"/>
    </xf>
    <xf numFmtId="0" fontId="12" fillId="0" borderId="168" xfId="15" applyFont="1" applyBorder="1" applyAlignment="1">
      <alignment horizontal="center" vertical="center" wrapText="1" readingOrder="2"/>
    </xf>
    <xf numFmtId="0" fontId="12" fillId="0" borderId="73" xfId="15" applyFont="1" applyBorder="1" applyAlignment="1">
      <alignment horizontal="center" vertical="center" wrapText="1" readingOrder="2"/>
    </xf>
    <xf numFmtId="0" fontId="12" fillId="0" borderId="174" xfId="15" applyFont="1" applyBorder="1" applyAlignment="1">
      <alignment horizontal="center" vertical="center" wrapText="1" readingOrder="2"/>
    </xf>
    <xf numFmtId="0" fontId="6" fillId="0" borderId="61" xfId="15" applyFont="1" applyBorder="1" applyAlignment="1">
      <alignment horizontal="center" vertical="center" readingOrder="2"/>
    </xf>
    <xf numFmtId="0" fontId="71" fillId="0" borderId="60" xfId="15" applyFont="1" applyBorder="1" applyAlignment="1">
      <alignment horizontal="center" vertical="center" wrapText="1" readingOrder="2"/>
    </xf>
    <xf numFmtId="0" fontId="71" fillId="0" borderId="65" xfId="15" applyFont="1" applyBorder="1" applyAlignment="1">
      <alignment horizontal="center" vertical="center" wrapText="1" readingOrder="2"/>
    </xf>
    <xf numFmtId="0" fontId="71" fillId="0" borderId="167" xfId="15" applyFont="1" applyBorder="1" applyAlignment="1">
      <alignment horizontal="center" vertical="center" wrapText="1" readingOrder="2"/>
    </xf>
    <xf numFmtId="0" fontId="71" fillId="0" borderId="36" xfId="15" applyFont="1" applyBorder="1" applyAlignment="1">
      <alignment horizontal="center" vertical="center" wrapText="1" readingOrder="2"/>
    </xf>
    <xf numFmtId="0" fontId="71" fillId="0" borderId="0" xfId="15" applyFont="1" applyAlignment="1">
      <alignment horizontal="center" vertical="center" wrapText="1" readingOrder="2"/>
    </xf>
    <xf numFmtId="0" fontId="71" fillId="0" borderId="10" xfId="15" applyFont="1" applyBorder="1" applyAlignment="1">
      <alignment horizontal="center" vertical="center" wrapText="1" readingOrder="2"/>
    </xf>
    <xf numFmtId="0" fontId="71" fillId="0" borderId="63" xfId="15" applyFont="1" applyBorder="1" applyAlignment="1">
      <alignment horizontal="center" vertical="center" wrapText="1" readingOrder="2"/>
    </xf>
    <xf numFmtId="0" fontId="71" fillId="0" borderId="58" xfId="15" applyFont="1" applyBorder="1" applyAlignment="1">
      <alignment horizontal="center" vertical="center" wrapText="1" readingOrder="2"/>
    </xf>
    <xf numFmtId="0" fontId="71" fillId="0" borderId="176" xfId="15" applyFont="1" applyBorder="1" applyAlignment="1">
      <alignment horizontal="center" vertical="center" wrapText="1" readingOrder="2"/>
    </xf>
    <xf numFmtId="177" fontId="6" fillId="7" borderId="177" xfId="15" applyNumberFormat="1" applyFont="1" applyFill="1" applyBorder="1" applyAlignment="1">
      <alignment horizontal="center" vertical="center" readingOrder="2"/>
    </xf>
    <xf numFmtId="177" fontId="6" fillId="17" borderId="198" xfId="15" applyNumberFormat="1" applyFont="1" applyFill="1" applyBorder="1" applyAlignment="1">
      <alignment horizontal="center" vertical="center" readingOrder="2"/>
    </xf>
    <xf numFmtId="0" fontId="6" fillId="18" borderId="97" xfId="15" applyFont="1" applyFill="1" applyBorder="1" applyAlignment="1">
      <alignment horizontal="center" vertical="center" wrapText="1" readingOrder="2"/>
    </xf>
    <xf numFmtId="0" fontId="16" fillId="0" borderId="0" xfId="15" applyFont="1" applyAlignment="1">
      <alignment horizontal="center" vertical="center" readingOrder="2"/>
    </xf>
    <xf numFmtId="167" fontId="8" fillId="12" borderId="217" xfId="1" applyNumberFormat="1" applyFont="1" applyFill="1" applyBorder="1" applyAlignment="1">
      <alignment horizontal="center" vertical="center" wrapText="1" readingOrder="2"/>
    </xf>
    <xf numFmtId="167" fontId="8" fillId="12" borderId="63" xfId="1" applyNumberFormat="1" applyFont="1" applyFill="1" applyBorder="1" applyAlignment="1">
      <alignment horizontal="center" vertical="center" wrapText="1" readingOrder="2"/>
    </xf>
    <xf numFmtId="0" fontId="5" fillId="0" borderId="0" xfId="0" applyFont="1" applyAlignment="1">
      <alignment horizontal="right" vertical="center" wrapText="1" indent="1" readingOrder="2"/>
    </xf>
    <xf numFmtId="0" fontId="5" fillId="0" borderId="0" xfId="0" applyFont="1" applyAlignment="1">
      <alignment horizontal="left" vertical="center" readingOrder="2"/>
    </xf>
    <xf numFmtId="0" fontId="5" fillId="0" borderId="58" xfId="0" applyFont="1" applyBorder="1" applyAlignment="1">
      <alignment horizontal="left" vertical="center" readingOrder="2"/>
    </xf>
    <xf numFmtId="169" fontId="5" fillId="0" borderId="0" xfId="1" applyNumberFormat="1" applyFont="1" applyBorder="1" applyAlignment="1">
      <alignment horizontal="right" vertical="center" wrapText="1" readingOrder="2"/>
    </xf>
    <xf numFmtId="169" fontId="5" fillId="0" borderId="58" xfId="1" applyNumberFormat="1" applyFont="1" applyBorder="1" applyAlignment="1">
      <alignment horizontal="right" vertical="center" wrapText="1" readingOrder="2"/>
    </xf>
    <xf numFmtId="0" fontId="8" fillId="8" borderId="4" xfId="0" applyFont="1" applyFill="1" applyBorder="1" applyAlignment="1">
      <alignment horizontal="center" vertical="center" wrapText="1" readingOrder="2"/>
    </xf>
    <xf numFmtId="0" fontId="8" fillId="8" borderId="2" xfId="0" applyFont="1" applyFill="1" applyBorder="1" applyAlignment="1">
      <alignment horizontal="center" vertical="center" wrapText="1" readingOrder="2"/>
    </xf>
    <xf numFmtId="0" fontId="49" fillId="9" borderId="2" xfId="0" applyFont="1" applyFill="1" applyBorder="1" applyAlignment="1">
      <alignment horizontal="right" vertical="center" wrapText="1" readingOrder="2"/>
    </xf>
    <xf numFmtId="0" fontId="26" fillId="9" borderId="2" xfId="0" applyFont="1" applyFill="1" applyBorder="1" applyAlignment="1">
      <alignment horizontal="right" vertical="center" indent="6" readingOrder="2"/>
    </xf>
    <xf numFmtId="0" fontId="5" fillId="8" borderId="4" xfId="0" applyFont="1" applyFill="1" applyBorder="1" applyAlignment="1">
      <alignment horizontal="center" vertical="center" textRotation="90" wrapText="1" readingOrder="2"/>
    </xf>
    <xf numFmtId="0" fontId="5" fillId="8" borderId="2" xfId="0" applyFont="1" applyFill="1" applyBorder="1" applyAlignment="1">
      <alignment horizontal="center" vertical="center" textRotation="90" wrapText="1" readingOrder="2"/>
    </xf>
    <xf numFmtId="0" fontId="12" fillId="8" borderId="4" xfId="0" applyFont="1" applyFill="1" applyBorder="1" applyAlignment="1">
      <alignment horizontal="center" vertical="center" wrapText="1" readingOrder="2"/>
    </xf>
    <xf numFmtId="0" fontId="12" fillId="8" borderId="2" xfId="0" applyFont="1" applyFill="1" applyBorder="1" applyAlignment="1">
      <alignment horizontal="center" vertical="center" wrapText="1" readingOrder="2"/>
    </xf>
    <xf numFmtId="0" fontId="8" fillId="9" borderId="2" xfId="0" applyFont="1" applyFill="1" applyBorder="1" applyAlignment="1">
      <alignment horizontal="right" vertical="center" indent="2" readingOrder="2"/>
    </xf>
    <xf numFmtId="0" fontId="10" fillId="9" borderId="2" xfId="0" applyFont="1" applyFill="1" applyBorder="1" applyAlignment="1">
      <alignment horizontal="right" vertical="center" indent="6" readingOrder="2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169" fontId="6" fillId="0" borderId="43" xfId="1" applyNumberFormat="1" applyFont="1" applyBorder="1" applyAlignment="1">
      <alignment horizontal="center" vertical="center"/>
    </xf>
    <xf numFmtId="169" fontId="6" fillId="0" borderId="0" xfId="1" applyNumberFormat="1" applyFont="1" applyBorder="1" applyAlignment="1">
      <alignment horizontal="center" vertical="center"/>
    </xf>
    <xf numFmtId="169" fontId="6" fillId="0" borderId="19" xfId="1" applyNumberFormat="1" applyFont="1" applyBorder="1" applyAlignment="1">
      <alignment horizontal="center" vertical="center"/>
    </xf>
    <xf numFmtId="169" fontId="6" fillId="0" borderId="44" xfId="1" applyNumberFormat="1" applyFont="1" applyBorder="1" applyAlignment="1">
      <alignment horizontal="center" vertical="center"/>
    </xf>
    <xf numFmtId="169" fontId="6" fillId="0" borderId="21" xfId="1" applyNumberFormat="1" applyFont="1" applyBorder="1" applyAlignment="1">
      <alignment horizontal="center" vertical="center"/>
    </xf>
    <xf numFmtId="169" fontId="6" fillId="0" borderId="24" xfId="1" applyNumberFormat="1" applyFont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23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22" xfId="0" applyFont="1" applyBorder="1" applyAlignment="1">
      <alignment horizontal="right" vertical="top" wrapText="1"/>
    </xf>
    <xf numFmtId="0" fontId="2" fillId="0" borderId="49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2" fillId="0" borderId="24" xfId="0" applyFont="1" applyBorder="1" applyAlignment="1">
      <alignment horizontal="right" vertical="top" wrapText="1"/>
    </xf>
    <xf numFmtId="0" fontId="2" fillId="8" borderId="51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39" xfId="0" applyFont="1" applyFill="1" applyBorder="1" applyAlignment="1">
      <alignment horizontal="center" vertical="center" textRotation="90" wrapText="1"/>
    </xf>
    <xf numFmtId="0" fontId="2" fillId="8" borderId="38" xfId="0" applyFont="1" applyFill="1" applyBorder="1" applyAlignment="1">
      <alignment horizontal="center" vertical="center" textRotation="90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indent="2" readingOrder="2"/>
    </xf>
    <xf numFmtId="0" fontId="5" fillId="0" borderId="58" xfId="0" applyFont="1" applyBorder="1" applyAlignment="1">
      <alignment horizontal="right" vertical="center" indent="2" readingOrder="2"/>
    </xf>
    <xf numFmtId="0" fontId="5" fillId="7" borderId="2" xfId="0" applyFont="1" applyFill="1" applyBorder="1" applyAlignment="1">
      <alignment horizontal="center" vertical="center" wrapText="1" readingOrder="2"/>
    </xf>
    <xf numFmtId="0" fontId="5" fillId="11" borderId="2" xfId="0" applyFont="1" applyFill="1" applyBorder="1" applyAlignment="1">
      <alignment horizontal="center" vertical="center" wrapText="1" readingOrder="2"/>
    </xf>
    <xf numFmtId="0" fontId="12" fillId="8" borderId="2" xfId="0" applyFont="1" applyFill="1" applyBorder="1" applyAlignment="1">
      <alignment horizontal="center" vertical="center" wrapText="1" readingOrder="1"/>
    </xf>
    <xf numFmtId="0" fontId="5" fillId="8" borderId="2" xfId="0" applyFont="1" applyFill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 wrapText="1" readingOrder="2"/>
    </xf>
    <xf numFmtId="169" fontId="5" fillId="0" borderId="0" xfId="1" applyNumberFormat="1" applyFont="1" applyBorder="1" applyAlignment="1">
      <alignment horizontal="right" vertical="center" indent="1" readingOrder="2"/>
    </xf>
    <xf numFmtId="169" fontId="5" fillId="0" borderId="58" xfId="1" applyNumberFormat="1" applyFont="1" applyBorder="1" applyAlignment="1">
      <alignment horizontal="right" vertical="center" indent="1" readingOrder="2"/>
    </xf>
    <xf numFmtId="0" fontId="5" fillId="0" borderId="0" xfId="0" applyFont="1" applyAlignment="1">
      <alignment horizontal="left" vertical="center" wrapText="1" readingOrder="2"/>
    </xf>
    <xf numFmtId="0" fontId="5" fillId="0" borderId="58" xfId="0" applyFont="1" applyBorder="1" applyAlignment="1">
      <alignment horizontal="left" vertical="center" wrapText="1" readingOrder="2"/>
    </xf>
    <xf numFmtId="0" fontId="5" fillId="8" borderId="33" xfId="0" applyFont="1" applyFill="1" applyBorder="1" applyAlignment="1">
      <alignment horizontal="center" vertical="center" textRotation="90" wrapText="1" readingOrder="2"/>
    </xf>
    <xf numFmtId="0" fontId="12" fillId="8" borderId="33" xfId="0" applyFont="1" applyFill="1" applyBorder="1" applyAlignment="1">
      <alignment horizontal="center" vertical="center" wrapText="1" readingOrder="1"/>
    </xf>
    <xf numFmtId="0" fontId="12" fillId="8" borderId="4" xfId="0" applyFont="1" applyFill="1" applyBorder="1" applyAlignment="1">
      <alignment horizontal="center" vertical="center" wrapText="1" readingOrder="1"/>
    </xf>
    <xf numFmtId="0" fontId="5" fillId="8" borderId="33" xfId="0" applyFont="1" applyFill="1" applyBorder="1" applyAlignment="1">
      <alignment horizontal="center" vertical="center" wrapText="1" readingOrder="2"/>
    </xf>
    <xf numFmtId="0" fontId="5" fillId="8" borderId="4" xfId="0" applyFont="1" applyFill="1" applyBorder="1" applyAlignment="1">
      <alignment horizontal="center" vertical="center" wrapText="1" readingOrder="2"/>
    </xf>
    <xf numFmtId="0" fontId="5" fillId="7" borderId="31" xfId="0" applyFont="1" applyFill="1" applyBorder="1" applyAlignment="1">
      <alignment horizontal="center" vertical="center" wrapText="1" readingOrder="2"/>
    </xf>
    <xf numFmtId="0" fontId="5" fillId="7" borderId="59" xfId="0" applyFont="1" applyFill="1" applyBorder="1" applyAlignment="1">
      <alignment horizontal="center" vertical="center" wrapText="1" readingOrder="2"/>
    </xf>
    <xf numFmtId="0" fontId="5" fillId="7" borderId="32" xfId="0" applyFont="1" applyFill="1" applyBorder="1" applyAlignment="1">
      <alignment horizontal="center" vertical="center" wrapText="1" readingOrder="2"/>
    </xf>
    <xf numFmtId="0" fontId="5" fillId="4" borderId="31" xfId="0" applyFont="1" applyFill="1" applyBorder="1" applyAlignment="1">
      <alignment horizontal="center" vertical="center" wrapText="1" readingOrder="2"/>
    </xf>
    <xf numFmtId="0" fontId="5" fillId="4" borderId="59" xfId="0" applyFont="1" applyFill="1" applyBorder="1" applyAlignment="1">
      <alignment horizontal="center" vertical="center" wrapText="1" readingOrder="2"/>
    </xf>
    <xf numFmtId="0" fontId="5" fillId="4" borderId="32" xfId="0" applyFont="1" applyFill="1" applyBorder="1" applyAlignment="1">
      <alignment horizontal="center" vertical="center" wrapText="1" readingOrder="2"/>
    </xf>
    <xf numFmtId="0" fontId="5" fillId="5" borderId="31" xfId="0" applyFont="1" applyFill="1" applyBorder="1" applyAlignment="1">
      <alignment horizontal="center" vertical="center" wrapText="1" readingOrder="2"/>
    </xf>
    <xf numFmtId="0" fontId="5" fillId="5" borderId="59" xfId="0" applyFont="1" applyFill="1" applyBorder="1" applyAlignment="1">
      <alignment horizontal="center" vertical="center" wrapText="1" readingOrder="2"/>
    </xf>
    <xf numFmtId="0" fontId="5" fillId="5" borderId="32" xfId="0" applyFont="1" applyFill="1" applyBorder="1" applyAlignment="1">
      <alignment horizontal="center" vertical="center" wrapText="1" readingOrder="2"/>
    </xf>
    <xf numFmtId="10" fontId="103" fillId="10" borderId="217" xfId="3" applyNumberFormat="1" applyFont="1" applyFill="1" applyBorder="1" applyAlignment="1">
      <alignment horizontal="center" vertical="center" wrapText="1"/>
    </xf>
    <xf numFmtId="10" fontId="103" fillId="10" borderId="223" xfId="3" applyNumberFormat="1" applyFont="1" applyFill="1" applyBorder="1" applyAlignment="1">
      <alignment horizontal="center" vertical="center" wrapText="1"/>
    </xf>
    <xf numFmtId="10" fontId="103" fillId="10" borderId="218" xfId="3" applyNumberFormat="1" applyFont="1" applyFill="1" applyBorder="1" applyAlignment="1">
      <alignment horizontal="center" vertical="center" wrapText="1"/>
    </xf>
    <xf numFmtId="10" fontId="103" fillId="10" borderId="36" xfId="3" applyNumberFormat="1" applyFont="1" applyFill="1" applyBorder="1" applyAlignment="1">
      <alignment horizontal="center" vertical="center" wrapText="1"/>
    </xf>
    <xf numFmtId="10" fontId="103" fillId="10" borderId="0" xfId="3" applyNumberFormat="1" applyFont="1" applyFill="1" applyBorder="1" applyAlignment="1">
      <alignment horizontal="center" vertical="center" wrapText="1"/>
    </xf>
    <xf numFmtId="10" fontId="103" fillId="10" borderId="62" xfId="3" applyNumberFormat="1" applyFont="1" applyFill="1" applyBorder="1" applyAlignment="1">
      <alignment horizontal="center" vertical="center" wrapText="1"/>
    </xf>
    <xf numFmtId="10" fontId="103" fillId="10" borderId="63" xfId="3" applyNumberFormat="1" applyFont="1" applyFill="1" applyBorder="1" applyAlignment="1">
      <alignment horizontal="center" vertical="center" wrapText="1"/>
    </xf>
    <xf numFmtId="10" fontId="103" fillId="10" borderId="58" xfId="3" applyNumberFormat="1" applyFont="1" applyFill="1" applyBorder="1" applyAlignment="1">
      <alignment horizontal="center" vertical="center" wrapText="1"/>
    </xf>
    <xf numFmtId="10" fontId="103" fillId="10" borderId="64" xfId="3" applyNumberFormat="1" applyFont="1" applyFill="1" applyBorder="1" applyAlignment="1">
      <alignment horizontal="center" vertical="center" wrapText="1"/>
    </xf>
    <xf numFmtId="169" fontId="5" fillId="0" borderId="0" xfId="1" applyNumberFormat="1" applyFont="1" applyBorder="1" applyAlignment="1">
      <alignment horizontal="center" vertical="center" readingOrder="2"/>
    </xf>
    <xf numFmtId="169" fontId="5" fillId="0" borderId="58" xfId="1" applyNumberFormat="1" applyFont="1" applyBorder="1" applyAlignment="1">
      <alignment horizontal="center" vertical="center" readingOrder="2"/>
    </xf>
    <xf numFmtId="0" fontId="5" fillId="0" borderId="0" xfId="0" applyFont="1" applyAlignment="1">
      <alignment horizontal="right" vertical="center" indent="1" readingOrder="2"/>
    </xf>
    <xf numFmtId="0" fontId="5" fillId="0" borderId="58" xfId="0" applyFont="1" applyBorder="1" applyAlignment="1">
      <alignment horizontal="right" vertical="center" indent="1" readingOrder="2"/>
    </xf>
    <xf numFmtId="0" fontId="5" fillId="11" borderId="33" xfId="0" applyFont="1" applyFill="1" applyBorder="1" applyAlignment="1">
      <alignment horizontal="center" vertical="center" wrapText="1" readingOrder="2"/>
    </xf>
    <xf numFmtId="0" fontId="5" fillId="11" borderId="4" xfId="0" applyFont="1" applyFill="1" applyBorder="1" applyAlignment="1">
      <alignment horizontal="center" vertical="center" wrapText="1" readingOrder="2"/>
    </xf>
    <xf numFmtId="10" fontId="101" fillId="10" borderId="226" xfId="3" applyNumberFormat="1" applyFont="1" applyFill="1" applyBorder="1" applyAlignment="1">
      <alignment horizontal="center" vertical="center" wrapText="1"/>
    </xf>
    <xf numFmtId="10" fontId="101" fillId="10" borderId="227" xfId="3" applyNumberFormat="1" applyFont="1" applyFill="1" applyBorder="1" applyAlignment="1">
      <alignment horizontal="center" vertical="center" wrapText="1"/>
    </xf>
    <xf numFmtId="10" fontId="101" fillId="10" borderId="228" xfId="3" applyNumberFormat="1" applyFont="1" applyFill="1" applyBorder="1" applyAlignment="1">
      <alignment horizontal="center" vertical="center" wrapText="1"/>
    </xf>
    <xf numFmtId="169" fontId="5" fillId="0" borderId="0" xfId="1" applyNumberFormat="1" applyFont="1" applyBorder="1" applyAlignment="1">
      <alignment horizontal="right" vertical="center" indent="1"/>
    </xf>
    <xf numFmtId="169" fontId="5" fillId="0" borderId="58" xfId="1" applyNumberFormat="1" applyFont="1" applyBorder="1" applyAlignment="1">
      <alignment horizontal="right" vertical="center" indent="1"/>
    </xf>
    <xf numFmtId="10" fontId="102" fillId="0" borderId="217" xfId="3" applyNumberFormat="1" applyFont="1" applyFill="1" applyBorder="1" applyAlignment="1">
      <alignment horizontal="center" vertical="center" wrapText="1"/>
    </xf>
    <xf numFmtId="10" fontId="102" fillId="0" borderId="223" xfId="3" applyNumberFormat="1" applyFont="1" applyFill="1" applyBorder="1" applyAlignment="1">
      <alignment horizontal="center" vertical="center"/>
    </xf>
    <xf numFmtId="10" fontId="102" fillId="0" borderId="218" xfId="3" applyNumberFormat="1" applyFont="1" applyFill="1" applyBorder="1" applyAlignment="1">
      <alignment horizontal="center" vertical="center"/>
    </xf>
    <xf numFmtId="10" fontId="102" fillId="0" borderId="36" xfId="3" applyNumberFormat="1" applyFont="1" applyFill="1" applyBorder="1" applyAlignment="1">
      <alignment horizontal="center" vertical="center"/>
    </xf>
    <xf numFmtId="10" fontId="102" fillId="0" borderId="0" xfId="3" applyNumberFormat="1" applyFont="1" applyFill="1" applyBorder="1" applyAlignment="1">
      <alignment horizontal="center" vertical="center"/>
    </xf>
    <xf numFmtId="10" fontId="102" fillId="0" borderId="62" xfId="3" applyNumberFormat="1" applyFont="1" applyFill="1" applyBorder="1" applyAlignment="1">
      <alignment horizontal="center" vertical="center"/>
    </xf>
    <xf numFmtId="10" fontId="102" fillId="0" borderId="63" xfId="3" applyNumberFormat="1" applyFont="1" applyFill="1" applyBorder="1" applyAlignment="1">
      <alignment horizontal="center" vertical="center"/>
    </xf>
    <xf numFmtId="10" fontId="102" fillId="0" borderId="58" xfId="3" applyNumberFormat="1" applyFont="1" applyFill="1" applyBorder="1" applyAlignment="1">
      <alignment horizontal="center" vertical="center"/>
    </xf>
    <xf numFmtId="10" fontId="102" fillId="0" borderId="64" xfId="3" applyNumberFormat="1" applyFont="1" applyFill="1" applyBorder="1" applyAlignment="1">
      <alignment horizontal="center" vertical="center"/>
    </xf>
    <xf numFmtId="0" fontId="5" fillId="0" borderId="58" xfId="0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5" fillId="0" borderId="0" xfId="0" applyFont="1" applyAlignment="1">
      <alignment horizontal="right" vertical="center" wrapText="1" indent="2" readingOrder="2"/>
    </xf>
    <xf numFmtId="169" fontId="5" fillId="0" borderId="0" xfId="1" applyNumberFormat="1" applyFont="1" applyBorder="1" applyAlignment="1">
      <alignment horizontal="right" vertical="center" indent="4" readingOrder="2"/>
    </xf>
    <xf numFmtId="169" fontId="5" fillId="0" borderId="58" xfId="1" applyNumberFormat="1" applyFont="1" applyBorder="1" applyAlignment="1">
      <alignment horizontal="right" vertical="center" indent="4" readingOrder="2"/>
    </xf>
    <xf numFmtId="3" fontId="5" fillId="8" borderId="2" xfId="0" applyNumberFormat="1" applyFont="1" applyFill="1" applyBorder="1" applyAlignment="1">
      <alignment horizontal="center" vertical="center" wrapText="1" readingOrder="2"/>
    </xf>
    <xf numFmtId="10" fontId="102" fillId="0" borderId="223" xfId="3" applyNumberFormat="1" applyFont="1" applyFill="1" applyBorder="1" applyAlignment="1">
      <alignment horizontal="center" vertical="center" wrapText="1"/>
    </xf>
    <xf numFmtId="10" fontId="102" fillId="0" borderId="218" xfId="3" applyNumberFormat="1" applyFont="1" applyFill="1" applyBorder="1" applyAlignment="1">
      <alignment horizontal="center" vertical="center" wrapText="1"/>
    </xf>
    <xf numFmtId="10" fontId="102" fillId="0" borderId="36" xfId="3" applyNumberFormat="1" applyFont="1" applyFill="1" applyBorder="1" applyAlignment="1">
      <alignment horizontal="center" vertical="center" wrapText="1"/>
    </xf>
    <xf numFmtId="10" fontId="102" fillId="0" borderId="0" xfId="3" applyNumberFormat="1" applyFont="1" applyFill="1" applyBorder="1" applyAlignment="1">
      <alignment horizontal="center" vertical="center" wrapText="1"/>
    </xf>
    <xf numFmtId="10" fontId="102" fillId="0" borderId="62" xfId="3" applyNumberFormat="1" applyFont="1" applyFill="1" applyBorder="1" applyAlignment="1">
      <alignment horizontal="center" vertical="center" wrapText="1"/>
    </xf>
    <xf numFmtId="10" fontId="102" fillId="0" borderId="63" xfId="3" applyNumberFormat="1" applyFont="1" applyFill="1" applyBorder="1" applyAlignment="1">
      <alignment horizontal="center" vertical="center" wrapText="1"/>
    </xf>
    <xf numFmtId="10" fontId="102" fillId="0" borderId="58" xfId="3" applyNumberFormat="1" applyFont="1" applyFill="1" applyBorder="1" applyAlignment="1">
      <alignment horizontal="center" vertical="center" wrapText="1"/>
    </xf>
    <xf numFmtId="10" fontId="102" fillId="0" borderId="64" xfId="3" applyNumberFormat="1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19" xfId="0" applyFont="1" applyBorder="1" applyAlignment="1">
      <alignment horizontal="right" vertical="top"/>
    </xf>
    <xf numFmtId="0" fontId="2" fillId="0" borderId="23" xfId="0" applyFont="1" applyBorder="1" applyAlignment="1">
      <alignment horizontal="right" vertical="top"/>
    </xf>
    <xf numFmtId="0" fontId="2" fillId="0" borderId="21" xfId="0" applyFont="1" applyBorder="1" applyAlignment="1">
      <alignment horizontal="right" vertical="top"/>
    </xf>
    <xf numFmtId="0" fontId="2" fillId="0" borderId="24" xfId="0" applyFont="1" applyBorder="1" applyAlignment="1">
      <alignment horizontal="right" vertical="top"/>
    </xf>
    <xf numFmtId="166" fontId="5" fillId="0" borderId="21" xfId="1" applyFont="1" applyBorder="1" applyAlignment="1">
      <alignment horizontal="left" vertical="center" readingOrder="1"/>
    </xf>
    <xf numFmtId="0" fontId="2" fillId="0" borderId="11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8" borderId="28" xfId="0" applyFont="1" applyFill="1" applyBorder="1" applyAlignment="1">
      <alignment horizontal="center" vertical="center" textRotation="90" wrapText="1"/>
    </xf>
    <xf numFmtId="0" fontId="2" fillId="8" borderId="16" xfId="0" applyFont="1" applyFill="1" applyBorder="1" applyAlignment="1">
      <alignment horizontal="center" vertical="center" textRotation="90" wrapText="1"/>
    </xf>
    <xf numFmtId="0" fontId="5" fillId="8" borderId="225" xfId="0" applyFont="1" applyFill="1" applyBorder="1" applyAlignment="1">
      <alignment horizontal="center" vertical="center" textRotation="90" wrapText="1" readingOrder="2"/>
    </xf>
    <xf numFmtId="0" fontId="12" fillId="8" borderId="225" xfId="0" applyFont="1" applyFill="1" applyBorder="1" applyAlignment="1">
      <alignment horizontal="center" vertical="center" wrapText="1" readingOrder="1"/>
    </xf>
    <xf numFmtId="0" fontId="5" fillId="8" borderId="216" xfId="0" applyFont="1" applyFill="1" applyBorder="1" applyAlignment="1">
      <alignment horizontal="center" vertical="center" wrapText="1" readingOrder="2"/>
    </xf>
    <xf numFmtId="3" fontId="5" fillId="8" borderId="225" xfId="0" applyNumberFormat="1" applyFont="1" applyFill="1" applyBorder="1" applyAlignment="1">
      <alignment horizontal="center" vertical="center" wrapText="1" readingOrder="2"/>
    </xf>
    <xf numFmtId="0" fontId="5" fillId="8" borderId="225" xfId="0" applyFont="1" applyFill="1" applyBorder="1" applyAlignment="1">
      <alignment horizontal="center" vertical="center" wrapText="1" readingOrder="2"/>
    </xf>
    <xf numFmtId="0" fontId="5" fillId="4" borderId="225" xfId="0" applyFont="1" applyFill="1" applyBorder="1" applyAlignment="1">
      <alignment horizontal="center" vertical="center" wrapText="1" readingOrder="2"/>
    </xf>
    <xf numFmtId="0" fontId="5" fillId="11" borderId="225" xfId="0" applyFont="1" applyFill="1" applyBorder="1" applyAlignment="1">
      <alignment horizontal="center" vertical="center" wrapText="1" readingOrder="2"/>
    </xf>
    <xf numFmtId="0" fontId="5" fillId="5" borderId="225" xfId="0" applyFont="1" applyFill="1" applyBorder="1" applyAlignment="1">
      <alignment horizontal="center" vertical="center" wrapText="1" readingOrder="2"/>
    </xf>
    <xf numFmtId="0" fontId="5" fillId="7" borderId="225" xfId="0" applyFont="1" applyFill="1" applyBorder="1" applyAlignment="1">
      <alignment horizontal="center" vertical="center" wrapText="1" readingOrder="2"/>
    </xf>
    <xf numFmtId="10" fontId="110" fillId="0" borderId="6" xfId="3" applyNumberFormat="1" applyFont="1" applyFill="1" applyBorder="1" applyAlignment="1">
      <alignment horizontal="center" vertical="center" wrapText="1" readingOrder="2"/>
    </xf>
    <xf numFmtId="10" fontId="110" fillId="0" borderId="96" xfId="3" applyNumberFormat="1" applyFont="1" applyFill="1" applyBorder="1" applyAlignment="1">
      <alignment horizontal="center" vertical="center" wrapText="1" readingOrder="2"/>
    </xf>
    <xf numFmtId="10" fontId="110" fillId="0" borderId="230" xfId="3" applyNumberFormat="1" applyFont="1" applyFill="1" applyBorder="1" applyAlignment="1">
      <alignment horizontal="center" vertical="center" wrapText="1" readingOrder="2"/>
    </xf>
    <xf numFmtId="10" fontId="110" fillId="0" borderId="231" xfId="3" applyNumberFormat="1" applyFont="1" applyFill="1" applyBorder="1" applyAlignment="1">
      <alignment horizontal="center" vertical="center" wrapText="1" readingOrder="2"/>
    </xf>
    <xf numFmtId="10" fontId="110" fillId="0" borderId="0" xfId="3" applyNumberFormat="1" applyFont="1" applyFill="1" applyBorder="1" applyAlignment="1">
      <alignment horizontal="center" vertical="center" wrapText="1" readingOrder="2"/>
    </xf>
    <xf numFmtId="10" fontId="110" fillId="0" borderId="62" xfId="3" applyNumberFormat="1" applyFont="1" applyFill="1" applyBorder="1" applyAlignment="1">
      <alignment horizontal="center" vertical="center" wrapText="1" readingOrder="2"/>
    </xf>
    <xf numFmtId="10" fontId="110" fillId="0" borderId="145" xfId="3" applyNumberFormat="1" applyFont="1" applyFill="1" applyBorder="1" applyAlignment="1">
      <alignment horizontal="center" vertical="center" wrapText="1" readingOrder="2"/>
    </xf>
    <xf numFmtId="10" fontId="110" fillId="0" borderId="146" xfId="3" applyNumberFormat="1" applyFont="1" applyFill="1" applyBorder="1" applyAlignment="1">
      <alignment horizontal="center" vertical="center" wrapText="1" readingOrder="2"/>
    </xf>
    <xf numFmtId="10" fontId="110" fillId="0" borderId="36" xfId="3" applyNumberFormat="1" applyFont="1" applyFill="1" applyBorder="1" applyAlignment="1">
      <alignment horizontal="center" vertical="center" wrapText="1" readingOrder="2"/>
    </xf>
    <xf numFmtId="10" fontId="110" fillId="0" borderId="37" xfId="3" applyNumberFormat="1" applyFont="1" applyFill="1" applyBorder="1" applyAlignment="1">
      <alignment horizontal="center" vertical="center" wrapText="1" readingOrder="2"/>
    </xf>
    <xf numFmtId="3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4" fillId="44" borderId="230" xfId="3" applyNumberFormat="1" applyFont="1" applyFill="1" applyBorder="1" applyAlignment="1">
      <alignment horizontal="center" vertical="center" wrapText="1"/>
    </xf>
    <xf numFmtId="10" fontId="14" fillId="44" borderId="0" xfId="3" applyNumberFormat="1" applyFont="1" applyFill="1" applyBorder="1" applyAlignment="1">
      <alignment horizontal="center" vertical="center" wrapText="1"/>
    </xf>
    <xf numFmtId="10" fontId="104" fillId="44" borderId="229" xfId="3" applyNumberFormat="1" applyFont="1" applyFill="1" applyBorder="1" applyAlignment="1">
      <alignment horizontal="center" vertical="center" wrapText="1"/>
    </xf>
    <xf numFmtId="10" fontId="104" fillId="44" borderId="230" xfId="3" applyNumberFormat="1" applyFont="1" applyFill="1" applyBorder="1" applyAlignment="1">
      <alignment horizontal="center" vertical="center" wrapText="1"/>
    </xf>
    <xf numFmtId="10" fontId="104" fillId="44" borderId="231" xfId="3" applyNumberFormat="1" applyFont="1" applyFill="1" applyBorder="1" applyAlignment="1">
      <alignment horizontal="center" vertical="center" wrapText="1"/>
    </xf>
    <xf numFmtId="10" fontId="104" fillId="44" borderId="36" xfId="3" applyNumberFormat="1" applyFont="1" applyFill="1" applyBorder="1" applyAlignment="1">
      <alignment horizontal="center" vertical="center" wrapText="1"/>
    </xf>
    <xf numFmtId="10" fontId="104" fillId="44" borderId="0" xfId="3" applyNumberFormat="1" applyFont="1" applyFill="1" applyBorder="1" applyAlignment="1">
      <alignment horizontal="center" vertical="center" wrapText="1"/>
    </xf>
    <xf numFmtId="10" fontId="104" fillId="44" borderId="62" xfId="3" applyNumberFormat="1" applyFont="1" applyFill="1" applyBorder="1" applyAlignment="1">
      <alignment horizontal="center" vertical="center" wrapText="1"/>
    </xf>
    <xf numFmtId="10" fontId="104" fillId="44" borderId="63" xfId="3" applyNumberFormat="1" applyFont="1" applyFill="1" applyBorder="1" applyAlignment="1">
      <alignment horizontal="center" vertical="center" wrapText="1"/>
    </xf>
    <xf numFmtId="10" fontId="104" fillId="44" borderId="58" xfId="3" applyNumberFormat="1" applyFont="1" applyFill="1" applyBorder="1" applyAlignment="1">
      <alignment horizontal="center" vertical="center" wrapText="1"/>
    </xf>
    <xf numFmtId="10" fontId="104" fillId="44" borderId="64" xfId="3" applyNumberFormat="1" applyFont="1" applyFill="1" applyBorder="1" applyAlignment="1">
      <alignment horizontal="center" vertical="center" wrapText="1"/>
    </xf>
    <xf numFmtId="10" fontId="105" fillId="44" borderId="229" xfId="3" applyNumberFormat="1" applyFont="1" applyFill="1" applyBorder="1" applyAlignment="1">
      <alignment horizontal="center" vertical="center" wrapText="1"/>
    </xf>
    <xf numFmtId="10" fontId="105" fillId="44" borderId="230" xfId="3" applyNumberFormat="1" applyFont="1" applyFill="1" applyBorder="1" applyAlignment="1">
      <alignment horizontal="center" vertical="center" wrapText="1"/>
    </xf>
    <xf numFmtId="10" fontId="105" fillId="44" borderId="231" xfId="3" applyNumberFormat="1" applyFont="1" applyFill="1" applyBorder="1" applyAlignment="1">
      <alignment horizontal="center" vertical="center" wrapText="1"/>
    </xf>
    <xf numFmtId="10" fontId="105" fillId="44" borderId="36" xfId="3" applyNumberFormat="1" applyFont="1" applyFill="1" applyBorder="1" applyAlignment="1">
      <alignment horizontal="center" vertical="center" wrapText="1"/>
    </xf>
    <xf numFmtId="10" fontId="105" fillId="44" borderId="0" xfId="3" applyNumberFormat="1" applyFont="1" applyFill="1" applyBorder="1" applyAlignment="1">
      <alignment horizontal="center" vertical="center" wrapText="1"/>
    </xf>
    <xf numFmtId="10" fontId="105" fillId="44" borderId="62" xfId="3" applyNumberFormat="1" applyFont="1" applyFill="1" applyBorder="1" applyAlignment="1">
      <alignment horizontal="center" vertical="center" wrapText="1"/>
    </xf>
    <xf numFmtId="10" fontId="105" fillId="44" borderId="63" xfId="3" applyNumberFormat="1" applyFont="1" applyFill="1" applyBorder="1" applyAlignment="1">
      <alignment horizontal="center" vertical="center" wrapText="1"/>
    </xf>
    <xf numFmtId="10" fontId="105" fillId="44" borderId="58" xfId="3" applyNumberFormat="1" applyFont="1" applyFill="1" applyBorder="1" applyAlignment="1">
      <alignment horizontal="center" vertical="center" wrapText="1"/>
    </xf>
    <xf numFmtId="10" fontId="105" fillId="44" borderId="64" xfId="3" applyNumberFormat="1" applyFont="1" applyFill="1" applyBorder="1" applyAlignment="1">
      <alignment horizontal="center" vertical="center" wrapText="1"/>
    </xf>
    <xf numFmtId="10" fontId="104" fillId="44" borderId="217" xfId="3" applyNumberFormat="1" applyFont="1" applyFill="1" applyBorder="1" applyAlignment="1">
      <alignment horizontal="center" vertical="center" wrapText="1"/>
    </xf>
    <xf numFmtId="10" fontId="104" fillId="44" borderId="223" xfId="3" applyNumberFormat="1" applyFont="1" applyFill="1" applyBorder="1" applyAlignment="1">
      <alignment horizontal="center" vertical="center" wrapText="1"/>
    </xf>
    <xf numFmtId="10" fontId="104" fillId="44" borderId="218" xfId="3" applyNumberFormat="1" applyFont="1" applyFill="1" applyBorder="1" applyAlignment="1">
      <alignment horizontal="center" vertical="center" wrapText="1"/>
    </xf>
    <xf numFmtId="169" fontId="5" fillId="0" borderId="0" xfId="1" applyNumberFormat="1" applyFont="1" applyBorder="1" applyAlignment="1">
      <alignment horizontal="right" vertical="center" indent="4" shrinkToFit="1" readingOrder="2"/>
    </xf>
    <xf numFmtId="169" fontId="5" fillId="0" borderId="58" xfId="1" applyNumberFormat="1" applyFont="1" applyBorder="1" applyAlignment="1">
      <alignment horizontal="right" vertical="center" indent="4" shrinkToFit="1" readingOrder="2"/>
    </xf>
    <xf numFmtId="0" fontId="6" fillId="11" borderId="216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10" fillId="0" borderId="220" xfId="0" applyFont="1" applyBorder="1" applyAlignment="1">
      <alignment horizontal="left" vertical="center" wrapText="1"/>
    </xf>
    <xf numFmtId="0" fontId="10" fillId="0" borderId="222" xfId="0" applyFont="1" applyBorder="1" applyAlignment="1">
      <alignment horizontal="left" vertical="center" wrapText="1"/>
    </xf>
    <xf numFmtId="0" fontId="10" fillId="0" borderId="221" xfId="0" applyFont="1" applyBorder="1" applyAlignment="1">
      <alignment horizontal="left" vertical="center" wrapText="1"/>
    </xf>
    <xf numFmtId="0" fontId="6" fillId="11" borderId="217" xfId="0" applyFont="1" applyFill="1" applyBorder="1" applyAlignment="1">
      <alignment horizontal="center" vertical="center" wrapText="1"/>
    </xf>
    <xf numFmtId="0" fontId="6" fillId="11" borderId="63" xfId="0" applyFont="1" applyFill="1" applyBorder="1" applyAlignment="1">
      <alignment horizontal="center" vertical="center" wrapText="1"/>
    </xf>
    <xf numFmtId="0" fontId="6" fillId="11" borderId="219" xfId="0" applyFont="1" applyFill="1" applyBorder="1" applyAlignment="1">
      <alignment horizontal="center" vertical="center" wrapText="1"/>
    </xf>
    <xf numFmtId="0" fontId="12" fillId="11" borderId="216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29" xfId="4" applyFont="1" applyBorder="1" applyAlignment="1">
      <alignment horizontal="center" vertical="center" wrapText="1"/>
    </xf>
    <xf numFmtId="0" fontId="6" fillId="0" borderId="4" xfId="4" applyFont="1" applyBorder="1" applyAlignment="1">
      <alignment horizontal="center" vertical="center" wrapText="1"/>
    </xf>
    <xf numFmtId="0" fontId="2" fillId="0" borderId="33" xfId="4" applyFont="1" applyBorder="1" applyAlignment="1">
      <alignment horizontal="center" vertical="center" wrapText="1"/>
    </xf>
    <xf numFmtId="0" fontId="2" fillId="0" borderId="29" xfId="4" applyFont="1" applyBorder="1" applyAlignment="1">
      <alignment horizontal="center" vertical="center" wrapText="1"/>
    </xf>
    <xf numFmtId="10" fontId="2" fillId="0" borderId="63" xfId="5" applyNumberFormat="1" applyFont="1" applyBorder="1" applyAlignment="1">
      <alignment horizontal="center" vertical="center"/>
    </xf>
    <xf numFmtId="10" fontId="2" fillId="0" borderId="64" xfId="5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 wrapText="1"/>
    </xf>
    <xf numFmtId="0" fontId="6" fillId="0" borderId="224" xfId="15" applyFont="1" applyBorder="1" applyAlignment="1">
      <alignment horizontal="center" vertical="center" readingOrder="2"/>
    </xf>
    <xf numFmtId="0" fontId="6" fillId="0" borderId="158" xfId="15" applyFont="1" applyBorder="1" applyAlignment="1">
      <alignment horizontal="center" vertical="center" readingOrder="2"/>
    </xf>
    <xf numFmtId="0" fontId="6" fillId="43" borderId="140" xfId="15" applyFont="1" applyFill="1" applyBorder="1" applyAlignment="1">
      <alignment horizontal="center" vertical="center" readingOrder="2"/>
    </xf>
    <xf numFmtId="0" fontId="6" fillId="0" borderId="89" xfId="15" applyFont="1" applyBorder="1" applyAlignment="1">
      <alignment horizontal="center" vertical="center" readingOrder="2"/>
    </xf>
    <xf numFmtId="0" fontId="6" fillId="0" borderId="193" xfId="15" applyFont="1" applyBorder="1" applyAlignment="1">
      <alignment horizontal="center" vertical="center" readingOrder="2"/>
    </xf>
    <xf numFmtId="0" fontId="12" fillId="0" borderId="89" xfId="15" applyFont="1" applyBorder="1" applyAlignment="1">
      <alignment horizontal="center" vertical="center" readingOrder="2"/>
    </xf>
    <xf numFmtId="0" fontId="12" fillId="0" borderId="193" xfId="15" applyFont="1" applyBorder="1" applyAlignment="1">
      <alignment horizontal="center" vertical="center" readingOrder="2"/>
    </xf>
    <xf numFmtId="0" fontId="70" fillId="0" borderId="151" xfId="15" applyFont="1" applyBorder="1" applyAlignment="1">
      <alignment horizontal="center" vertical="center" wrapText="1" readingOrder="2"/>
    </xf>
    <xf numFmtId="0" fontId="6" fillId="0" borderId="100" xfId="15" applyFont="1" applyBorder="1" applyAlignment="1">
      <alignment horizontal="center" vertical="center" readingOrder="2"/>
    </xf>
  </cellXfs>
  <cellStyles count="80">
    <cellStyle name="20% - Accent1 2" xfId="17" xr:uid="{00000000-0005-0000-0000-000000000000}"/>
    <cellStyle name="20% - Accent2 2" xfId="18" xr:uid="{00000000-0005-0000-0000-000001000000}"/>
    <cellStyle name="20% - Accent3 2" xfId="19" xr:uid="{00000000-0005-0000-0000-000002000000}"/>
    <cellStyle name="20% - Accent4 2" xfId="20" xr:uid="{00000000-0005-0000-0000-000003000000}"/>
    <cellStyle name="20% - Accent5 2" xfId="21" xr:uid="{00000000-0005-0000-0000-000004000000}"/>
    <cellStyle name="20% - Accent6 2" xfId="22" xr:uid="{00000000-0005-0000-0000-000005000000}"/>
    <cellStyle name="40% - Accent1 2" xfId="23" xr:uid="{00000000-0005-0000-0000-000006000000}"/>
    <cellStyle name="40% - Accent2 2" xfId="24" xr:uid="{00000000-0005-0000-0000-000007000000}"/>
    <cellStyle name="40% - Accent3 2" xfId="25" xr:uid="{00000000-0005-0000-0000-000008000000}"/>
    <cellStyle name="40% - Accent4 2" xfId="26" xr:uid="{00000000-0005-0000-0000-000009000000}"/>
    <cellStyle name="40% - Accent5 2" xfId="27" xr:uid="{00000000-0005-0000-0000-00000A000000}"/>
    <cellStyle name="40% - Accent6 2" xfId="28" xr:uid="{00000000-0005-0000-0000-00000B000000}"/>
    <cellStyle name="60% - Accent1 2" xfId="29" xr:uid="{00000000-0005-0000-0000-00000C000000}"/>
    <cellStyle name="60% - Accent2 2" xfId="30" xr:uid="{00000000-0005-0000-0000-00000D000000}"/>
    <cellStyle name="60% - Accent3 2" xfId="31" xr:uid="{00000000-0005-0000-0000-00000E000000}"/>
    <cellStyle name="60% - Accent4 2" xfId="32" xr:uid="{00000000-0005-0000-0000-00000F000000}"/>
    <cellStyle name="60% - Accent5 2" xfId="33" xr:uid="{00000000-0005-0000-0000-000010000000}"/>
    <cellStyle name="60% - Accent6 2" xfId="34" xr:uid="{00000000-0005-0000-0000-000011000000}"/>
    <cellStyle name="Accent1 2" xfId="35" xr:uid="{00000000-0005-0000-0000-000012000000}"/>
    <cellStyle name="Accent2 2" xfId="36" xr:uid="{00000000-0005-0000-0000-000013000000}"/>
    <cellStyle name="Accent3 2" xfId="37" xr:uid="{00000000-0005-0000-0000-000014000000}"/>
    <cellStyle name="Accent4 2" xfId="38" xr:uid="{00000000-0005-0000-0000-000015000000}"/>
    <cellStyle name="Accent5 2" xfId="39" xr:uid="{00000000-0005-0000-0000-000016000000}"/>
    <cellStyle name="Accent6 2" xfId="40" xr:uid="{00000000-0005-0000-0000-000017000000}"/>
    <cellStyle name="Bad 2" xfId="41" xr:uid="{00000000-0005-0000-0000-000018000000}"/>
    <cellStyle name="Calculation 2" xfId="42" xr:uid="{00000000-0005-0000-0000-000019000000}"/>
    <cellStyle name="Calculation 3" xfId="43" xr:uid="{00000000-0005-0000-0000-00001A000000}"/>
    <cellStyle name="Check Cell 2" xfId="44" xr:uid="{00000000-0005-0000-0000-00001B000000}"/>
    <cellStyle name="Check Cell 3" xfId="45" xr:uid="{00000000-0005-0000-0000-00001C000000}"/>
    <cellStyle name="Check Cell 4" xfId="46" xr:uid="{00000000-0005-0000-0000-00001D000000}"/>
    <cellStyle name="Comma" xfId="1" builtinId="3"/>
    <cellStyle name="Comma 2" xfId="11" xr:uid="{00000000-0005-0000-0000-00001F000000}"/>
    <cellStyle name="Comma 2 2" xfId="47" xr:uid="{00000000-0005-0000-0000-000020000000}"/>
    <cellStyle name="Comma 3" xfId="7" xr:uid="{00000000-0005-0000-0000-000021000000}"/>
    <cellStyle name="Comma 4" xfId="16" xr:uid="{00000000-0005-0000-0000-000022000000}"/>
    <cellStyle name="Currency" xfId="2" builtinId="4"/>
    <cellStyle name="Currency 2" xfId="8" xr:uid="{00000000-0005-0000-0000-000024000000}"/>
    <cellStyle name="Explanatory Text 2" xfId="48" xr:uid="{00000000-0005-0000-0000-000025000000}"/>
    <cellStyle name="Good 2" xfId="49" xr:uid="{00000000-0005-0000-0000-000026000000}"/>
    <cellStyle name="Heading 1 2" xfId="50" xr:uid="{00000000-0005-0000-0000-000027000000}"/>
    <cellStyle name="Heading 2 2" xfId="51" xr:uid="{00000000-0005-0000-0000-000028000000}"/>
    <cellStyle name="Heading 3 2" xfId="52" xr:uid="{00000000-0005-0000-0000-000029000000}"/>
    <cellStyle name="Heading 4 2" xfId="53" xr:uid="{00000000-0005-0000-0000-00002A000000}"/>
    <cellStyle name="Input 2" xfId="54" xr:uid="{00000000-0005-0000-0000-00002B000000}"/>
    <cellStyle name="Input 3" xfId="55" xr:uid="{00000000-0005-0000-0000-00002C000000}"/>
    <cellStyle name="Linked Cell 2" xfId="56" xr:uid="{00000000-0005-0000-0000-00002D000000}"/>
    <cellStyle name="Neutral 2" xfId="57" xr:uid="{00000000-0005-0000-0000-00002E000000}"/>
    <cellStyle name="Normal" xfId="0" builtinId="0"/>
    <cellStyle name="Normal 2" xfId="6" xr:uid="{00000000-0005-0000-0000-000030000000}"/>
    <cellStyle name="Normal 2 2" xfId="9" xr:uid="{00000000-0005-0000-0000-000031000000}"/>
    <cellStyle name="Normal 2 3" xfId="12" xr:uid="{00000000-0005-0000-0000-000032000000}"/>
    <cellStyle name="Normal 3" xfId="4" xr:uid="{00000000-0005-0000-0000-000033000000}"/>
    <cellStyle name="Normal 3 2" xfId="58" xr:uid="{00000000-0005-0000-0000-000034000000}"/>
    <cellStyle name="Normal 3 2 2" xfId="59" xr:uid="{00000000-0005-0000-0000-000035000000}"/>
    <cellStyle name="Normal 3 3" xfId="60" xr:uid="{00000000-0005-0000-0000-000036000000}"/>
    <cellStyle name="Normal 4" xfId="15" xr:uid="{00000000-0005-0000-0000-000037000000}"/>
    <cellStyle name="Normal 4 2" xfId="61" xr:uid="{00000000-0005-0000-0000-000038000000}"/>
    <cellStyle name="Normal 4 3" xfId="62" xr:uid="{00000000-0005-0000-0000-000039000000}"/>
    <cellStyle name="Normal 5" xfId="63" xr:uid="{00000000-0005-0000-0000-00003A000000}"/>
    <cellStyle name="Normal 5 2" xfId="64" xr:uid="{00000000-0005-0000-0000-00003B000000}"/>
    <cellStyle name="Normal 6" xfId="65" xr:uid="{00000000-0005-0000-0000-00003C000000}"/>
    <cellStyle name="Normal 7" xfId="13" xr:uid="{00000000-0005-0000-0000-00003D000000}"/>
    <cellStyle name="Normal 8" xfId="66" xr:uid="{00000000-0005-0000-0000-00003E000000}"/>
    <cellStyle name="Normal 9" xfId="67" xr:uid="{00000000-0005-0000-0000-00003F000000}"/>
    <cellStyle name="Note 2" xfId="68" xr:uid="{00000000-0005-0000-0000-000040000000}"/>
    <cellStyle name="Note 3" xfId="69" xr:uid="{00000000-0005-0000-0000-000041000000}"/>
    <cellStyle name="Output 2" xfId="70" xr:uid="{00000000-0005-0000-0000-000042000000}"/>
    <cellStyle name="Output 3" xfId="71" xr:uid="{00000000-0005-0000-0000-000043000000}"/>
    <cellStyle name="Percent" xfId="3" builtinId="5"/>
    <cellStyle name="Percent 2" xfId="5" xr:uid="{00000000-0005-0000-0000-000045000000}"/>
    <cellStyle name="Percent 2 2" xfId="10" xr:uid="{00000000-0005-0000-0000-000046000000}"/>
    <cellStyle name="Percent 2 3" xfId="14" xr:uid="{00000000-0005-0000-0000-000047000000}"/>
    <cellStyle name="Percent 3" xfId="72" xr:uid="{00000000-0005-0000-0000-000048000000}"/>
    <cellStyle name="sss" xfId="73" xr:uid="{00000000-0005-0000-0000-000049000000}"/>
    <cellStyle name="Title 2" xfId="74" xr:uid="{00000000-0005-0000-0000-00004A000000}"/>
    <cellStyle name="Total 2" xfId="75" xr:uid="{00000000-0005-0000-0000-00004B000000}"/>
    <cellStyle name="Total 3" xfId="76" xr:uid="{00000000-0005-0000-0000-00004C000000}"/>
    <cellStyle name="Warning Text 2" xfId="77" xr:uid="{00000000-0005-0000-0000-00004D000000}"/>
    <cellStyle name="常规_Neka设备材料估算" xfId="78" xr:uid="{00000000-0005-0000-0000-00004E000000}"/>
    <cellStyle name="標準_Sheet1" xfId="79" xr:uid="{00000000-0005-0000-0000-00004F000000}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99FF66"/>
      <color rgb="FF3399FF"/>
      <color rgb="FFCC99FF"/>
      <color rgb="FFFFCC99"/>
      <color rgb="FF99CCFF"/>
      <color rgb="FF66CCFF"/>
      <color rgb="FF0033CC"/>
      <color rgb="FFFF00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29992</xdr:colOff>
      <xdr:row>0</xdr:row>
      <xdr:rowOff>38100</xdr:rowOff>
    </xdr:from>
    <xdr:to>
      <xdr:col>17</xdr:col>
      <xdr:colOff>310615</xdr:colOff>
      <xdr:row>2</xdr:row>
      <xdr:rowOff>194295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793953528" y="38100"/>
          <a:ext cx="1525677" cy="748106"/>
          <a:chOff x="5964406256" y="90646"/>
          <a:chExt cx="1338582" cy="613395"/>
        </a:xfrm>
      </xdr:grpSpPr>
      <xdr:pic>
        <xdr:nvPicPr>
          <xdr:cNvPr id="3" name="Picture 2" descr="untitled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64406256" y="116670"/>
            <a:ext cx="731096" cy="52480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Picture 3" descr="صحن با نام.jp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65181761" y="90646"/>
            <a:ext cx="563077" cy="61339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0</xdr:col>
      <xdr:colOff>369794</xdr:colOff>
      <xdr:row>0</xdr:row>
      <xdr:rowOff>59097</xdr:rowOff>
    </xdr:from>
    <xdr:to>
      <xdr:col>3</xdr:col>
      <xdr:colOff>89647</xdr:colOff>
      <xdr:row>2</xdr:row>
      <xdr:rowOff>112059</xdr:rowOff>
    </xdr:to>
    <xdr:grpSp>
      <xdr:nvGrpSpPr>
        <xdr:cNvPr id="11" name="Group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6799984746" y="59097"/>
          <a:ext cx="964907" cy="644873"/>
          <a:chOff x="9834964516" y="95250"/>
          <a:chExt cx="931485" cy="887249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34964516" y="123046"/>
            <a:ext cx="423837" cy="390525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35443599" y="95250"/>
            <a:ext cx="452402" cy="433894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35018275" y="581025"/>
            <a:ext cx="792000" cy="40147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74088</xdr:rowOff>
    </xdr:from>
    <xdr:to>
      <xdr:col>2</xdr:col>
      <xdr:colOff>158750</xdr:colOff>
      <xdr:row>4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20000" contrast="20000"/>
        </a:blip>
        <a:srcRect l="1924" t="2515" r="2183" b="2642"/>
        <a:stretch>
          <a:fillRect/>
        </a:stretch>
      </xdr:blipFill>
      <xdr:spPr bwMode="auto">
        <a:xfrm>
          <a:off x="9835375300" y="74088"/>
          <a:ext cx="962025" cy="135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189441</xdr:colOff>
      <xdr:row>0</xdr:row>
      <xdr:rowOff>149227</xdr:rowOff>
    </xdr:from>
    <xdr:to>
      <xdr:col>2</xdr:col>
      <xdr:colOff>1015162</xdr:colOff>
      <xdr:row>3</xdr:row>
      <xdr:rowOff>168276</xdr:rowOff>
    </xdr:to>
    <xdr:pic>
      <xdr:nvPicPr>
        <xdr:cNvPr id="4" name="Picture 3" descr="صحن با نام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86813255" y="149227"/>
          <a:ext cx="825721" cy="10138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1419225</xdr:colOff>
          <xdr:row>1</xdr:row>
          <xdr:rowOff>0</xdr:rowOff>
        </xdr:from>
        <xdr:to>
          <xdr:col>2</xdr:col>
          <xdr:colOff>1943100</xdr:colOff>
          <xdr:row>2</xdr:row>
          <xdr:rowOff>266700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2076450</xdr:colOff>
          <xdr:row>1</xdr:row>
          <xdr:rowOff>0</xdr:rowOff>
        </xdr:from>
        <xdr:to>
          <xdr:col>2</xdr:col>
          <xdr:colOff>2628900</xdr:colOff>
          <xdr:row>2</xdr:row>
          <xdr:rowOff>266700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1514475</xdr:colOff>
          <xdr:row>2</xdr:row>
          <xdr:rowOff>342900</xdr:rowOff>
        </xdr:from>
        <xdr:to>
          <xdr:col>2</xdr:col>
          <xdr:colOff>1914525</xdr:colOff>
          <xdr:row>3</xdr:row>
          <xdr:rowOff>180975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2095500</xdr:colOff>
          <xdr:row>2</xdr:row>
          <xdr:rowOff>342900</xdr:rowOff>
        </xdr:from>
        <xdr:to>
          <xdr:col>2</xdr:col>
          <xdr:colOff>2571750</xdr:colOff>
          <xdr:row>3</xdr:row>
          <xdr:rowOff>180975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190500</xdr:rowOff>
        </xdr:from>
        <xdr:to>
          <xdr:col>0</xdr:col>
          <xdr:colOff>0</xdr:colOff>
          <xdr:row>1</xdr:row>
          <xdr:rowOff>238125</xdr:rowOff>
        </xdr:to>
        <xdr:sp macro="" textlink="">
          <xdr:nvSpPr>
            <xdr:cNvPr id="28697" name="Object 25" hidden="1">
              <a:extLst>
                <a:ext uri="{63B3BB69-23CF-44E3-9099-C40C66FF867C}">
                  <a14:compatExt spid="_x0000_s28697"/>
                </a:ext>
                <a:ext uri="{FF2B5EF4-FFF2-40B4-BE49-F238E27FC236}">
                  <a16:creationId xmlns:a16="http://schemas.microsoft.com/office/drawing/2014/main" id="{00000000-0008-0000-0800-00001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180975</xdr:rowOff>
        </xdr:from>
        <xdr:to>
          <xdr:col>0</xdr:col>
          <xdr:colOff>0</xdr:colOff>
          <xdr:row>1</xdr:row>
          <xdr:rowOff>228600</xdr:rowOff>
        </xdr:to>
        <xdr:sp macro="" textlink="">
          <xdr:nvSpPr>
            <xdr:cNvPr id="28698" name="Object 26" hidden="1">
              <a:extLst>
                <a:ext uri="{63B3BB69-23CF-44E3-9099-C40C66FF867C}">
                  <a14:compatExt spid="_x0000_s28698"/>
                </a:ext>
                <a:ext uri="{FF2B5EF4-FFF2-40B4-BE49-F238E27FC236}">
                  <a16:creationId xmlns:a16="http://schemas.microsoft.com/office/drawing/2014/main" id="{00000000-0008-0000-0800-00001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180975</xdr:rowOff>
        </xdr:from>
        <xdr:to>
          <xdr:col>0</xdr:col>
          <xdr:colOff>0</xdr:colOff>
          <xdr:row>2</xdr:row>
          <xdr:rowOff>476250</xdr:rowOff>
        </xdr:to>
        <xdr:sp macro="" textlink="">
          <xdr:nvSpPr>
            <xdr:cNvPr id="28699" name="Object 27" hidden="1">
              <a:extLst>
                <a:ext uri="{63B3BB69-23CF-44E3-9099-C40C66FF867C}">
                  <a14:compatExt spid="_x0000_s28699"/>
                </a:ext>
                <a:ext uri="{FF2B5EF4-FFF2-40B4-BE49-F238E27FC236}">
                  <a16:creationId xmlns:a16="http://schemas.microsoft.com/office/drawing/2014/main" id="{00000000-0008-0000-0800-00001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310635</xdr:colOff>
      <xdr:row>0</xdr:row>
      <xdr:rowOff>42335</xdr:rowOff>
    </xdr:from>
    <xdr:to>
      <xdr:col>2</xdr:col>
      <xdr:colOff>1025746</xdr:colOff>
      <xdr:row>3</xdr:row>
      <xdr:rowOff>53976</xdr:rowOff>
    </xdr:to>
    <xdr:pic>
      <xdr:nvPicPr>
        <xdr:cNvPr id="2" name="Picture 1" descr="صحن با نام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8760004" y="42335"/>
          <a:ext cx="715111" cy="706966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0</xdr:row>
      <xdr:rowOff>74088</xdr:rowOff>
    </xdr:from>
    <xdr:to>
      <xdr:col>2</xdr:col>
      <xdr:colOff>158750</xdr:colOff>
      <xdr:row>3</xdr:row>
      <xdr:rowOff>47625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20000" contrast="20000"/>
        </a:blip>
        <a:srcRect l="1924" t="2515" r="2183" b="2642"/>
        <a:stretch>
          <a:fillRect/>
        </a:stretch>
      </xdr:blipFill>
      <xdr:spPr bwMode="auto">
        <a:xfrm>
          <a:off x="11239627000" y="74088"/>
          <a:ext cx="1085850" cy="668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1552575</xdr:colOff>
          <xdr:row>0</xdr:row>
          <xdr:rowOff>133350</xdr:rowOff>
        </xdr:from>
        <xdr:to>
          <xdr:col>2</xdr:col>
          <xdr:colOff>2076450</xdr:colOff>
          <xdr:row>2</xdr:row>
          <xdr:rowOff>9525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C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2171700</xdr:colOff>
          <xdr:row>0</xdr:row>
          <xdr:rowOff>123825</xdr:rowOff>
        </xdr:from>
        <xdr:to>
          <xdr:col>2</xdr:col>
          <xdr:colOff>2724150</xdr:colOff>
          <xdr:row>2</xdr:row>
          <xdr:rowOff>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C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1609725</xdr:colOff>
          <xdr:row>2</xdr:row>
          <xdr:rowOff>76200</xdr:rowOff>
        </xdr:from>
        <xdr:to>
          <xdr:col>2</xdr:col>
          <xdr:colOff>2009775</xdr:colOff>
          <xdr:row>3</xdr:row>
          <xdr:rowOff>171450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C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2190750</xdr:colOff>
          <xdr:row>2</xdr:row>
          <xdr:rowOff>76200</xdr:rowOff>
        </xdr:from>
        <xdr:to>
          <xdr:col>2</xdr:col>
          <xdr:colOff>2667000</xdr:colOff>
          <xdr:row>3</xdr:row>
          <xdr:rowOff>171450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C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43943</xdr:colOff>
      <xdr:row>1</xdr:row>
      <xdr:rowOff>79928</xdr:rowOff>
    </xdr:from>
    <xdr:to>
      <xdr:col>1</xdr:col>
      <xdr:colOff>481853</xdr:colOff>
      <xdr:row>2</xdr:row>
      <xdr:rowOff>183125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38376422" y="289478"/>
          <a:ext cx="895110" cy="417522"/>
        </a:xfrm>
        <a:prstGeom prst="rect">
          <a:avLst/>
        </a:prstGeom>
      </xdr:spPr>
    </xdr:pic>
    <xdr:clientData/>
  </xdr:twoCellAnchor>
  <xdr:twoCellAnchor editAs="oneCell">
    <xdr:from>
      <xdr:col>4</xdr:col>
      <xdr:colOff>78404</xdr:colOff>
      <xdr:row>0</xdr:row>
      <xdr:rowOff>42194</xdr:rowOff>
    </xdr:from>
    <xdr:to>
      <xdr:col>4</xdr:col>
      <xdr:colOff>602154</xdr:colOff>
      <xdr:row>2</xdr:row>
      <xdr:rowOff>50311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2703046" y="42194"/>
          <a:ext cx="523750" cy="531992"/>
        </a:xfrm>
        <a:prstGeom prst="rect">
          <a:avLst/>
        </a:prstGeom>
      </xdr:spPr>
    </xdr:pic>
    <xdr:clientData/>
  </xdr:twoCellAnchor>
  <xdr:twoCellAnchor>
    <xdr:from>
      <xdr:col>4</xdr:col>
      <xdr:colOff>628620</xdr:colOff>
      <xdr:row>0</xdr:row>
      <xdr:rowOff>74452</xdr:rowOff>
    </xdr:from>
    <xdr:to>
      <xdr:col>4</xdr:col>
      <xdr:colOff>1084853</xdr:colOff>
      <xdr:row>1</xdr:row>
      <xdr:rowOff>304800</xdr:rowOff>
    </xdr:to>
    <xdr:pic>
      <xdr:nvPicPr>
        <xdr:cNvPr id="4" name="Picture 0" descr="Description: Arm-Railway.jp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2220347" y="74452"/>
          <a:ext cx="456233" cy="43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585;&#1575;&#1607;%20&#1570;&#1607;&#1606;\shirazi\&#1585;&#1587;&#1740;&#1583;&#1711;&#1740;%20&#1576;&#1607;%20&#1589;&#1608;&#1585;&#1578;%20&#1608;&#1590;&#1593;&#1740;&#1578;%20&#1575;&#1589;&#1601;&#1607;&#1575;&#1606;\01-&#1705;&#1740;&#1587;&#1608;&#1606;-%20&#1588;&#1576;&#1606;&#1605;%20&#1605;&#1588;&#1705;\&#1589;&#1608;&#1585;&#1578;%20&#1608;&#1590;&#1593;&#1610;&#1578;%2025\Copy%20of%20Statement%20No%2025-Shabnam-Mosh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summary-2"/>
      <sheetName val="summary-Adjustment"/>
      <sheetName val="CBS"/>
      <sheetName val="CBS-1.3.1"/>
      <sheetName val="CBS-1.3.2"/>
      <sheetName val="CBS-1.3.3"/>
      <sheetName val="CBS-1.3.4"/>
      <sheetName val="CBS-1.4.1"/>
      <sheetName val="CBS-1.4.2"/>
      <sheetName val="CBS-1.5"/>
      <sheetName val="CBS-1.6"/>
      <sheetName val="CBS-1.6.1"/>
      <sheetName val="CBS-1.6.2"/>
      <sheetName val="CBS-1.6.3"/>
      <sheetName val="CBS-1.7.3"/>
      <sheetName val="CBS-1.7.4"/>
      <sheetName val="CBS-1.7.5"/>
      <sheetName val="CBS-1.7.6"/>
      <sheetName val="CBS-1.7.7"/>
      <sheetName val="ENG. DL Att. "/>
      <sheetName val="summary (2)"/>
      <sheetName val="summary-2 (2)"/>
      <sheetName val="summary-Adjustment (2)"/>
    </sheetNames>
    <sheetDataSet>
      <sheetData sheetId="0">
        <row r="5">
          <cell r="A5" t="str">
            <v>00</v>
          </cell>
          <cell r="C5" t="str">
            <v>01</v>
          </cell>
          <cell r="E5" t="str">
            <v>025</v>
          </cell>
          <cell r="G5" t="str">
            <v>ST</v>
          </cell>
          <cell r="I5" t="str">
            <v>ECO</v>
          </cell>
          <cell r="K5">
            <v>18</v>
          </cell>
          <cell r="M5">
            <v>95210</v>
          </cell>
          <cell r="S5">
            <v>24</v>
          </cell>
        </row>
      </sheetData>
      <sheetData sheetId="1"/>
      <sheetData sheetId="2"/>
      <sheetData sheetId="3"/>
      <sheetData sheetId="4">
        <row r="4">
          <cell r="M4" t="str">
            <v>Proj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4">
          <cell r="N4" t="str">
            <v>Proj</v>
          </cell>
        </row>
      </sheetData>
      <sheetData sheetId="12"/>
      <sheetData sheetId="13">
        <row r="1">
          <cell r="F1">
            <v>0</v>
          </cell>
        </row>
      </sheetData>
      <sheetData sheetId="14">
        <row r="1">
          <cell r="F1">
            <v>0</v>
          </cell>
        </row>
      </sheetData>
      <sheetData sheetId="15">
        <row r="1">
          <cell r="F1">
            <v>0</v>
          </cell>
        </row>
      </sheetData>
      <sheetData sheetId="16">
        <row r="4">
          <cell r="M4" t="str">
            <v>Proj</v>
          </cell>
        </row>
      </sheetData>
      <sheetData sheetId="17">
        <row r="1">
          <cell r="F1">
            <v>0</v>
          </cell>
        </row>
      </sheetData>
      <sheetData sheetId="18">
        <row r="4">
          <cell r="M4" t="str">
            <v>Proj</v>
          </cell>
        </row>
      </sheetData>
      <sheetData sheetId="19">
        <row r="1">
          <cell r="M1">
            <v>0</v>
          </cell>
        </row>
      </sheetData>
      <sheetData sheetId="20">
        <row r="1">
          <cell r="F1">
            <v>0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55CE93-8A5A-4F63-B1D5-C61E6A85BB20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7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9.png"/><Relationship Id="rId5" Type="http://schemas.openxmlformats.org/officeDocument/2006/relationships/image" Target="../media/image6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8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6.png"/><Relationship Id="rId4" Type="http://schemas.openxmlformats.org/officeDocument/2006/relationships/oleObject" Target="../embeddings/oleObject5.bin"/><Relationship Id="rId9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7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oleObject9.bin"/><Relationship Id="rId11" Type="http://schemas.openxmlformats.org/officeDocument/2006/relationships/image" Target="../media/image9.png"/><Relationship Id="rId5" Type="http://schemas.openxmlformats.org/officeDocument/2006/relationships/image" Target="../media/image6.png"/><Relationship Id="rId10" Type="http://schemas.openxmlformats.org/officeDocument/2006/relationships/oleObject" Target="../embeddings/oleObject11.bin"/><Relationship Id="rId4" Type="http://schemas.openxmlformats.org/officeDocument/2006/relationships/oleObject" Target="../embeddings/oleObject8.bin"/><Relationship Id="rId9" Type="http://schemas.openxmlformats.org/officeDocument/2006/relationships/image" Target="../media/image8.png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rightToLeft="1" view="pageBreakPreview" topLeftCell="A12" zoomScale="70" zoomScaleNormal="115" zoomScaleSheetLayoutView="70" workbookViewId="0">
      <selection activeCell="A13" sqref="A13"/>
    </sheetView>
  </sheetViews>
  <sheetFormatPr defaultColWidth="5.4375" defaultRowHeight="20.100000000000001" customHeight="1"/>
  <cols>
    <col min="1" max="19" width="5.4375" style="352"/>
    <col min="20" max="20" width="15.875" style="352" bestFit="1" customWidth="1"/>
    <col min="21" max="21" width="13.3125" style="352" customWidth="1"/>
    <col min="22" max="22" width="9" style="352" bestFit="1" customWidth="1"/>
    <col min="23" max="16384" width="5.4375" style="352"/>
  </cols>
  <sheetData>
    <row r="1" spans="1:22" ht="16.899999999999999">
      <c r="A1" s="729"/>
      <c r="B1" s="730"/>
      <c r="C1" s="730"/>
      <c r="D1" s="731"/>
      <c r="E1" s="738" t="s">
        <v>766</v>
      </c>
      <c r="F1" s="739"/>
      <c r="G1" s="739"/>
      <c r="H1" s="739"/>
      <c r="I1" s="739"/>
      <c r="J1" s="739"/>
      <c r="K1" s="739"/>
      <c r="L1" s="739"/>
      <c r="M1" s="739"/>
      <c r="N1" s="740"/>
      <c r="O1" s="747"/>
      <c r="P1" s="730"/>
      <c r="Q1" s="730"/>
      <c r="R1" s="748"/>
    </row>
    <row r="2" spans="1:22" ht="29.25" customHeight="1">
      <c r="A2" s="732"/>
      <c r="B2" s="733"/>
      <c r="C2" s="733"/>
      <c r="D2" s="734"/>
      <c r="E2" s="741"/>
      <c r="F2" s="742"/>
      <c r="G2" s="742"/>
      <c r="H2" s="742"/>
      <c r="I2" s="742"/>
      <c r="J2" s="742"/>
      <c r="K2" s="742"/>
      <c r="L2" s="742"/>
      <c r="M2" s="742"/>
      <c r="N2" s="743"/>
      <c r="O2" s="749"/>
      <c r="P2" s="733"/>
      <c r="Q2" s="733"/>
      <c r="R2" s="750"/>
    </row>
    <row r="3" spans="1:22" ht="17.25" thickBot="1">
      <c r="A3" s="735"/>
      <c r="B3" s="736"/>
      <c r="C3" s="736"/>
      <c r="D3" s="737"/>
      <c r="E3" s="744"/>
      <c r="F3" s="745"/>
      <c r="G3" s="745"/>
      <c r="H3" s="745"/>
      <c r="I3" s="745"/>
      <c r="J3" s="745"/>
      <c r="K3" s="745"/>
      <c r="L3" s="745"/>
      <c r="M3" s="745"/>
      <c r="N3" s="746"/>
      <c r="O3" s="751"/>
      <c r="P3" s="736"/>
      <c r="Q3" s="736"/>
      <c r="R3" s="752"/>
    </row>
    <row r="4" spans="1:22" s="353" customFormat="1" ht="18" hidden="1">
      <c r="A4" s="753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  <c r="N4" s="754"/>
      <c r="O4" s="755"/>
      <c r="P4" s="690"/>
      <c r="Q4" s="690"/>
      <c r="R4" s="756"/>
    </row>
    <row r="5" spans="1:22" s="353" customFormat="1" ht="18.399999999999999" hidden="1" thickBot="1">
      <c r="A5" s="717"/>
      <c r="B5" s="718"/>
      <c r="C5" s="719"/>
      <c r="D5" s="718"/>
      <c r="E5" s="720"/>
      <c r="F5" s="721"/>
      <c r="G5" s="720"/>
      <c r="H5" s="721"/>
      <c r="I5" s="720"/>
      <c r="J5" s="721"/>
      <c r="K5" s="720"/>
      <c r="L5" s="721"/>
      <c r="M5" s="722"/>
      <c r="N5" s="722"/>
      <c r="O5" s="723"/>
      <c r="P5" s="651"/>
      <c r="Q5" s="651"/>
      <c r="R5" s="724"/>
    </row>
    <row r="6" spans="1:22" ht="9.9499999999999993" customHeight="1" thickBot="1">
      <c r="A6" s="679"/>
      <c r="B6" s="679"/>
      <c r="C6" s="679"/>
      <c r="D6" s="679"/>
      <c r="E6" s="679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</row>
    <row r="7" spans="1:22" ht="20.100000000000001" customHeight="1">
      <c r="A7" s="680"/>
      <c r="B7" s="681"/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  <c r="P7" s="681"/>
      <c r="Q7" s="681"/>
      <c r="R7" s="682"/>
    </row>
    <row r="8" spans="1:22" ht="20.100000000000001" customHeight="1">
      <c r="A8" s="683" t="s">
        <v>775</v>
      </c>
      <c r="B8" s="684"/>
      <c r="C8" s="684"/>
      <c r="D8" s="684"/>
      <c r="E8" s="684"/>
      <c r="F8" s="684"/>
      <c r="G8" s="684"/>
      <c r="H8" s="684"/>
      <c r="I8" s="684"/>
      <c r="J8" s="684"/>
      <c r="K8" s="684"/>
      <c r="L8" s="684"/>
      <c r="M8" s="684"/>
      <c r="N8" s="684"/>
      <c r="O8" s="684"/>
      <c r="P8" s="684"/>
      <c r="Q8" s="684"/>
      <c r="R8" s="685"/>
    </row>
    <row r="9" spans="1:22" ht="9.9499999999999993" customHeight="1" thickBot="1">
      <c r="A9" s="686"/>
      <c r="B9" s="687"/>
      <c r="C9" s="687"/>
      <c r="D9" s="687"/>
      <c r="E9" s="687"/>
      <c r="F9" s="687"/>
      <c r="G9" s="687"/>
      <c r="H9" s="687"/>
      <c r="I9" s="687"/>
      <c r="J9" s="687"/>
      <c r="K9" s="687"/>
      <c r="L9" s="687"/>
      <c r="M9" s="687"/>
      <c r="N9" s="687"/>
      <c r="O9" s="687"/>
      <c r="P9" s="687"/>
      <c r="Q9" s="687"/>
      <c r="R9" s="688"/>
    </row>
    <row r="10" spans="1:22" ht="24.95" customHeight="1">
      <c r="A10" s="689" t="s">
        <v>776</v>
      </c>
      <c r="B10" s="690"/>
      <c r="C10" s="690"/>
      <c r="D10" s="691" t="s">
        <v>777</v>
      </c>
      <c r="E10" s="692"/>
      <c r="F10" s="693"/>
      <c r="G10" s="697" t="s">
        <v>778</v>
      </c>
      <c r="H10" s="698"/>
      <c r="I10" s="698"/>
      <c r="J10" s="699"/>
      <c r="K10" s="703" t="s">
        <v>779</v>
      </c>
      <c r="L10" s="704"/>
      <c r="M10" s="704"/>
      <c r="N10" s="705"/>
      <c r="O10" s="709" t="s">
        <v>780</v>
      </c>
      <c r="P10" s="710"/>
      <c r="Q10" s="710"/>
      <c r="R10" s="711"/>
    </row>
    <row r="11" spans="1:22" s="355" customFormat="1" ht="24.95" customHeight="1" thickBot="1">
      <c r="A11" s="354" t="s">
        <v>781</v>
      </c>
      <c r="B11" s="715" t="s">
        <v>782</v>
      </c>
      <c r="C11" s="716"/>
      <c r="D11" s="694"/>
      <c r="E11" s="695"/>
      <c r="F11" s="696"/>
      <c r="G11" s="700"/>
      <c r="H11" s="701"/>
      <c r="I11" s="701"/>
      <c r="J11" s="702"/>
      <c r="K11" s="706"/>
      <c r="L11" s="707"/>
      <c r="M11" s="707"/>
      <c r="N11" s="708"/>
      <c r="O11" s="712"/>
      <c r="P11" s="713"/>
      <c r="Q11" s="713"/>
      <c r="R11" s="714"/>
    </row>
    <row r="12" spans="1:22" s="355" customFormat="1" ht="9.9499999999999993" customHeight="1" thickTop="1" thickBot="1">
      <c r="A12" s="725"/>
      <c r="B12" s="726"/>
      <c r="C12" s="726"/>
      <c r="D12" s="726"/>
      <c r="E12" s="726"/>
      <c r="F12" s="726"/>
      <c r="G12" s="726"/>
      <c r="H12" s="726"/>
      <c r="I12" s="726"/>
      <c r="J12" s="726"/>
      <c r="K12" s="727"/>
      <c r="L12" s="727"/>
      <c r="M12" s="727"/>
      <c r="N12" s="727"/>
      <c r="O12" s="726"/>
      <c r="P12" s="726"/>
      <c r="Q12" s="726"/>
      <c r="R12" s="728"/>
    </row>
    <row r="13" spans="1:22" ht="20.100000000000001" customHeight="1" thickTop="1">
      <c r="A13" s="356"/>
      <c r="B13" s="668"/>
      <c r="C13" s="669"/>
      <c r="D13" s="670"/>
      <c r="E13" s="671"/>
      <c r="F13" s="672"/>
      <c r="G13" s="673"/>
      <c r="H13" s="673"/>
      <c r="I13" s="673"/>
      <c r="J13" s="673"/>
      <c r="K13" s="674"/>
      <c r="L13" s="675"/>
      <c r="M13" s="675"/>
      <c r="N13" s="676"/>
      <c r="O13" s="677"/>
      <c r="P13" s="677"/>
      <c r="Q13" s="677"/>
      <c r="R13" s="678"/>
      <c r="T13" s="357"/>
      <c r="V13" s="358"/>
    </row>
    <row r="14" spans="1:22" ht="20.100000000000001" customHeight="1">
      <c r="A14" s="359"/>
      <c r="B14" s="661"/>
      <c r="C14" s="662"/>
      <c r="D14" s="663"/>
      <c r="E14" s="664"/>
      <c r="F14" s="665"/>
      <c r="G14" s="666"/>
      <c r="H14" s="666"/>
      <c r="I14" s="666"/>
      <c r="J14" s="666"/>
      <c r="K14" s="645"/>
      <c r="L14" s="646"/>
      <c r="M14" s="646"/>
      <c r="N14" s="647"/>
      <c r="O14" s="648"/>
      <c r="P14" s="648"/>
      <c r="Q14" s="648"/>
      <c r="R14" s="649"/>
      <c r="V14" s="360"/>
    </row>
    <row r="15" spans="1:22" ht="20.100000000000001" customHeight="1">
      <c r="A15" s="359"/>
      <c r="B15" s="661"/>
      <c r="C15" s="662"/>
      <c r="D15" s="663"/>
      <c r="E15" s="664"/>
      <c r="F15" s="665"/>
      <c r="G15" s="666"/>
      <c r="H15" s="666"/>
      <c r="I15" s="666"/>
      <c r="J15" s="667"/>
      <c r="K15" s="645"/>
      <c r="L15" s="646"/>
      <c r="M15" s="646"/>
      <c r="N15" s="647"/>
      <c r="O15" s="648"/>
      <c r="P15" s="648"/>
      <c r="Q15" s="648"/>
      <c r="R15" s="649"/>
    </row>
    <row r="16" spans="1:22" ht="20.100000000000001" customHeight="1">
      <c r="A16" s="359"/>
      <c r="B16" s="661"/>
      <c r="C16" s="662"/>
      <c r="D16" s="663"/>
      <c r="E16" s="664"/>
      <c r="F16" s="665"/>
      <c r="G16" s="666"/>
      <c r="H16" s="666"/>
      <c r="I16" s="666"/>
      <c r="J16" s="666"/>
      <c r="K16" s="645"/>
      <c r="L16" s="646"/>
      <c r="M16" s="646"/>
      <c r="N16" s="647"/>
      <c r="O16" s="648"/>
      <c r="P16" s="648"/>
      <c r="Q16" s="648"/>
      <c r="R16" s="649"/>
    </row>
    <row r="17" spans="1:21" ht="20.100000000000001" customHeight="1">
      <c r="A17" s="359"/>
      <c r="B17" s="661"/>
      <c r="C17" s="662"/>
      <c r="D17" s="663"/>
      <c r="E17" s="664"/>
      <c r="F17" s="665"/>
      <c r="G17" s="666"/>
      <c r="H17" s="666"/>
      <c r="I17" s="666"/>
      <c r="J17" s="666"/>
      <c r="K17" s="645"/>
      <c r="L17" s="646"/>
      <c r="M17" s="646"/>
      <c r="N17" s="647"/>
      <c r="O17" s="648"/>
      <c r="P17" s="648"/>
      <c r="Q17" s="648"/>
      <c r="R17" s="649"/>
    </row>
    <row r="18" spans="1:21" ht="20.100000000000001" customHeight="1">
      <c r="A18" s="359"/>
      <c r="B18" s="661"/>
      <c r="C18" s="662"/>
      <c r="D18" s="663"/>
      <c r="E18" s="664"/>
      <c r="F18" s="665"/>
      <c r="G18" s="666"/>
      <c r="H18" s="666"/>
      <c r="I18" s="666"/>
      <c r="J18" s="666"/>
      <c r="K18" s="645"/>
      <c r="L18" s="646"/>
      <c r="M18" s="646"/>
      <c r="N18" s="647"/>
      <c r="O18" s="648"/>
      <c r="P18" s="648"/>
      <c r="Q18" s="648"/>
      <c r="R18" s="649"/>
    </row>
    <row r="19" spans="1:21" ht="20.100000000000001" customHeight="1">
      <c r="A19" s="359"/>
      <c r="B19" s="661"/>
      <c r="C19" s="662"/>
      <c r="D19" s="663"/>
      <c r="E19" s="664"/>
      <c r="F19" s="665"/>
      <c r="G19" s="666"/>
      <c r="H19" s="666"/>
      <c r="I19" s="666"/>
      <c r="J19" s="667"/>
      <c r="K19" s="645"/>
      <c r="L19" s="646"/>
      <c r="M19" s="646"/>
      <c r="N19" s="647"/>
      <c r="O19" s="648"/>
      <c r="P19" s="648"/>
      <c r="Q19" s="648"/>
      <c r="R19" s="649"/>
    </row>
    <row r="20" spans="1:21" ht="20.100000000000001" customHeight="1">
      <c r="A20" s="359"/>
      <c r="B20" s="661"/>
      <c r="C20" s="662"/>
      <c r="D20" s="663"/>
      <c r="E20" s="664"/>
      <c r="F20" s="665"/>
      <c r="G20" s="666"/>
      <c r="H20" s="666"/>
      <c r="I20" s="666"/>
      <c r="J20" s="667"/>
      <c r="K20" s="645"/>
      <c r="L20" s="646"/>
      <c r="M20" s="646"/>
      <c r="N20" s="647"/>
      <c r="O20" s="648"/>
      <c r="P20" s="648"/>
      <c r="Q20" s="648"/>
      <c r="R20" s="649"/>
    </row>
    <row r="21" spans="1:21" ht="20.100000000000001" customHeight="1">
      <c r="A21" s="359"/>
      <c r="B21" s="661"/>
      <c r="C21" s="662"/>
      <c r="D21" s="663"/>
      <c r="E21" s="664"/>
      <c r="F21" s="665"/>
      <c r="G21" s="666"/>
      <c r="H21" s="666"/>
      <c r="I21" s="666"/>
      <c r="J21" s="667"/>
      <c r="K21" s="645"/>
      <c r="L21" s="646"/>
      <c r="M21" s="646"/>
      <c r="N21" s="647"/>
      <c r="O21" s="648"/>
      <c r="P21" s="648"/>
      <c r="Q21" s="648"/>
      <c r="R21" s="649"/>
    </row>
    <row r="22" spans="1:21" ht="20.100000000000001" customHeight="1">
      <c r="A22" s="359"/>
      <c r="B22" s="661"/>
      <c r="C22" s="662"/>
      <c r="D22" s="663"/>
      <c r="E22" s="664"/>
      <c r="F22" s="665"/>
      <c r="G22" s="666"/>
      <c r="H22" s="666"/>
      <c r="I22" s="666"/>
      <c r="J22" s="667"/>
      <c r="K22" s="645"/>
      <c r="L22" s="646"/>
      <c r="M22" s="646"/>
      <c r="N22" s="647"/>
      <c r="O22" s="648"/>
      <c r="P22" s="648"/>
      <c r="Q22" s="648"/>
      <c r="R22" s="649"/>
    </row>
    <row r="23" spans="1:21" ht="20.100000000000001" customHeight="1">
      <c r="A23" s="359"/>
      <c r="B23" s="661"/>
      <c r="C23" s="662"/>
      <c r="D23" s="663"/>
      <c r="E23" s="664"/>
      <c r="F23" s="665"/>
      <c r="G23" s="666"/>
      <c r="H23" s="666"/>
      <c r="I23" s="666"/>
      <c r="J23" s="667"/>
      <c r="K23" s="645"/>
      <c r="L23" s="646"/>
      <c r="M23" s="646"/>
      <c r="N23" s="647"/>
      <c r="O23" s="648"/>
      <c r="P23" s="648"/>
      <c r="Q23" s="648"/>
      <c r="R23" s="649"/>
      <c r="T23" s="361"/>
      <c r="U23" s="362"/>
    </row>
    <row r="24" spans="1:21" ht="20.100000000000001" customHeight="1">
      <c r="A24" s="359"/>
      <c r="B24" s="661"/>
      <c r="C24" s="662"/>
      <c r="D24" s="663"/>
      <c r="E24" s="664"/>
      <c r="F24" s="665"/>
      <c r="G24" s="666"/>
      <c r="H24" s="666"/>
      <c r="I24" s="666"/>
      <c r="J24" s="666"/>
      <c r="K24" s="645"/>
      <c r="L24" s="646"/>
      <c r="M24" s="646"/>
      <c r="N24" s="647"/>
      <c r="O24" s="648"/>
      <c r="P24" s="648"/>
      <c r="Q24" s="648"/>
      <c r="R24" s="649"/>
    </row>
    <row r="25" spans="1:21" ht="20.100000000000001" customHeight="1">
      <c r="A25" s="359"/>
      <c r="B25" s="661"/>
      <c r="C25" s="662"/>
      <c r="D25" s="663"/>
      <c r="E25" s="664"/>
      <c r="F25" s="665"/>
      <c r="G25" s="666"/>
      <c r="H25" s="666"/>
      <c r="I25" s="666"/>
      <c r="J25" s="666"/>
      <c r="K25" s="645"/>
      <c r="L25" s="646"/>
      <c r="M25" s="646"/>
      <c r="N25" s="647"/>
      <c r="O25" s="648"/>
      <c r="P25" s="648"/>
      <c r="Q25" s="648"/>
      <c r="R25" s="649"/>
      <c r="T25" s="363"/>
    </row>
    <row r="26" spans="1:21" ht="20.100000000000001" customHeight="1">
      <c r="A26" s="359"/>
      <c r="B26" s="661"/>
      <c r="C26" s="662"/>
      <c r="D26" s="663"/>
      <c r="E26" s="664"/>
      <c r="F26" s="665"/>
      <c r="G26" s="666"/>
      <c r="H26" s="666"/>
      <c r="I26" s="666"/>
      <c r="J26" s="666"/>
      <c r="K26" s="645"/>
      <c r="L26" s="646"/>
      <c r="M26" s="646"/>
      <c r="N26" s="647"/>
      <c r="O26" s="648"/>
      <c r="P26" s="648"/>
      <c r="Q26" s="648"/>
      <c r="R26" s="649"/>
    </row>
    <row r="27" spans="1:21" ht="20.100000000000001" customHeight="1">
      <c r="A27" s="359"/>
      <c r="B27" s="661"/>
      <c r="C27" s="662"/>
      <c r="D27" s="663"/>
      <c r="E27" s="664"/>
      <c r="F27" s="665"/>
      <c r="G27" s="666"/>
      <c r="H27" s="666"/>
      <c r="I27" s="666"/>
      <c r="J27" s="666"/>
      <c r="K27" s="645"/>
      <c r="L27" s="646"/>
      <c r="M27" s="646"/>
      <c r="N27" s="647"/>
      <c r="O27" s="648"/>
      <c r="P27" s="648"/>
      <c r="Q27" s="648"/>
      <c r="R27" s="649"/>
    </row>
    <row r="28" spans="1:21" ht="20.100000000000001" customHeight="1">
      <c r="A28" s="359"/>
      <c r="B28" s="661"/>
      <c r="C28" s="662"/>
      <c r="D28" s="663"/>
      <c r="E28" s="664"/>
      <c r="F28" s="665"/>
      <c r="G28" s="666"/>
      <c r="H28" s="666"/>
      <c r="I28" s="666"/>
      <c r="J28" s="666"/>
      <c r="K28" s="645"/>
      <c r="L28" s="646"/>
      <c r="M28" s="646"/>
      <c r="N28" s="647"/>
      <c r="O28" s="648"/>
      <c r="P28" s="648"/>
      <c r="Q28" s="648"/>
      <c r="R28" s="649"/>
    </row>
    <row r="29" spans="1:21" ht="20.100000000000001" customHeight="1">
      <c r="A29" s="359"/>
      <c r="B29" s="661"/>
      <c r="C29" s="662"/>
      <c r="D29" s="663"/>
      <c r="E29" s="664"/>
      <c r="F29" s="665"/>
      <c r="G29" s="666"/>
      <c r="H29" s="666"/>
      <c r="I29" s="666"/>
      <c r="J29" s="666"/>
      <c r="K29" s="645"/>
      <c r="L29" s="646"/>
      <c r="M29" s="646"/>
      <c r="N29" s="647"/>
      <c r="O29" s="648"/>
      <c r="P29" s="648"/>
      <c r="Q29" s="648"/>
      <c r="R29" s="649"/>
    </row>
    <row r="30" spans="1:21" ht="20.100000000000001" customHeight="1">
      <c r="A30" s="359"/>
      <c r="B30" s="661"/>
      <c r="C30" s="662"/>
      <c r="D30" s="663"/>
      <c r="E30" s="664"/>
      <c r="F30" s="665"/>
      <c r="G30" s="666"/>
      <c r="H30" s="666"/>
      <c r="I30" s="666"/>
      <c r="J30" s="666"/>
      <c r="K30" s="645"/>
      <c r="L30" s="646"/>
      <c r="M30" s="646"/>
      <c r="N30" s="647"/>
      <c r="O30" s="648"/>
      <c r="P30" s="648"/>
      <c r="Q30" s="648"/>
      <c r="R30" s="649"/>
    </row>
    <row r="31" spans="1:21" ht="20.100000000000001" customHeight="1">
      <c r="A31" s="359"/>
      <c r="B31" s="661"/>
      <c r="C31" s="662"/>
      <c r="D31" s="663"/>
      <c r="E31" s="664"/>
      <c r="F31" s="665"/>
      <c r="G31" s="666"/>
      <c r="H31" s="666"/>
      <c r="I31" s="666"/>
      <c r="J31" s="666"/>
      <c r="K31" s="645"/>
      <c r="L31" s="646"/>
      <c r="M31" s="646"/>
      <c r="N31" s="647"/>
      <c r="O31" s="648"/>
      <c r="P31" s="648"/>
      <c r="Q31" s="648"/>
      <c r="R31" s="649"/>
    </row>
    <row r="32" spans="1:21" ht="20.100000000000001" customHeight="1">
      <c r="A32" s="359"/>
      <c r="B32" s="661"/>
      <c r="C32" s="662"/>
      <c r="D32" s="663"/>
      <c r="E32" s="664"/>
      <c r="F32" s="665"/>
      <c r="G32" s="666"/>
      <c r="H32" s="666"/>
      <c r="I32" s="666"/>
      <c r="J32" s="666"/>
      <c r="K32" s="645"/>
      <c r="L32" s="646"/>
      <c r="M32" s="646"/>
      <c r="N32" s="647"/>
      <c r="O32" s="648"/>
      <c r="P32" s="648"/>
      <c r="Q32" s="648"/>
      <c r="R32" s="649"/>
      <c r="T32" s="364"/>
    </row>
    <row r="33" spans="1:21" ht="20.100000000000001" customHeight="1">
      <c r="A33" s="359"/>
      <c r="B33" s="661"/>
      <c r="C33" s="662"/>
      <c r="D33" s="663"/>
      <c r="E33" s="664"/>
      <c r="F33" s="665"/>
      <c r="G33" s="666"/>
      <c r="H33" s="666"/>
      <c r="I33" s="666"/>
      <c r="J33" s="666"/>
      <c r="K33" s="645"/>
      <c r="L33" s="646"/>
      <c r="M33" s="646"/>
      <c r="N33" s="647"/>
      <c r="O33" s="648"/>
      <c r="P33" s="648"/>
      <c r="Q33" s="648"/>
      <c r="R33" s="649"/>
    </row>
    <row r="34" spans="1:21" ht="20.100000000000001" customHeight="1">
      <c r="A34" s="359"/>
      <c r="B34" s="661"/>
      <c r="C34" s="662"/>
      <c r="D34" s="663"/>
      <c r="E34" s="664"/>
      <c r="F34" s="665"/>
      <c r="G34" s="666"/>
      <c r="H34" s="666"/>
      <c r="I34" s="666"/>
      <c r="J34" s="666"/>
      <c r="K34" s="645"/>
      <c r="L34" s="646"/>
      <c r="M34" s="646"/>
      <c r="N34" s="647"/>
      <c r="O34" s="648"/>
      <c r="P34" s="648"/>
      <c r="Q34" s="648"/>
      <c r="R34" s="649"/>
    </row>
    <row r="35" spans="1:21" ht="20.100000000000001" customHeight="1">
      <c r="A35" s="359"/>
      <c r="B35" s="661"/>
      <c r="C35" s="662"/>
      <c r="D35" s="663"/>
      <c r="E35" s="664"/>
      <c r="F35" s="665"/>
      <c r="G35" s="666"/>
      <c r="H35" s="666"/>
      <c r="I35" s="666"/>
      <c r="J35" s="666"/>
      <c r="K35" s="645"/>
      <c r="L35" s="646"/>
      <c r="M35" s="646"/>
      <c r="N35" s="647"/>
      <c r="O35" s="648"/>
      <c r="P35" s="648"/>
      <c r="Q35" s="648"/>
      <c r="R35" s="649"/>
    </row>
    <row r="36" spans="1:21" ht="20.100000000000001" customHeight="1">
      <c r="A36" s="359"/>
      <c r="B36" s="661"/>
      <c r="C36" s="662"/>
      <c r="D36" s="663"/>
      <c r="E36" s="664"/>
      <c r="F36" s="665"/>
      <c r="G36" s="666"/>
      <c r="H36" s="666"/>
      <c r="I36" s="666"/>
      <c r="J36" s="666"/>
      <c r="K36" s="645"/>
      <c r="L36" s="646"/>
      <c r="M36" s="646"/>
      <c r="N36" s="647"/>
      <c r="O36" s="648"/>
      <c r="P36" s="648"/>
      <c r="Q36" s="648"/>
      <c r="R36" s="649"/>
    </row>
    <row r="37" spans="1:21" ht="20.100000000000001" customHeight="1">
      <c r="A37" s="359"/>
      <c r="B37" s="661"/>
      <c r="C37" s="662"/>
      <c r="D37" s="663"/>
      <c r="E37" s="664"/>
      <c r="F37" s="665"/>
      <c r="G37" s="666"/>
      <c r="H37" s="666"/>
      <c r="I37" s="666"/>
      <c r="J37" s="666"/>
      <c r="K37" s="645"/>
      <c r="L37" s="646"/>
      <c r="M37" s="646"/>
      <c r="N37" s="647"/>
      <c r="O37" s="648"/>
      <c r="P37" s="648"/>
      <c r="Q37" s="648"/>
      <c r="R37" s="649"/>
      <c r="U37" s="363"/>
    </row>
    <row r="38" spans="1:21" ht="20.100000000000001" customHeight="1">
      <c r="A38" s="359"/>
      <c r="B38" s="661"/>
      <c r="C38" s="662"/>
      <c r="D38" s="663"/>
      <c r="E38" s="664"/>
      <c r="F38" s="665"/>
      <c r="G38" s="666"/>
      <c r="H38" s="666"/>
      <c r="I38" s="666"/>
      <c r="J38" s="666"/>
      <c r="K38" s="645"/>
      <c r="L38" s="646"/>
      <c r="M38" s="646"/>
      <c r="N38" s="647"/>
      <c r="O38" s="648"/>
      <c r="P38" s="648"/>
      <c r="Q38" s="648"/>
      <c r="R38" s="649"/>
      <c r="U38" s="365"/>
    </row>
    <row r="39" spans="1:21" ht="20.100000000000001" customHeight="1">
      <c r="A39" s="359"/>
      <c r="B39" s="661"/>
      <c r="C39" s="662"/>
      <c r="D39" s="663"/>
      <c r="E39" s="664"/>
      <c r="F39" s="665"/>
      <c r="G39" s="666"/>
      <c r="H39" s="666"/>
      <c r="I39" s="666"/>
      <c r="J39" s="666"/>
      <c r="K39" s="645"/>
      <c r="L39" s="646"/>
      <c r="M39" s="646"/>
      <c r="N39" s="647"/>
      <c r="O39" s="648"/>
      <c r="P39" s="648"/>
      <c r="Q39" s="648"/>
      <c r="R39" s="649"/>
    </row>
    <row r="40" spans="1:21" ht="20.100000000000001" customHeight="1">
      <c r="A40" s="359"/>
      <c r="B40" s="661"/>
      <c r="C40" s="662"/>
      <c r="D40" s="663"/>
      <c r="E40" s="664"/>
      <c r="F40" s="665"/>
      <c r="G40" s="666"/>
      <c r="H40" s="666"/>
      <c r="I40" s="666"/>
      <c r="J40" s="666"/>
      <c r="K40" s="645"/>
      <c r="L40" s="646"/>
      <c r="M40" s="646"/>
      <c r="N40" s="647"/>
      <c r="O40" s="648"/>
      <c r="P40" s="648"/>
      <c r="Q40" s="648"/>
      <c r="R40" s="649"/>
    </row>
    <row r="41" spans="1:21" ht="20.100000000000001" customHeight="1">
      <c r="A41" s="359"/>
      <c r="B41" s="661"/>
      <c r="C41" s="662"/>
      <c r="D41" s="663"/>
      <c r="E41" s="664"/>
      <c r="F41" s="665"/>
      <c r="G41" s="666"/>
      <c r="H41" s="666"/>
      <c r="I41" s="666"/>
      <c r="J41" s="666"/>
      <c r="K41" s="645"/>
      <c r="L41" s="646"/>
      <c r="M41" s="646"/>
      <c r="N41" s="647"/>
      <c r="O41" s="648"/>
      <c r="P41" s="648"/>
      <c r="Q41" s="648"/>
      <c r="R41" s="649"/>
    </row>
    <row r="42" spans="1:21" ht="20.100000000000001" customHeight="1">
      <c r="A42" s="359"/>
      <c r="B42" s="639"/>
      <c r="C42" s="640"/>
      <c r="D42" s="641"/>
      <c r="E42" s="642"/>
      <c r="F42" s="643"/>
      <c r="G42" s="644"/>
      <c r="H42" s="644"/>
      <c r="I42" s="644"/>
      <c r="J42" s="644"/>
      <c r="K42" s="645"/>
      <c r="L42" s="646"/>
      <c r="M42" s="646"/>
      <c r="N42" s="647"/>
      <c r="O42" s="648"/>
      <c r="P42" s="648"/>
      <c r="Q42" s="648"/>
      <c r="R42" s="649"/>
    </row>
    <row r="43" spans="1:21" ht="20.100000000000001" customHeight="1" thickBot="1">
      <c r="A43" s="366"/>
      <c r="B43" s="650"/>
      <c r="C43" s="651"/>
      <c r="D43" s="652"/>
      <c r="E43" s="653"/>
      <c r="F43" s="654"/>
      <c r="G43" s="655"/>
      <c r="H43" s="655"/>
      <c r="I43" s="655"/>
      <c r="J43" s="655"/>
      <c r="K43" s="656"/>
      <c r="L43" s="657"/>
      <c r="M43" s="657"/>
      <c r="N43" s="658"/>
      <c r="O43" s="659"/>
      <c r="P43" s="659"/>
      <c r="Q43" s="659"/>
      <c r="R43" s="660"/>
    </row>
  </sheetData>
  <mergeCells count="185">
    <mergeCell ref="A1:D3"/>
    <mergeCell ref="E1:N3"/>
    <mergeCell ref="O1:R3"/>
    <mergeCell ref="A4:B4"/>
    <mergeCell ref="C4:D4"/>
    <mergeCell ref="E4:F4"/>
    <mergeCell ref="G4:H4"/>
    <mergeCell ref="I4:J4"/>
    <mergeCell ref="K4:L4"/>
    <mergeCell ref="M4:N4"/>
    <mergeCell ref="O4:R4"/>
    <mergeCell ref="A5:B5"/>
    <mergeCell ref="C5:D5"/>
    <mergeCell ref="E5:F5"/>
    <mergeCell ref="G5:H5"/>
    <mergeCell ref="I5:J5"/>
    <mergeCell ref="K5:L5"/>
    <mergeCell ref="M5:N5"/>
    <mergeCell ref="O5:R5"/>
    <mergeCell ref="A12:R12"/>
    <mergeCell ref="B13:C13"/>
    <mergeCell ref="D13:F13"/>
    <mergeCell ref="G13:J13"/>
    <mergeCell ref="K13:N13"/>
    <mergeCell ref="O13:R13"/>
    <mergeCell ref="A6:R6"/>
    <mergeCell ref="A7:R7"/>
    <mergeCell ref="A8:R8"/>
    <mergeCell ref="A9:R9"/>
    <mergeCell ref="A10:C10"/>
    <mergeCell ref="D10:F11"/>
    <mergeCell ref="G10:J11"/>
    <mergeCell ref="K10:N11"/>
    <mergeCell ref="O10:R11"/>
    <mergeCell ref="B11:C11"/>
    <mergeCell ref="B14:C14"/>
    <mergeCell ref="D14:F14"/>
    <mergeCell ref="G14:J14"/>
    <mergeCell ref="K14:N14"/>
    <mergeCell ref="O14:R14"/>
    <mergeCell ref="B15:C15"/>
    <mergeCell ref="D15:F15"/>
    <mergeCell ref="G15:J15"/>
    <mergeCell ref="K15:N15"/>
    <mergeCell ref="O15:R15"/>
    <mergeCell ref="B16:C16"/>
    <mergeCell ref="D16:F16"/>
    <mergeCell ref="G16:J16"/>
    <mergeCell ref="K16:N16"/>
    <mergeCell ref="O16:R16"/>
    <mergeCell ref="B17:C17"/>
    <mergeCell ref="D17:F17"/>
    <mergeCell ref="G17:J17"/>
    <mergeCell ref="K17:N17"/>
    <mergeCell ref="O17:R17"/>
    <mergeCell ref="B18:C18"/>
    <mergeCell ref="D18:F18"/>
    <mergeCell ref="G18:J18"/>
    <mergeCell ref="K18:N18"/>
    <mergeCell ref="O18:R18"/>
    <mergeCell ref="B19:C19"/>
    <mergeCell ref="D19:F19"/>
    <mergeCell ref="G19:J19"/>
    <mergeCell ref="K19:N19"/>
    <mergeCell ref="O19:R19"/>
    <mergeCell ref="B20:C20"/>
    <mergeCell ref="D20:F20"/>
    <mergeCell ref="G20:J20"/>
    <mergeCell ref="K20:N20"/>
    <mergeCell ref="O20:R20"/>
    <mergeCell ref="B21:C21"/>
    <mergeCell ref="D21:F21"/>
    <mergeCell ref="G21:J21"/>
    <mergeCell ref="K21:N21"/>
    <mergeCell ref="O21:R21"/>
    <mergeCell ref="B22:C22"/>
    <mergeCell ref="D22:F22"/>
    <mergeCell ref="G22:J22"/>
    <mergeCell ref="K22:N22"/>
    <mergeCell ref="O22:R22"/>
    <mergeCell ref="B23:C23"/>
    <mergeCell ref="D23:F23"/>
    <mergeCell ref="G23:J23"/>
    <mergeCell ref="K23:N23"/>
    <mergeCell ref="O23:R23"/>
    <mergeCell ref="B24:C24"/>
    <mergeCell ref="D24:F24"/>
    <mergeCell ref="G24:J24"/>
    <mergeCell ref="K24:N24"/>
    <mergeCell ref="O24:R24"/>
    <mergeCell ref="B25:C25"/>
    <mergeCell ref="D25:F25"/>
    <mergeCell ref="G25:J25"/>
    <mergeCell ref="K25:N25"/>
    <mergeCell ref="O25:R25"/>
    <mergeCell ref="B26:C26"/>
    <mergeCell ref="D26:F26"/>
    <mergeCell ref="G26:J26"/>
    <mergeCell ref="K26:N26"/>
    <mergeCell ref="O26:R26"/>
    <mergeCell ref="B27:C27"/>
    <mergeCell ref="D27:F27"/>
    <mergeCell ref="G27:J27"/>
    <mergeCell ref="K27:N27"/>
    <mergeCell ref="O27:R27"/>
    <mergeCell ref="B28:C28"/>
    <mergeCell ref="D28:F28"/>
    <mergeCell ref="G28:J28"/>
    <mergeCell ref="K28:N28"/>
    <mergeCell ref="O28:R28"/>
    <mergeCell ref="B29:C29"/>
    <mergeCell ref="D29:F29"/>
    <mergeCell ref="G29:J29"/>
    <mergeCell ref="K29:N29"/>
    <mergeCell ref="O29:R29"/>
    <mergeCell ref="B30:C30"/>
    <mergeCell ref="D30:F30"/>
    <mergeCell ref="G30:J30"/>
    <mergeCell ref="K30:N30"/>
    <mergeCell ref="O30:R30"/>
    <mergeCell ref="B31:C31"/>
    <mergeCell ref="D31:F31"/>
    <mergeCell ref="G31:J31"/>
    <mergeCell ref="K31:N31"/>
    <mergeCell ref="O31:R31"/>
    <mergeCell ref="B32:C32"/>
    <mergeCell ref="D32:F32"/>
    <mergeCell ref="G32:J32"/>
    <mergeCell ref="K32:N32"/>
    <mergeCell ref="O32:R32"/>
    <mergeCell ref="B33:C33"/>
    <mergeCell ref="D33:F33"/>
    <mergeCell ref="G33:J33"/>
    <mergeCell ref="K33:N33"/>
    <mergeCell ref="O33:R33"/>
    <mergeCell ref="B34:C34"/>
    <mergeCell ref="D34:F34"/>
    <mergeCell ref="G34:J34"/>
    <mergeCell ref="K34:N34"/>
    <mergeCell ref="O34:R34"/>
    <mergeCell ref="B35:C35"/>
    <mergeCell ref="D35:F35"/>
    <mergeCell ref="G35:J35"/>
    <mergeCell ref="K35:N35"/>
    <mergeCell ref="O35:R35"/>
    <mergeCell ref="B36:C36"/>
    <mergeCell ref="D36:F36"/>
    <mergeCell ref="G36:J36"/>
    <mergeCell ref="K36:N36"/>
    <mergeCell ref="O36:R36"/>
    <mergeCell ref="B37:C37"/>
    <mergeCell ref="D37:F37"/>
    <mergeCell ref="G37:J37"/>
    <mergeCell ref="K37:N37"/>
    <mergeCell ref="O37:R37"/>
    <mergeCell ref="B38:C38"/>
    <mergeCell ref="D38:F38"/>
    <mergeCell ref="G38:J38"/>
    <mergeCell ref="K38:N38"/>
    <mergeCell ref="O38:R38"/>
    <mergeCell ref="B39:C39"/>
    <mergeCell ref="D39:F39"/>
    <mergeCell ref="G39:J39"/>
    <mergeCell ref="K39:N39"/>
    <mergeCell ref="O39:R39"/>
    <mergeCell ref="B40:C40"/>
    <mergeCell ref="D40:F40"/>
    <mergeCell ref="G40:J40"/>
    <mergeCell ref="K40:N40"/>
    <mergeCell ref="O40:R40"/>
    <mergeCell ref="B41:C41"/>
    <mergeCell ref="D41:F41"/>
    <mergeCell ref="G41:J41"/>
    <mergeCell ref="K41:N41"/>
    <mergeCell ref="O41:R41"/>
    <mergeCell ref="B42:C42"/>
    <mergeCell ref="D42:F42"/>
    <mergeCell ref="G42:J42"/>
    <mergeCell ref="K42:N42"/>
    <mergeCell ref="O42:R42"/>
    <mergeCell ref="B43:C43"/>
    <mergeCell ref="D43:F43"/>
    <mergeCell ref="G43:J43"/>
    <mergeCell ref="K43:N43"/>
    <mergeCell ref="O43:R43"/>
  </mergeCells>
  <printOptions horizontalCentered="1"/>
  <pageMargins left="0" right="0" top="0.1" bottom="0.1" header="0" footer="0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7"/>
  <sheetViews>
    <sheetView rightToLeft="1" view="pageBreakPreview" topLeftCell="A44" zoomScale="85" zoomScaleNormal="100" zoomScaleSheetLayoutView="85" workbookViewId="0">
      <selection activeCell="A6" sqref="A6:U80"/>
    </sheetView>
  </sheetViews>
  <sheetFormatPr defaultColWidth="5.4375" defaultRowHeight="20.100000000000001" customHeight="1"/>
  <cols>
    <col min="1" max="8" width="5.4375" style="352"/>
    <col min="9" max="9" width="7" style="352" customWidth="1"/>
    <col min="10" max="11" width="5.4375" style="352"/>
    <col min="12" max="12" width="6.5625" style="352" customWidth="1"/>
    <col min="13" max="13" width="5.4375" style="352"/>
    <col min="14" max="14" width="6.6875" style="352" bestFit="1" customWidth="1"/>
    <col min="15" max="15" width="6.6875" style="352" customWidth="1"/>
    <col min="16" max="19" width="5.4375" style="352"/>
    <col min="20" max="20" width="6" style="352" customWidth="1"/>
    <col min="21" max="21" width="4.5625" style="352" customWidth="1"/>
    <col min="22" max="22" width="44.4375" style="352" customWidth="1"/>
    <col min="23" max="23" width="8.875" style="367" customWidth="1"/>
    <col min="24" max="25" width="16" style="367" customWidth="1"/>
    <col min="26" max="26" width="11" style="368" customWidth="1"/>
    <col min="27" max="27" width="14.875" style="369" bestFit="1" customWidth="1"/>
    <col min="28" max="16384" width="5.4375" style="352"/>
  </cols>
  <sheetData>
    <row r="1" spans="1:27" ht="18" customHeight="1">
      <c r="A1" s="680"/>
      <c r="B1" s="681"/>
      <c r="C1" s="681"/>
      <c r="D1" s="681"/>
      <c r="E1" s="938"/>
      <c r="F1" s="944"/>
      <c r="G1" s="944"/>
      <c r="H1" s="944"/>
      <c r="I1" s="944"/>
      <c r="J1" s="944"/>
      <c r="K1" s="944"/>
      <c r="L1" s="944"/>
      <c r="M1" s="944"/>
      <c r="N1" s="944"/>
      <c r="O1" s="944"/>
      <c r="P1" s="945"/>
      <c r="Q1" s="681"/>
      <c r="R1" s="681"/>
      <c r="S1" s="681"/>
      <c r="T1" s="681"/>
      <c r="U1" s="682"/>
    </row>
    <row r="2" spans="1:27" ht="24" customHeight="1">
      <c r="A2" s="939"/>
      <c r="B2" s="679"/>
      <c r="C2" s="679"/>
      <c r="D2" s="679"/>
      <c r="E2" s="940"/>
      <c r="F2" s="946"/>
      <c r="G2" s="946"/>
      <c r="H2" s="946"/>
      <c r="I2" s="946"/>
      <c r="J2" s="946"/>
      <c r="K2" s="946"/>
      <c r="L2" s="946"/>
      <c r="M2" s="946"/>
      <c r="N2" s="946"/>
      <c r="O2" s="946"/>
      <c r="P2" s="947"/>
      <c r="Q2" s="679"/>
      <c r="R2" s="679"/>
      <c r="S2" s="679"/>
      <c r="T2" s="679"/>
      <c r="U2" s="950"/>
    </row>
    <row r="3" spans="1:27" ht="18.75" customHeight="1" thickBot="1">
      <c r="A3" s="941"/>
      <c r="B3" s="942"/>
      <c r="C3" s="942"/>
      <c r="D3" s="942"/>
      <c r="E3" s="943"/>
      <c r="F3" s="948"/>
      <c r="G3" s="948"/>
      <c r="H3" s="948"/>
      <c r="I3" s="948"/>
      <c r="J3" s="948"/>
      <c r="K3" s="948"/>
      <c r="L3" s="948"/>
      <c r="M3" s="948"/>
      <c r="N3" s="948"/>
      <c r="O3" s="948"/>
      <c r="P3" s="949"/>
      <c r="Q3" s="942"/>
      <c r="R3" s="942"/>
      <c r="S3" s="942"/>
      <c r="T3" s="942"/>
      <c r="U3" s="951"/>
    </row>
    <row r="4" spans="1:27" s="353" customFormat="1" ht="18" hidden="1">
      <c r="A4" s="952"/>
      <c r="B4" s="953"/>
      <c r="C4" s="954"/>
      <c r="D4" s="955"/>
      <c r="E4" s="955"/>
      <c r="F4" s="956"/>
      <c r="G4" s="953"/>
      <c r="H4" s="954"/>
      <c r="I4" s="955"/>
      <c r="J4" s="955"/>
      <c r="K4" s="955"/>
      <c r="L4" s="955"/>
      <c r="M4" s="955"/>
      <c r="N4" s="955"/>
      <c r="O4" s="955"/>
      <c r="P4" s="955"/>
      <c r="Q4" s="755"/>
      <c r="R4" s="690"/>
      <c r="S4" s="690"/>
      <c r="T4" s="690"/>
      <c r="U4" s="756"/>
      <c r="W4" s="370"/>
      <c r="X4" s="370"/>
      <c r="Y4" s="370"/>
      <c r="Z4" s="371"/>
      <c r="AA4" s="369"/>
    </row>
    <row r="5" spans="1:27" s="353" customFormat="1" ht="18.399999999999999" hidden="1" thickBot="1">
      <c r="A5" s="717"/>
      <c r="B5" s="936"/>
      <c r="C5" s="718"/>
      <c r="D5" s="719"/>
      <c r="E5" s="718"/>
      <c r="F5" s="720"/>
      <c r="G5" s="937"/>
      <c r="H5" s="721"/>
      <c r="I5" s="720"/>
      <c r="J5" s="721"/>
      <c r="K5" s="720"/>
      <c r="L5" s="721"/>
      <c r="M5" s="720"/>
      <c r="N5" s="721"/>
      <c r="O5" s="722"/>
      <c r="P5" s="722"/>
      <c r="Q5" s="723"/>
      <c r="R5" s="651"/>
      <c r="S5" s="651"/>
      <c r="T5" s="651"/>
      <c r="U5" s="724"/>
      <c r="W5" s="370"/>
      <c r="X5" s="370"/>
      <c r="Y5" s="370"/>
      <c r="Z5" s="371"/>
      <c r="AA5" s="369"/>
    </row>
    <row r="6" spans="1:27" ht="9.9499999999999993" customHeight="1">
      <c r="A6" s="679"/>
      <c r="B6" s="679"/>
      <c r="C6" s="679"/>
      <c r="D6" s="679"/>
      <c r="E6" s="679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</row>
    <row r="7" spans="1:27" ht="20.100000000000001" customHeight="1">
      <c r="A7" s="684" t="s">
        <v>852</v>
      </c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  <c r="P7" s="684"/>
      <c r="Q7" s="684"/>
      <c r="R7" s="684"/>
      <c r="S7" s="684"/>
      <c r="T7" s="684"/>
      <c r="U7" s="684"/>
    </row>
    <row r="8" spans="1:27" ht="9.9499999999999993" customHeight="1" thickBot="1">
      <c r="A8" s="916"/>
      <c r="B8" s="916"/>
      <c r="C8" s="916"/>
      <c r="D8" s="916"/>
      <c r="E8" s="916"/>
      <c r="F8" s="916"/>
      <c r="G8" s="916"/>
      <c r="H8" s="916"/>
      <c r="I8" s="916"/>
      <c r="J8" s="916"/>
      <c r="K8" s="916"/>
      <c r="L8" s="916"/>
      <c r="M8" s="916"/>
      <c r="N8" s="916"/>
      <c r="O8" s="916"/>
      <c r="P8" s="916"/>
      <c r="Q8" s="916"/>
      <c r="R8" s="916"/>
      <c r="S8" s="916"/>
      <c r="T8" s="916"/>
      <c r="U8" s="916"/>
    </row>
    <row r="9" spans="1:27" s="353" customFormat="1" ht="20.100000000000001" customHeight="1">
      <c r="A9" s="784" t="s">
        <v>13</v>
      </c>
      <c r="B9" s="785"/>
      <c r="C9" s="785"/>
      <c r="D9" s="917" t="s">
        <v>783</v>
      </c>
      <c r="E9" s="690"/>
      <c r="F9" s="690"/>
      <c r="G9" s="756"/>
      <c r="H9" s="784" t="s">
        <v>784</v>
      </c>
      <c r="I9" s="785"/>
      <c r="J9" s="785"/>
      <c r="K9" s="918" t="s">
        <v>17</v>
      </c>
      <c r="L9" s="919"/>
      <c r="M9" s="919"/>
      <c r="N9" s="920"/>
      <c r="O9" s="784" t="s">
        <v>785</v>
      </c>
      <c r="P9" s="785"/>
      <c r="Q9" s="785"/>
      <c r="R9" s="921" t="s">
        <v>847</v>
      </c>
      <c r="S9" s="921"/>
      <c r="T9" s="921"/>
      <c r="U9" s="922"/>
      <c r="W9" s="370"/>
      <c r="X9" s="370"/>
      <c r="Y9" s="370"/>
      <c r="Z9" s="371"/>
      <c r="AA9" s="369"/>
    </row>
    <row r="10" spans="1:27" s="353" customFormat="1" ht="34.5" customHeight="1">
      <c r="A10" s="931" t="s">
        <v>8</v>
      </c>
      <c r="B10" s="664"/>
      <c r="C10" s="661"/>
      <c r="D10" s="932" t="s">
        <v>844</v>
      </c>
      <c r="E10" s="933"/>
      <c r="F10" s="933"/>
      <c r="G10" s="934"/>
      <c r="H10" s="931" t="s">
        <v>10</v>
      </c>
      <c r="I10" s="664"/>
      <c r="J10" s="664"/>
      <c r="K10" s="661" t="s">
        <v>845</v>
      </c>
      <c r="L10" s="662"/>
      <c r="M10" s="662"/>
      <c r="N10" s="935"/>
      <c r="O10" s="931" t="s">
        <v>9</v>
      </c>
      <c r="P10" s="664"/>
      <c r="Q10" s="664"/>
      <c r="R10" s="662" t="s">
        <v>848</v>
      </c>
      <c r="S10" s="662"/>
      <c r="T10" s="662"/>
      <c r="U10" s="935"/>
      <c r="W10" s="370"/>
      <c r="X10" s="370"/>
      <c r="Y10" s="370"/>
      <c r="Z10" s="371"/>
      <c r="AA10" s="369"/>
    </row>
    <row r="11" spans="1:27" s="353" customFormat="1" ht="20.100000000000001" customHeight="1" thickBot="1">
      <c r="A11" s="923" t="s">
        <v>786</v>
      </c>
      <c r="B11" s="653"/>
      <c r="C11" s="653"/>
      <c r="D11" s="924" t="s">
        <v>787</v>
      </c>
      <c r="E11" s="925"/>
      <c r="F11" s="925"/>
      <c r="G11" s="926"/>
      <c r="H11" s="927" t="s">
        <v>788</v>
      </c>
      <c r="I11" s="928"/>
      <c r="J11" s="928"/>
      <c r="K11" s="650" t="s">
        <v>849</v>
      </c>
      <c r="L11" s="651"/>
      <c r="M11" s="651"/>
      <c r="N11" s="724"/>
      <c r="O11" s="923" t="s">
        <v>789</v>
      </c>
      <c r="P11" s="653"/>
      <c r="Q11" s="653"/>
      <c r="R11" s="929" t="str">
        <f>'خلاصه مالي صورت وضعیت'!E5</f>
        <v>1403/06/10</v>
      </c>
      <c r="S11" s="929"/>
      <c r="T11" s="929"/>
      <c r="U11" s="930"/>
      <c r="W11" s="370"/>
      <c r="X11" s="370"/>
      <c r="Y11" s="370"/>
      <c r="Z11" s="371"/>
      <c r="AA11" s="369"/>
    </row>
    <row r="12" spans="1:27" ht="9.9499999999999993" customHeight="1" thickBot="1">
      <c r="A12" s="762"/>
      <c r="B12" s="762"/>
      <c r="C12" s="762"/>
      <c r="D12" s="762"/>
      <c r="E12" s="762"/>
      <c r="F12" s="762"/>
      <c r="G12" s="762"/>
      <c r="H12" s="762"/>
      <c r="I12" s="762"/>
      <c r="J12" s="762"/>
      <c r="K12" s="762"/>
      <c r="L12" s="762"/>
      <c r="M12" s="762"/>
      <c r="N12" s="762"/>
      <c r="O12" s="762"/>
      <c r="P12" s="762"/>
      <c r="Q12" s="762"/>
      <c r="R12" s="762"/>
      <c r="S12" s="762"/>
      <c r="T12" s="762"/>
      <c r="U12" s="762"/>
    </row>
    <row r="13" spans="1:27" s="353" customFormat="1" ht="20.100000000000001" customHeight="1">
      <c r="A13" s="893" t="s">
        <v>790</v>
      </c>
      <c r="B13" s="895" t="s">
        <v>791</v>
      </c>
      <c r="C13" s="896"/>
      <c r="D13" s="896"/>
      <c r="E13" s="896"/>
      <c r="F13" s="896"/>
      <c r="G13" s="899" t="s">
        <v>792</v>
      </c>
      <c r="H13" s="900"/>
      <c r="I13" s="900"/>
      <c r="J13" s="900"/>
      <c r="K13" s="900"/>
      <c r="L13" s="900"/>
      <c r="M13" s="900"/>
      <c r="N13" s="900"/>
      <c r="O13" s="900"/>
      <c r="P13" s="900" t="s">
        <v>793</v>
      </c>
      <c r="Q13" s="900"/>
      <c r="R13" s="901"/>
      <c r="S13" s="899" t="s">
        <v>794</v>
      </c>
      <c r="T13" s="900"/>
      <c r="U13" s="904"/>
      <c r="W13" s="370"/>
      <c r="X13" s="370"/>
      <c r="Y13" s="370"/>
      <c r="Z13" s="371"/>
      <c r="AA13" s="369"/>
    </row>
    <row r="14" spans="1:27" s="353" customFormat="1" ht="20.100000000000001" customHeight="1" thickBot="1">
      <c r="A14" s="894"/>
      <c r="B14" s="897"/>
      <c r="C14" s="898"/>
      <c r="D14" s="898"/>
      <c r="E14" s="898"/>
      <c r="F14" s="898"/>
      <c r="G14" s="907" t="s">
        <v>795</v>
      </c>
      <c r="H14" s="908"/>
      <c r="I14" s="908"/>
      <c r="J14" s="908" t="s">
        <v>796</v>
      </c>
      <c r="K14" s="908"/>
      <c r="L14" s="908"/>
      <c r="M14" s="908" t="s">
        <v>797</v>
      </c>
      <c r="N14" s="908"/>
      <c r="O14" s="908"/>
      <c r="P14" s="902"/>
      <c r="Q14" s="902"/>
      <c r="R14" s="903"/>
      <c r="S14" s="905"/>
      <c r="T14" s="902"/>
      <c r="U14" s="906"/>
      <c r="W14" s="370"/>
      <c r="X14" s="370"/>
      <c r="Y14" s="370"/>
      <c r="Z14" s="371"/>
      <c r="AA14" s="369"/>
    </row>
    <row r="15" spans="1:27" ht="18.75" customHeight="1" thickTop="1">
      <c r="A15" s="889" t="s">
        <v>798</v>
      </c>
      <c r="B15" s="668" t="s">
        <v>799</v>
      </c>
      <c r="C15" s="669"/>
      <c r="D15" s="669"/>
      <c r="E15" s="669"/>
      <c r="F15" s="669"/>
      <c r="G15" s="832">
        <v>52156117335.355263</v>
      </c>
      <c r="H15" s="833"/>
      <c r="I15" s="833"/>
      <c r="J15" s="833">
        <f>IF(M15=0,0,M15-G15)</f>
        <v>3466696353.7061386</v>
      </c>
      <c r="K15" s="833"/>
      <c r="L15" s="833"/>
      <c r="M15" s="833">
        <f>'خلاصه مالي صورت وضعیت'!$F$14</f>
        <v>55622813689.061401</v>
      </c>
      <c r="N15" s="833"/>
      <c r="O15" s="833"/>
      <c r="P15" s="891" t="s">
        <v>800</v>
      </c>
      <c r="Q15" s="891"/>
      <c r="R15" s="892"/>
      <c r="S15" s="909"/>
      <c r="T15" s="910"/>
      <c r="U15" s="911"/>
      <c r="W15" s="370"/>
      <c r="X15" s="370"/>
      <c r="Y15" s="370"/>
      <c r="Z15" s="371"/>
    </row>
    <row r="16" spans="1:27" ht="12.95" customHeight="1">
      <c r="A16" s="890"/>
      <c r="B16" s="772"/>
      <c r="C16" s="687"/>
      <c r="D16" s="687"/>
      <c r="E16" s="687"/>
      <c r="F16" s="687"/>
      <c r="G16" s="839">
        <v>38974588220.493797</v>
      </c>
      <c r="H16" s="840"/>
      <c r="I16" s="840"/>
      <c r="J16" s="835">
        <f t="shared" ref="J16:J80" si="0">IF(M16=0,0,M16-G16)</f>
        <v>-4741291033.7992783</v>
      </c>
      <c r="K16" s="646"/>
      <c r="L16" s="834"/>
      <c r="M16" s="840">
        <f>'خلاصه مالي صورت وضعیت'!$G$14</f>
        <v>34233297186.694519</v>
      </c>
      <c r="N16" s="840"/>
      <c r="O16" s="840"/>
      <c r="P16" s="841" t="s">
        <v>801</v>
      </c>
      <c r="Q16" s="841"/>
      <c r="R16" s="882"/>
      <c r="S16" s="836"/>
      <c r="T16" s="837"/>
      <c r="U16" s="838"/>
      <c r="W16" s="370"/>
      <c r="X16" s="370"/>
      <c r="Y16" s="370"/>
      <c r="Z16" s="371"/>
    </row>
    <row r="17" spans="1:26" ht="12.95" customHeight="1">
      <c r="A17" s="890"/>
      <c r="B17" s="772"/>
      <c r="C17" s="687"/>
      <c r="D17" s="687"/>
      <c r="E17" s="687"/>
      <c r="F17" s="687"/>
      <c r="G17" s="883"/>
      <c r="H17" s="847"/>
      <c r="I17" s="847"/>
      <c r="J17" s="846">
        <f t="shared" si="0"/>
        <v>0</v>
      </c>
      <c r="K17" s="844"/>
      <c r="L17" s="845"/>
      <c r="M17" s="854"/>
      <c r="N17" s="854"/>
      <c r="O17" s="854"/>
      <c r="P17" s="855" t="s">
        <v>802</v>
      </c>
      <c r="Q17" s="855"/>
      <c r="R17" s="915"/>
      <c r="S17" s="912"/>
      <c r="T17" s="913"/>
      <c r="U17" s="914"/>
      <c r="W17" s="370"/>
      <c r="X17" s="370"/>
      <c r="Y17" s="370"/>
      <c r="Z17" s="371"/>
    </row>
    <row r="18" spans="1:26" ht="12.95" customHeight="1">
      <c r="A18" s="877" t="s">
        <v>803</v>
      </c>
      <c r="B18" s="880" t="s">
        <v>875</v>
      </c>
      <c r="C18" s="858"/>
      <c r="D18" s="858"/>
      <c r="E18" s="858"/>
      <c r="F18" s="858"/>
      <c r="G18" s="832">
        <v>7184862909.1920004</v>
      </c>
      <c r="H18" s="833"/>
      <c r="I18" s="833"/>
      <c r="J18" s="780">
        <f t="shared" si="0"/>
        <v>0</v>
      </c>
      <c r="K18" s="778"/>
      <c r="L18" s="779"/>
      <c r="M18" s="781">
        <f>'خلاصه مالي صورت وضعیت'!$F$11++'خلاصه مالي صورت وضعیت'!F33</f>
        <v>7184862909.1920004</v>
      </c>
      <c r="N18" s="781"/>
      <c r="O18" s="781"/>
      <c r="P18" s="782" t="s">
        <v>800</v>
      </c>
      <c r="Q18" s="782"/>
      <c r="R18" s="881"/>
      <c r="S18" s="836"/>
      <c r="T18" s="837"/>
      <c r="U18" s="838"/>
      <c r="W18" s="370"/>
      <c r="X18" s="370"/>
      <c r="Y18" s="370"/>
      <c r="Z18" s="371"/>
    </row>
    <row r="19" spans="1:26" ht="12.95" customHeight="1">
      <c r="A19" s="878"/>
      <c r="B19" s="772"/>
      <c r="C19" s="687"/>
      <c r="D19" s="687"/>
      <c r="E19" s="687"/>
      <c r="F19" s="687"/>
      <c r="G19" s="839">
        <v>5295842703</v>
      </c>
      <c r="H19" s="840"/>
      <c r="I19" s="840"/>
      <c r="J19" s="835">
        <f t="shared" si="0"/>
        <v>0</v>
      </c>
      <c r="K19" s="646"/>
      <c r="L19" s="834"/>
      <c r="M19" s="840">
        <f>'خلاصه مالي صورت وضعیت'!$G$11+'خلاصه مالي صورت وضعیت'!G33</f>
        <v>5295842703</v>
      </c>
      <c r="N19" s="840"/>
      <c r="O19" s="840"/>
      <c r="P19" s="841" t="s">
        <v>801</v>
      </c>
      <c r="Q19" s="841"/>
      <c r="R19" s="882"/>
      <c r="S19" s="836"/>
      <c r="T19" s="837"/>
      <c r="U19" s="838"/>
      <c r="W19" s="370"/>
      <c r="X19" s="370"/>
      <c r="Y19" s="370"/>
      <c r="Z19" s="371"/>
    </row>
    <row r="20" spans="1:26" ht="12.95" customHeight="1">
      <c r="A20" s="879"/>
      <c r="B20" s="774"/>
      <c r="C20" s="775"/>
      <c r="D20" s="775"/>
      <c r="E20" s="775"/>
      <c r="F20" s="775"/>
      <c r="G20" s="883"/>
      <c r="H20" s="847"/>
      <c r="I20" s="847"/>
      <c r="J20" s="846">
        <f t="shared" si="0"/>
        <v>0</v>
      </c>
      <c r="K20" s="844"/>
      <c r="L20" s="845"/>
      <c r="M20" s="847"/>
      <c r="N20" s="847"/>
      <c r="O20" s="847"/>
      <c r="P20" s="848" t="s">
        <v>802</v>
      </c>
      <c r="Q20" s="848"/>
      <c r="R20" s="884"/>
      <c r="S20" s="836"/>
      <c r="T20" s="837"/>
      <c r="U20" s="838"/>
      <c r="W20" s="370"/>
      <c r="X20" s="370"/>
      <c r="Y20" s="370"/>
      <c r="Z20" s="371"/>
    </row>
    <row r="21" spans="1:26" ht="12.95" customHeight="1">
      <c r="A21" s="859" t="s">
        <v>733</v>
      </c>
      <c r="B21" s="861" t="s">
        <v>804</v>
      </c>
      <c r="C21" s="861"/>
      <c r="D21" s="861"/>
      <c r="E21" s="861"/>
      <c r="F21" s="862"/>
      <c r="G21" s="863">
        <v>45144888612.5</v>
      </c>
      <c r="H21" s="864"/>
      <c r="I21" s="864"/>
      <c r="J21" s="864">
        <f t="shared" si="0"/>
        <v>2754197448.4999924</v>
      </c>
      <c r="K21" s="864"/>
      <c r="L21" s="864"/>
      <c r="M21" s="864">
        <f>'خلاصه مالي صورت وضعیت'!F12+'خلاصه مالي صورت وضعیت'!F13+'خلاصه مالي صورت وضعیت'!F32</f>
        <v>47899086060.999992</v>
      </c>
      <c r="N21" s="864"/>
      <c r="O21" s="864"/>
      <c r="P21" s="865" t="s">
        <v>800</v>
      </c>
      <c r="Q21" s="865"/>
      <c r="R21" s="866"/>
      <c r="S21" s="872"/>
      <c r="T21" s="872"/>
      <c r="U21" s="872"/>
      <c r="W21" s="372"/>
      <c r="X21" s="370"/>
      <c r="Y21" s="370"/>
      <c r="Z21" s="371"/>
    </row>
    <row r="22" spans="1:26" ht="12.95" customHeight="1">
      <c r="A22" s="859"/>
      <c r="B22" s="861"/>
      <c r="C22" s="861"/>
      <c r="D22" s="861"/>
      <c r="E22" s="861"/>
      <c r="F22" s="862"/>
      <c r="G22" s="873">
        <v>34458003773.734001</v>
      </c>
      <c r="H22" s="874"/>
      <c r="I22" s="874"/>
      <c r="J22" s="874">
        <f>IF(M22=0,0,M22-G22)</f>
        <v>-5079099338.1790009</v>
      </c>
      <c r="K22" s="874"/>
      <c r="L22" s="874"/>
      <c r="M22" s="874">
        <f>'خلاصه مالي صورت وضعیت'!G12+'خلاصه مالي صورت وضعیت'!G13+'خلاصه مالي صورت وضعیت'!G32</f>
        <v>29378904435.555</v>
      </c>
      <c r="N22" s="874"/>
      <c r="O22" s="874"/>
      <c r="P22" s="875" t="s">
        <v>801</v>
      </c>
      <c r="Q22" s="875"/>
      <c r="R22" s="876"/>
      <c r="S22" s="872"/>
      <c r="T22" s="872"/>
      <c r="U22" s="872"/>
      <c r="W22" s="370"/>
      <c r="X22" s="370"/>
      <c r="Y22" s="370"/>
      <c r="Z22" s="371"/>
    </row>
    <row r="23" spans="1:26" ht="12.95" customHeight="1">
      <c r="A23" s="859"/>
      <c r="B23" s="861"/>
      <c r="C23" s="861"/>
      <c r="D23" s="861"/>
      <c r="E23" s="861"/>
      <c r="F23" s="862"/>
      <c r="G23" s="885"/>
      <c r="H23" s="886"/>
      <c r="I23" s="886"/>
      <c r="J23" s="886">
        <f t="shared" si="0"/>
        <v>0</v>
      </c>
      <c r="K23" s="886"/>
      <c r="L23" s="886"/>
      <c r="M23" s="886"/>
      <c r="N23" s="886"/>
      <c r="O23" s="886"/>
      <c r="P23" s="887" t="s">
        <v>802</v>
      </c>
      <c r="Q23" s="887"/>
      <c r="R23" s="888"/>
      <c r="S23" s="872"/>
      <c r="T23" s="872"/>
      <c r="U23" s="872"/>
      <c r="W23" s="372"/>
      <c r="X23" s="370"/>
      <c r="Y23" s="370"/>
      <c r="Z23" s="371"/>
    </row>
    <row r="24" spans="1:26" ht="12.95" customHeight="1">
      <c r="A24" s="859" t="s">
        <v>733</v>
      </c>
      <c r="B24" s="860" t="s">
        <v>874</v>
      </c>
      <c r="C24" s="861"/>
      <c r="D24" s="861"/>
      <c r="E24" s="861"/>
      <c r="F24" s="862"/>
      <c r="G24" s="863">
        <v>0</v>
      </c>
      <c r="H24" s="864"/>
      <c r="I24" s="864"/>
      <c r="J24" s="864"/>
      <c r="K24" s="864"/>
      <c r="L24" s="864"/>
      <c r="M24" s="864">
        <f>'خلاصه مالي صورت وضعیت'!F31</f>
        <v>0</v>
      </c>
      <c r="N24" s="864"/>
      <c r="O24" s="864"/>
      <c r="P24" s="865" t="s">
        <v>800</v>
      </c>
      <c r="Q24" s="865"/>
      <c r="R24" s="866"/>
      <c r="S24" s="872"/>
      <c r="T24" s="872"/>
      <c r="U24" s="872"/>
      <c r="W24" s="372"/>
      <c r="X24" s="370"/>
      <c r="Y24" s="370"/>
      <c r="Z24" s="371"/>
    </row>
    <row r="25" spans="1:26" ht="12.95" customHeight="1">
      <c r="A25" s="859"/>
      <c r="B25" s="861"/>
      <c r="C25" s="861"/>
      <c r="D25" s="861"/>
      <c r="E25" s="861"/>
      <c r="F25" s="862"/>
      <c r="G25" s="873">
        <v>0</v>
      </c>
      <c r="H25" s="874"/>
      <c r="I25" s="874"/>
      <c r="J25" s="874"/>
      <c r="K25" s="874"/>
      <c r="L25" s="874"/>
      <c r="M25" s="874">
        <f>'خلاصه مالي صورت وضعیت'!G31</f>
        <v>0</v>
      </c>
      <c r="N25" s="874"/>
      <c r="O25" s="874"/>
      <c r="P25" s="875" t="s">
        <v>801</v>
      </c>
      <c r="Q25" s="875"/>
      <c r="R25" s="876"/>
      <c r="S25" s="872"/>
      <c r="T25" s="872"/>
      <c r="U25" s="872"/>
      <c r="W25" s="372"/>
      <c r="X25" s="370"/>
      <c r="Y25" s="370"/>
      <c r="Z25" s="371"/>
    </row>
    <row r="26" spans="1:26" ht="12.75" customHeight="1">
      <c r="A26" s="859"/>
      <c r="B26" s="861"/>
      <c r="C26" s="861"/>
      <c r="D26" s="861"/>
      <c r="E26" s="861"/>
      <c r="F26" s="862"/>
      <c r="G26" s="885"/>
      <c r="H26" s="886"/>
      <c r="I26" s="886"/>
      <c r="J26" s="886"/>
      <c r="K26" s="886"/>
      <c r="L26" s="886"/>
      <c r="M26" s="886"/>
      <c r="N26" s="886"/>
      <c r="O26" s="886"/>
      <c r="P26" s="887" t="s">
        <v>802</v>
      </c>
      <c r="Q26" s="887"/>
      <c r="R26" s="888"/>
      <c r="S26" s="872"/>
      <c r="T26" s="872"/>
      <c r="U26" s="872"/>
      <c r="W26" s="372"/>
      <c r="X26" s="370"/>
      <c r="Y26" s="370"/>
      <c r="Z26" s="371"/>
    </row>
    <row r="27" spans="1:26" ht="12.95" customHeight="1">
      <c r="A27" s="859" t="s">
        <v>733</v>
      </c>
      <c r="B27" s="861" t="s">
        <v>825</v>
      </c>
      <c r="C27" s="861"/>
      <c r="D27" s="861"/>
      <c r="E27" s="861"/>
      <c r="F27" s="862"/>
      <c r="G27" s="863">
        <v>5980200895.0908079</v>
      </c>
      <c r="H27" s="864"/>
      <c r="I27" s="864"/>
      <c r="J27" s="780">
        <f>IF(M27=0,0,M27-G27)</f>
        <v>0</v>
      </c>
      <c r="K27" s="778"/>
      <c r="L27" s="779"/>
      <c r="M27" s="864">
        <f>'خلاصه مالي صورت وضعیت'!F10</f>
        <v>5980200895.0908079</v>
      </c>
      <c r="N27" s="864"/>
      <c r="O27" s="864"/>
      <c r="P27" s="865" t="s">
        <v>800</v>
      </c>
      <c r="Q27" s="865"/>
      <c r="R27" s="866"/>
      <c r="S27" s="872"/>
      <c r="T27" s="872"/>
      <c r="U27" s="872"/>
      <c r="W27" s="372"/>
      <c r="X27" s="370"/>
      <c r="Y27" s="370"/>
      <c r="Z27" s="371"/>
    </row>
    <row r="28" spans="1:26" ht="12.95" customHeight="1">
      <c r="A28" s="859"/>
      <c r="B28" s="861"/>
      <c r="C28" s="861"/>
      <c r="D28" s="861"/>
      <c r="E28" s="861"/>
      <c r="F28" s="862"/>
      <c r="G28" s="873">
        <v>5879612814.3621197</v>
      </c>
      <c r="H28" s="874"/>
      <c r="I28" s="874"/>
      <c r="J28" s="874">
        <f>IF(M28=0,0,M28-G28)</f>
        <v>107772943.63788033</v>
      </c>
      <c r="K28" s="874"/>
      <c r="L28" s="874"/>
      <c r="M28" s="874">
        <f>'خلاصه مالي صورت وضعیت'!G10</f>
        <v>5987385758</v>
      </c>
      <c r="N28" s="874"/>
      <c r="O28" s="874"/>
      <c r="P28" s="875" t="s">
        <v>801</v>
      </c>
      <c r="Q28" s="875"/>
      <c r="R28" s="876"/>
      <c r="S28" s="872"/>
      <c r="T28" s="872"/>
      <c r="U28" s="872"/>
      <c r="W28" s="372"/>
      <c r="X28" s="370"/>
      <c r="Y28" s="370"/>
      <c r="Z28" s="371"/>
    </row>
    <row r="29" spans="1:26" ht="12.95" customHeight="1">
      <c r="A29" s="859"/>
      <c r="B29" s="861"/>
      <c r="C29" s="861"/>
      <c r="D29" s="861"/>
      <c r="E29" s="861"/>
      <c r="F29" s="862"/>
      <c r="G29" s="885"/>
      <c r="H29" s="886"/>
      <c r="I29" s="886"/>
      <c r="J29" s="886"/>
      <c r="K29" s="886"/>
      <c r="L29" s="886"/>
      <c r="M29" s="886"/>
      <c r="N29" s="886"/>
      <c r="O29" s="886"/>
      <c r="P29" s="887" t="s">
        <v>802</v>
      </c>
      <c r="Q29" s="887"/>
      <c r="R29" s="888"/>
      <c r="S29" s="872"/>
      <c r="T29" s="872"/>
      <c r="U29" s="872"/>
      <c r="W29" s="372"/>
      <c r="X29" s="370"/>
      <c r="Y29" s="370"/>
      <c r="Z29" s="371"/>
    </row>
    <row r="30" spans="1:26" ht="12.95" hidden="1" customHeight="1">
      <c r="A30" s="766">
        <v>1</v>
      </c>
      <c r="B30" s="772" t="s">
        <v>805</v>
      </c>
      <c r="C30" s="687"/>
      <c r="D30" s="687"/>
      <c r="E30" s="687"/>
      <c r="F30" s="687"/>
      <c r="G30" s="870">
        <v>0</v>
      </c>
      <c r="H30" s="871"/>
      <c r="I30" s="871"/>
      <c r="J30" s="780">
        <f t="shared" si="0"/>
        <v>0</v>
      </c>
      <c r="K30" s="778"/>
      <c r="L30" s="779"/>
      <c r="M30" s="781">
        <f>SUMIF('خدمات اجرایی '!F:F,'summary-2'!A30,'خدمات اجرایی '!I:I)</f>
        <v>0</v>
      </c>
      <c r="N30" s="781"/>
      <c r="O30" s="781"/>
      <c r="P30" s="782" t="s">
        <v>800</v>
      </c>
      <c r="Q30" s="782"/>
      <c r="R30" s="783"/>
      <c r="S30" s="867"/>
      <c r="T30" s="868"/>
      <c r="U30" s="869"/>
      <c r="W30" s="370"/>
      <c r="X30" s="370"/>
      <c r="Y30" s="370"/>
      <c r="Z30" s="371"/>
    </row>
    <row r="31" spans="1:26" ht="12.95" hidden="1" customHeight="1">
      <c r="A31" s="767"/>
      <c r="B31" s="772"/>
      <c r="C31" s="687"/>
      <c r="D31" s="687"/>
      <c r="E31" s="687"/>
      <c r="F31" s="687"/>
      <c r="G31" s="839">
        <v>0</v>
      </c>
      <c r="H31" s="840"/>
      <c r="I31" s="840"/>
      <c r="J31" s="835">
        <f t="shared" si="0"/>
        <v>0</v>
      </c>
      <c r="K31" s="646"/>
      <c r="L31" s="834"/>
      <c r="M31" s="835">
        <f>SUMIF('خدمات اجرایی '!F:F,'summary-2'!A30,'خدمات اجرایی '!L:L)</f>
        <v>0</v>
      </c>
      <c r="N31" s="646"/>
      <c r="O31" s="834"/>
      <c r="P31" s="841" t="s">
        <v>801</v>
      </c>
      <c r="Q31" s="841"/>
      <c r="R31" s="842"/>
      <c r="S31" s="836"/>
      <c r="T31" s="837"/>
      <c r="U31" s="838"/>
      <c r="W31" s="372"/>
      <c r="X31" s="370"/>
      <c r="Y31" s="370"/>
      <c r="Z31" s="371"/>
    </row>
    <row r="32" spans="1:26" ht="12.95" hidden="1" customHeight="1">
      <c r="A32" s="768"/>
      <c r="B32" s="774"/>
      <c r="C32" s="775"/>
      <c r="D32" s="775"/>
      <c r="E32" s="775"/>
      <c r="F32" s="775"/>
      <c r="G32" s="843"/>
      <c r="H32" s="844"/>
      <c r="I32" s="845"/>
      <c r="J32" s="846">
        <f t="shared" si="0"/>
        <v>0</v>
      </c>
      <c r="K32" s="844"/>
      <c r="L32" s="845"/>
      <c r="M32" s="846"/>
      <c r="N32" s="844"/>
      <c r="O32" s="845"/>
      <c r="P32" s="848" t="s">
        <v>802</v>
      </c>
      <c r="Q32" s="848"/>
      <c r="R32" s="849"/>
      <c r="S32" s="836"/>
      <c r="T32" s="837"/>
      <c r="U32" s="838"/>
      <c r="W32" s="370"/>
      <c r="X32" s="370"/>
      <c r="Y32" s="370"/>
      <c r="Z32" s="371"/>
    </row>
    <row r="33" spans="1:27" ht="12.95" hidden="1" customHeight="1">
      <c r="A33" s="766">
        <v>2</v>
      </c>
      <c r="B33" s="857" t="s">
        <v>806</v>
      </c>
      <c r="C33" s="858"/>
      <c r="D33" s="858"/>
      <c r="E33" s="858"/>
      <c r="F33" s="858"/>
      <c r="G33" s="832">
        <v>0</v>
      </c>
      <c r="H33" s="833"/>
      <c r="I33" s="833"/>
      <c r="J33" s="780">
        <f t="shared" si="0"/>
        <v>0</v>
      </c>
      <c r="K33" s="778"/>
      <c r="L33" s="779"/>
      <c r="M33" s="781">
        <f>SUMIF('خدمات اجرایی '!F:F,'summary-2'!A33,'خدمات اجرایی '!I:I)</f>
        <v>0</v>
      </c>
      <c r="N33" s="781"/>
      <c r="O33" s="781"/>
      <c r="P33" s="782" t="s">
        <v>800</v>
      </c>
      <c r="Q33" s="782"/>
      <c r="R33" s="783"/>
      <c r="S33" s="836"/>
      <c r="T33" s="837"/>
      <c r="U33" s="838"/>
      <c r="W33" s="372"/>
      <c r="X33" s="370"/>
      <c r="Y33" s="352"/>
      <c r="Z33" s="371"/>
    </row>
    <row r="34" spans="1:27" ht="12.95" hidden="1" customHeight="1">
      <c r="A34" s="767"/>
      <c r="B34" s="772"/>
      <c r="C34" s="687"/>
      <c r="D34" s="687"/>
      <c r="E34" s="687"/>
      <c r="F34" s="687"/>
      <c r="G34" s="839">
        <v>0</v>
      </c>
      <c r="H34" s="840"/>
      <c r="I34" s="840"/>
      <c r="J34" s="835">
        <f t="shared" si="0"/>
        <v>0</v>
      </c>
      <c r="K34" s="646"/>
      <c r="L34" s="834"/>
      <c r="M34" s="835">
        <f>SUMIF('خدمات اجرایی '!F:F,'summary-2'!A33,'خدمات اجرایی '!L:L)</f>
        <v>0</v>
      </c>
      <c r="N34" s="646"/>
      <c r="O34" s="834"/>
      <c r="P34" s="841" t="s">
        <v>801</v>
      </c>
      <c r="Q34" s="841"/>
      <c r="R34" s="842"/>
      <c r="S34" s="836"/>
      <c r="T34" s="837"/>
      <c r="U34" s="838"/>
      <c r="W34" s="370"/>
      <c r="X34" s="370"/>
      <c r="Y34" s="352"/>
      <c r="Z34" s="371"/>
    </row>
    <row r="35" spans="1:27" ht="12.95" hidden="1" customHeight="1">
      <c r="A35" s="768"/>
      <c r="B35" s="774"/>
      <c r="C35" s="775"/>
      <c r="D35" s="775"/>
      <c r="E35" s="775"/>
      <c r="F35" s="775"/>
      <c r="G35" s="843"/>
      <c r="H35" s="844"/>
      <c r="I35" s="845"/>
      <c r="J35" s="846">
        <f t="shared" si="0"/>
        <v>0</v>
      </c>
      <c r="K35" s="844"/>
      <c r="L35" s="845"/>
      <c r="M35" s="847"/>
      <c r="N35" s="847"/>
      <c r="O35" s="847"/>
      <c r="P35" s="848" t="s">
        <v>802</v>
      </c>
      <c r="Q35" s="848"/>
      <c r="R35" s="849"/>
      <c r="S35" s="836"/>
      <c r="T35" s="837"/>
      <c r="U35" s="838"/>
      <c r="W35" s="372"/>
      <c r="X35" s="370"/>
      <c r="Y35" s="352"/>
      <c r="Z35" s="371"/>
    </row>
    <row r="36" spans="1:27" ht="12.95" customHeight="1">
      <c r="A36" s="766">
        <v>3</v>
      </c>
      <c r="B36" s="857" t="s">
        <v>807</v>
      </c>
      <c r="C36" s="858"/>
      <c r="D36" s="858"/>
      <c r="E36" s="858"/>
      <c r="F36" s="858"/>
      <c r="G36" s="832">
        <v>140083740936.29568</v>
      </c>
      <c r="H36" s="833"/>
      <c r="I36" s="833"/>
      <c r="J36" s="780">
        <f t="shared" si="0"/>
        <v>145170753.8237915</v>
      </c>
      <c r="K36" s="778"/>
      <c r="L36" s="779"/>
      <c r="M36" s="781">
        <f>SUMIF('خدمات اجرایی '!F:F,'summary-2'!A36,'خدمات اجرایی '!I:I)</f>
        <v>140228911690.11948</v>
      </c>
      <c r="N36" s="781"/>
      <c r="O36" s="781"/>
      <c r="P36" s="782" t="s">
        <v>800</v>
      </c>
      <c r="Q36" s="782"/>
      <c r="R36" s="783"/>
      <c r="S36" s="836"/>
      <c r="T36" s="837"/>
      <c r="U36" s="838"/>
      <c r="W36" s="370"/>
      <c r="X36" s="370"/>
      <c r="Y36" s="370"/>
      <c r="Z36" s="371"/>
    </row>
    <row r="37" spans="1:27" ht="12.95" customHeight="1">
      <c r="A37" s="767"/>
      <c r="B37" s="772"/>
      <c r="C37" s="687"/>
      <c r="D37" s="687"/>
      <c r="E37" s="687"/>
      <c r="F37" s="687"/>
      <c r="G37" s="839">
        <v>139972626456.61566</v>
      </c>
      <c r="H37" s="840"/>
      <c r="I37" s="840"/>
      <c r="J37" s="835">
        <f t="shared" si="0"/>
        <v>-4866690306.0042419</v>
      </c>
      <c r="K37" s="646"/>
      <c r="L37" s="834"/>
      <c r="M37" s="835">
        <f>SUMIF('خدمات اجرایی '!F:F,'summary-2'!A36,'خدمات اجرایی '!L:L)</f>
        <v>135105936150.61142</v>
      </c>
      <c r="N37" s="646"/>
      <c r="O37" s="834"/>
      <c r="P37" s="841" t="s">
        <v>801</v>
      </c>
      <c r="Q37" s="841"/>
      <c r="R37" s="842"/>
      <c r="S37" s="836"/>
      <c r="T37" s="837"/>
      <c r="U37" s="838"/>
      <c r="W37" s="372"/>
      <c r="X37" s="370"/>
      <c r="Y37" s="370"/>
      <c r="Z37" s="371"/>
    </row>
    <row r="38" spans="1:27" ht="12.95" customHeight="1">
      <c r="A38" s="768"/>
      <c r="B38" s="774"/>
      <c r="C38" s="775"/>
      <c r="D38" s="775"/>
      <c r="E38" s="775"/>
      <c r="F38" s="775"/>
      <c r="G38" s="843"/>
      <c r="H38" s="844"/>
      <c r="I38" s="845"/>
      <c r="J38" s="846">
        <f t="shared" si="0"/>
        <v>0</v>
      </c>
      <c r="K38" s="844"/>
      <c r="L38" s="845"/>
      <c r="M38" s="847"/>
      <c r="N38" s="847"/>
      <c r="O38" s="847"/>
      <c r="P38" s="848" t="s">
        <v>802</v>
      </c>
      <c r="Q38" s="848"/>
      <c r="R38" s="849"/>
      <c r="S38" s="836"/>
      <c r="T38" s="837"/>
      <c r="U38" s="838"/>
      <c r="W38" s="370"/>
      <c r="X38" s="370"/>
      <c r="Y38" s="370"/>
      <c r="Z38" s="371"/>
    </row>
    <row r="39" spans="1:27" s="353" customFormat="1" ht="12.95" customHeight="1">
      <c r="A39" s="766">
        <v>6</v>
      </c>
      <c r="B39" s="830" t="s">
        <v>808</v>
      </c>
      <c r="C39" s="831"/>
      <c r="D39" s="831"/>
      <c r="E39" s="831"/>
      <c r="F39" s="831"/>
      <c r="G39" s="777">
        <v>2542449959.5900002</v>
      </c>
      <c r="H39" s="778"/>
      <c r="I39" s="779"/>
      <c r="J39" s="780">
        <f t="shared" si="0"/>
        <v>0</v>
      </c>
      <c r="K39" s="778"/>
      <c r="L39" s="779"/>
      <c r="M39" s="781">
        <f>SUMIF('خدمات اجرایی '!F:F,'summary-2'!A39,'خدمات اجرایی '!I:I)</f>
        <v>2542449959.5900002</v>
      </c>
      <c r="N39" s="781"/>
      <c r="O39" s="781"/>
      <c r="P39" s="782" t="s">
        <v>800</v>
      </c>
      <c r="Q39" s="782"/>
      <c r="R39" s="783"/>
      <c r="S39" s="836"/>
      <c r="T39" s="837"/>
      <c r="U39" s="838"/>
      <c r="V39" s="352"/>
      <c r="W39" s="372"/>
      <c r="X39" s="370"/>
      <c r="Y39" s="370"/>
      <c r="Z39" s="371"/>
      <c r="AA39" s="369"/>
    </row>
    <row r="40" spans="1:27" s="353" customFormat="1" ht="12.95" customHeight="1">
      <c r="A40" s="767"/>
      <c r="B40" s="830"/>
      <c r="C40" s="831"/>
      <c r="D40" s="831"/>
      <c r="E40" s="831"/>
      <c r="F40" s="831"/>
      <c r="G40" s="645">
        <v>2483126127.1900001</v>
      </c>
      <c r="H40" s="646"/>
      <c r="I40" s="834"/>
      <c r="J40" s="835">
        <f t="shared" si="0"/>
        <v>-350010611.11797476</v>
      </c>
      <c r="K40" s="646"/>
      <c r="L40" s="834"/>
      <c r="M40" s="835">
        <f>SUMIF('خدمات اجرایی '!F:F,'summary-2'!A39,'خدمات اجرایی '!L:L)</f>
        <v>2133115516.0720253</v>
      </c>
      <c r="N40" s="646"/>
      <c r="O40" s="834"/>
      <c r="P40" s="841" t="s">
        <v>801</v>
      </c>
      <c r="Q40" s="841"/>
      <c r="R40" s="842"/>
      <c r="S40" s="836"/>
      <c r="T40" s="837"/>
      <c r="U40" s="838"/>
      <c r="V40" s="352"/>
      <c r="W40" s="370"/>
      <c r="X40" s="370"/>
      <c r="Y40" s="370"/>
      <c r="Z40" s="371"/>
      <c r="AA40" s="369"/>
    </row>
    <row r="41" spans="1:27" s="353" customFormat="1" ht="12.95" customHeight="1">
      <c r="A41" s="768"/>
      <c r="B41" s="830"/>
      <c r="C41" s="831"/>
      <c r="D41" s="831"/>
      <c r="E41" s="831"/>
      <c r="F41" s="831"/>
      <c r="G41" s="843"/>
      <c r="H41" s="844"/>
      <c r="I41" s="845"/>
      <c r="J41" s="846">
        <f t="shared" si="0"/>
        <v>0</v>
      </c>
      <c r="K41" s="844"/>
      <c r="L41" s="845"/>
      <c r="M41" s="847"/>
      <c r="N41" s="847"/>
      <c r="O41" s="847"/>
      <c r="P41" s="848" t="s">
        <v>802</v>
      </c>
      <c r="Q41" s="848"/>
      <c r="R41" s="849"/>
      <c r="S41" s="836"/>
      <c r="T41" s="837"/>
      <c r="U41" s="838"/>
      <c r="V41" s="352"/>
      <c r="W41" s="372"/>
      <c r="X41" s="370"/>
      <c r="Y41" s="370"/>
      <c r="Z41" s="371"/>
      <c r="AA41" s="369"/>
    </row>
    <row r="42" spans="1:27" s="355" customFormat="1" ht="12.95" customHeight="1">
      <c r="A42" s="766">
        <v>8</v>
      </c>
      <c r="B42" s="830" t="s">
        <v>809</v>
      </c>
      <c r="C42" s="831"/>
      <c r="D42" s="831"/>
      <c r="E42" s="831"/>
      <c r="F42" s="831"/>
      <c r="G42" s="832">
        <v>25424499588</v>
      </c>
      <c r="H42" s="833"/>
      <c r="I42" s="833"/>
      <c r="J42" s="780">
        <f t="shared" si="0"/>
        <v>0</v>
      </c>
      <c r="K42" s="778"/>
      <c r="L42" s="779"/>
      <c r="M42" s="781">
        <f>SUMIF('خدمات اجرایی '!F:F,'summary-2'!A42,'خدمات اجرایی '!I:I)</f>
        <v>25424499588</v>
      </c>
      <c r="N42" s="781"/>
      <c r="O42" s="781"/>
      <c r="P42" s="782" t="s">
        <v>800</v>
      </c>
      <c r="Q42" s="782"/>
      <c r="R42" s="783"/>
      <c r="S42" s="836"/>
      <c r="T42" s="837"/>
      <c r="U42" s="838"/>
      <c r="V42" s="352"/>
      <c r="W42" s="370"/>
      <c r="X42" s="370"/>
      <c r="Y42" s="370"/>
      <c r="Z42" s="371"/>
      <c r="AA42" s="369"/>
    </row>
    <row r="43" spans="1:27" s="355" customFormat="1" ht="12.95" customHeight="1">
      <c r="A43" s="767"/>
      <c r="B43" s="830"/>
      <c r="C43" s="831"/>
      <c r="D43" s="831"/>
      <c r="E43" s="831"/>
      <c r="F43" s="831"/>
      <c r="G43" s="839">
        <v>25255002924.080002</v>
      </c>
      <c r="H43" s="840"/>
      <c r="I43" s="840"/>
      <c r="J43" s="835">
        <f t="shared" si="0"/>
        <v>-3923847769.7480011</v>
      </c>
      <c r="K43" s="646"/>
      <c r="L43" s="834"/>
      <c r="M43" s="835">
        <f>SUMIF('خدمات اجرایی '!F:F,'summary-2'!A42,'خدمات اجرایی '!L:L)</f>
        <v>21331155154.332001</v>
      </c>
      <c r="N43" s="646"/>
      <c r="O43" s="834"/>
      <c r="P43" s="841" t="s">
        <v>801</v>
      </c>
      <c r="Q43" s="841"/>
      <c r="R43" s="842"/>
      <c r="S43" s="836"/>
      <c r="T43" s="837"/>
      <c r="U43" s="838"/>
      <c r="V43" s="352"/>
      <c r="W43" s="372"/>
      <c r="X43" s="370"/>
      <c r="Y43" s="370"/>
      <c r="Z43" s="371"/>
      <c r="AA43" s="369"/>
    </row>
    <row r="44" spans="1:27" s="355" customFormat="1" ht="12.95" customHeight="1">
      <c r="A44" s="768"/>
      <c r="B44" s="830"/>
      <c r="C44" s="831"/>
      <c r="D44" s="831"/>
      <c r="E44" s="831"/>
      <c r="F44" s="831"/>
      <c r="G44" s="843"/>
      <c r="H44" s="844"/>
      <c r="I44" s="845"/>
      <c r="J44" s="846">
        <f t="shared" si="0"/>
        <v>0</v>
      </c>
      <c r="K44" s="844"/>
      <c r="L44" s="845"/>
      <c r="M44" s="847"/>
      <c r="N44" s="847"/>
      <c r="O44" s="847"/>
      <c r="P44" s="848" t="s">
        <v>802</v>
      </c>
      <c r="Q44" s="848"/>
      <c r="R44" s="849"/>
      <c r="S44" s="836"/>
      <c r="T44" s="837"/>
      <c r="U44" s="838"/>
      <c r="V44" s="352"/>
      <c r="W44" s="370"/>
      <c r="X44" s="370"/>
      <c r="Y44" s="370"/>
      <c r="Z44" s="371"/>
      <c r="AA44" s="369"/>
    </row>
    <row r="45" spans="1:27" ht="12.95" customHeight="1">
      <c r="A45" s="766">
        <v>9</v>
      </c>
      <c r="B45" s="830" t="s">
        <v>810</v>
      </c>
      <c r="C45" s="831"/>
      <c r="D45" s="831"/>
      <c r="E45" s="831"/>
      <c r="F45" s="831"/>
      <c r="G45" s="832">
        <v>50848999176</v>
      </c>
      <c r="H45" s="833"/>
      <c r="I45" s="833"/>
      <c r="J45" s="780">
        <f t="shared" si="0"/>
        <v>0</v>
      </c>
      <c r="K45" s="778"/>
      <c r="L45" s="779"/>
      <c r="M45" s="781">
        <f>SUMIF('خدمات اجرایی '!F:F,'summary-2'!A45,'خدمات اجرایی '!I:I)</f>
        <v>50848999176</v>
      </c>
      <c r="N45" s="781"/>
      <c r="O45" s="781"/>
      <c r="P45" s="782" t="s">
        <v>800</v>
      </c>
      <c r="Q45" s="782"/>
      <c r="R45" s="783"/>
      <c r="S45" s="836"/>
      <c r="T45" s="837"/>
      <c r="U45" s="838"/>
      <c r="W45" s="372"/>
      <c r="X45" s="370"/>
      <c r="Y45" s="370"/>
      <c r="Z45" s="371"/>
    </row>
    <row r="46" spans="1:27" ht="12.95" customHeight="1">
      <c r="A46" s="767"/>
      <c r="B46" s="830" t="s">
        <v>810</v>
      </c>
      <c r="C46" s="831"/>
      <c r="D46" s="831"/>
      <c r="E46" s="831"/>
      <c r="F46" s="831"/>
      <c r="G46" s="839">
        <v>50510005848.160004</v>
      </c>
      <c r="H46" s="840"/>
      <c r="I46" s="840"/>
      <c r="J46" s="835">
        <f>IF(M46=0,0,M46-G46)</f>
        <v>-7847695539.4960022</v>
      </c>
      <c r="K46" s="646"/>
      <c r="L46" s="834"/>
      <c r="M46" s="835">
        <f>SUMIF('خدمات اجرایی '!F:F,'summary-2'!A45,'خدمات اجرایی '!L:L)</f>
        <v>42662310308.664001</v>
      </c>
      <c r="N46" s="646"/>
      <c r="O46" s="834"/>
      <c r="P46" s="841" t="s">
        <v>801</v>
      </c>
      <c r="Q46" s="841"/>
      <c r="R46" s="842"/>
      <c r="S46" s="836"/>
      <c r="T46" s="837"/>
      <c r="U46" s="838"/>
      <c r="W46" s="370"/>
      <c r="X46" s="370"/>
      <c r="Y46" s="370"/>
      <c r="Z46" s="371"/>
    </row>
    <row r="47" spans="1:27" ht="12.95" customHeight="1">
      <c r="A47" s="768"/>
      <c r="B47" s="830" t="s">
        <v>810</v>
      </c>
      <c r="C47" s="831"/>
      <c r="D47" s="831"/>
      <c r="E47" s="831"/>
      <c r="F47" s="831"/>
      <c r="G47" s="843"/>
      <c r="H47" s="844"/>
      <c r="I47" s="845"/>
      <c r="J47" s="846">
        <f t="shared" si="0"/>
        <v>0</v>
      </c>
      <c r="K47" s="844"/>
      <c r="L47" s="845"/>
      <c r="M47" s="847"/>
      <c r="N47" s="847"/>
      <c r="O47" s="847"/>
      <c r="P47" s="848" t="s">
        <v>802</v>
      </c>
      <c r="Q47" s="848"/>
      <c r="R47" s="849"/>
      <c r="S47" s="836"/>
      <c r="T47" s="837"/>
      <c r="U47" s="838"/>
      <c r="W47" s="372"/>
      <c r="X47" s="370"/>
      <c r="Y47" s="370"/>
      <c r="Z47" s="371"/>
    </row>
    <row r="48" spans="1:27" ht="12.95" customHeight="1">
      <c r="A48" s="766">
        <v>11</v>
      </c>
      <c r="B48" s="830" t="s">
        <v>811</v>
      </c>
      <c r="C48" s="831"/>
      <c r="D48" s="831"/>
      <c r="E48" s="831"/>
      <c r="F48" s="831"/>
      <c r="G48" s="832">
        <v>6327875452.8299999</v>
      </c>
      <c r="H48" s="833"/>
      <c r="I48" s="833"/>
      <c r="J48" s="780">
        <f t="shared" si="0"/>
        <v>0</v>
      </c>
      <c r="K48" s="778"/>
      <c r="L48" s="779"/>
      <c r="M48" s="781">
        <f>SUMIF('خدمات اجرایی '!F:F,'summary-2'!A48,'خدمات اجرایی '!I:I)</f>
        <v>6327875452.8299999</v>
      </c>
      <c r="N48" s="781"/>
      <c r="O48" s="781"/>
      <c r="P48" s="782" t="s">
        <v>800</v>
      </c>
      <c r="Q48" s="782"/>
      <c r="R48" s="783"/>
      <c r="S48" s="836"/>
      <c r="T48" s="837"/>
      <c r="U48" s="838"/>
      <c r="W48" s="370"/>
      <c r="X48" s="370"/>
      <c r="Y48" s="370"/>
      <c r="Z48" s="371"/>
    </row>
    <row r="49" spans="1:26" ht="12.95" customHeight="1">
      <c r="A49" s="767"/>
      <c r="B49" s="830" t="s">
        <v>810</v>
      </c>
      <c r="C49" s="831"/>
      <c r="D49" s="831"/>
      <c r="E49" s="831"/>
      <c r="F49" s="831"/>
      <c r="G49" s="839">
        <v>527322954.40600002</v>
      </c>
      <c r="H49" s="840"/>
      <c r="I49" s="840"/>
      <c r="J49" s="835">
        <f t="shared" si="0"/>
        <v>6109036426.7718506</v>
      </c>
      <c r="K49" s="646"/>
      <c r="L49" s="834"/>
      <c r="M49" s="835">
        <f>SUMIF('خدمات اجرایی '!F:F,'summary-2'!A48,'خدمات اجرایی '!L:L)</f>
        <v>6636359381.1778507</v>
      </c>
      <c r="N49" s="646"/>
      <c r="O49" s="834"/>
      <c r="P49" s="841" t="s">
        <v>801</v>
      </c>
      <c r="Q49" s="841"/>
      <c r="R49" s="842"/>
      <c r="S49" s="836"/>
      <c r="T49" s="837"/>
      <c r="U49" s="838"/>
      <c r="W49" s="372"/>
      <c r="X49" s="370"/>
      <c r="Y49" s="370"/>
      <c r="Z49" s="371"/>
    </row>
    <row r="50" spans="1:26" ht="12.95" customHeight="1">
      <c r="A50" s="768"/>
      <c r="B50" s="830" t="s">
        <v>810</v>
      </c>
      <c r="C50" s="831"/>
      <c r="D50" s="831"/>
      <c r="E50" s="831"/>
      <c r="F50" s="831"/>
      <c r="G50" s="843"/>
      <c r="H50" s="844"/>
      <c r="I50" s="845"/>
      <c r="J50" s="846">
        <f t="shared" si="0"/>
        <v>0</v>
      </c>
      <c r="K50" s="844"/>
      <c r="L50" s="845"/>
      <c r="M50" s="847"/>
      <c r="N50" s="847"/>
      <c r="O50" s="847"/>
      <c r="P50" s="848" t="s">
        <v>802</v>
      </c>
      <c r="Q50" s="848"/>
      <c r="R50" s="849"/>
      <c r="S50" s="836"/>
      <c r="T50" s="837"/>
      <c r="U50" s="838"/>
      <c r="W50" s="370"/>
      <c r="X50" s="370"/>
      <c r="Y50" s="370"/>
      <c r="Z50" s="371"/>
    </row>
    <row r="51" spans="1:26" ht="12.95" customHeight="1">
      <c r="A51" s="766">
        <v>12</v>
      </c>
      <c r="B51" s="830" t="s">
        <v>812</v>
      </c>
      <c r="C51" s="831"/>
      <c r="D51" s="831"/>
      <c r="E51" s="831"/>
      <c r="F51" s="831"/>
      <c r="G51" s="832">
        <v>16102183072.400002</v>
      </c>
      <c r="H51" s="833"/>
      <c r="I51" s="833"/>
      <c r="J51" s="780">
        <f t="shared" si="0"/>
        <v>0</v>
      </c>
      <c r="K51" s="778"/>
      <c r="L51" s="779"/>
      <c r="M51" s="781">
        <f>'خدمات اجرایی '!I24*0.2+'خدمات اجرایی '!I93*0.8+'خدمات اجرایی '!I162*0.9</f>
        <v>16102183072.400002</v>
      </c>
      <c r="N51" s="781"/>
      <c r="O51" s="781"/>
      <c r="P51" s="782" t="s">
        <v>800</v>
      </c>
      <c r="Q51" s="782"/>
      <c r="R51" s="783"/>
      <c r="S51" s="836"/>
      <c r="T51" s="837"/>
      <c r="U51" s="838"/>
      <c r="W51" s="372"/>
      <c r="X51" s="370"/>
      <c r="Y51" s="370"/>
      <c r="Z51" s="371"/>
    </row>
    <row r="52" spans="1:26" ht="12.95" customHeight="1">
      <c r="A52" s="767"/>
      <c r="B52" s="830" t="s">
        <v>812</v>
      </c>
      <c r="C52" s="831"/>
      <c r="D52" s="831"/>
      <c r="E52" s="831"/>
      <c r="F52" s="831"/>
      <c r="G52" s="839">
        <v>16068283739.616001</v>
      </c>
      <c r="H52" s="840"/>
      <c r="I52" s="840"/>
      <c r="J52" s="835">
        <f t="shared" si="0"/>
        <v>-2387445259.6451607</v>
      </c>
      <c r="K52" s="646"/>
      <c r="L52" s="834"/>
      <c r="M52" s="835">
        <f>'خدمات اجرایی '!L24*0.2+'خدمات اجرایی '!L93*0.8+'خدمات اجرایی '!L162*0.9</f>
        <v>13680838479.97084</v>
      </c>
      <c r="N52" s="646"/>
      <c r="O52" s="834"/>
      <c r="P52" s="841" t="s">
        <v>801</v>
      </c>
      <c r="Q52" s="841"/>
      <c r="R52" s="842"/>
      <c r="S52" s="836"/>
      <c r="T52" s="837"/>
      <c r="U52" s="838"/>
      <c r="W52" s="378"/>
      <c r="X52" s="370"/>
      <c r="Y52" s="370"/>
      <c r="Z52" s="371"/>
    </row>
    <row r="53" spans="1:26" ht="12.95" customHeight="1">
      <c r="A53" s="768"/>
      <c r="B53" s="830" t="s">
        <v>812</v>
      </c>
      <c r="C53" s="831"/>
      <c r="D53" s="831"/>
      <c r="E53" s="831"/>
      <c r="F53" s="831"/>
      <c r="G53" s="843"/>
      <c r="H53" s="844"/>
      <c r="I53" s="845"/>
      <c r="J53" s="846">
        <f t="shared" si="0"/>
        <v>0</v>
      </c>
      <c r="K53" s="844"/>
      <c r="L53" s="845"/>
      <c r="M53" s="847"/>
      <c r="N53" s="847"/>
      <c r="O53" s="847"/>
      <c r="P53" s="848" t="s">
        <v>802</v>
      </c>
      <c r="Q53" s="848"/>
      <c r="R53" s="849"/>
      <c r="S53" s="836"/>
      <c r="T53" s="837"/>
      <c r="U53" s="838"/>
      <c r="W53" s="372"/>
      <c r="X53" s="370"/>
      <c r="Y53" s="370"/>
      <c r="Z53" s="371"/>
    </row>
    <row r="54" spans="1:26" ht="12.95" customHeight="1">
      <c r="A54" s="766">
        <v>13</v>
      </c>
      <c r="B54" s="830" t="s">
        <v>813</v>
      </c>
      <c r="C54" s="831"/>
      <c r="D54" s="831"/>
      <c r="E54" s="831"/>
      <c r="F54" s="831"/>
      <c r="G54" s="832">
        <v>88591328056.058533</v>
      </c>
      <c r="H54" s="833"/>
      <c r="I54" s="833"/>
      <c r="J54" s="780">
        <f t="shared" si="0"/>
        <v>0</v>
      </c>
      <c r="K54" s="778"/>
      <c r="L54" s="779"/>
      <c r="M54" s="781">
        <f>SUMIF('خدمات تامین'!F:F,'summary-2'!A54,'خدمات تامین'!I:I)+'خدمات اجرایی '!I24*0.8+'خدمات اجرایی '!I93*0.2+'خدمات اجرایی '!I162*0.1</f>
        <v>88591328056.058533</v>
      </c>
      <c r="N54" s="781"/>
      <c r="O54" s="781"/>
      <c r="P54" s="782" t="s">
        <v>800</v>
      </c>
      <c r="Q54" s="782"/>
      <c r="R54" s="783"/>
      <c r="S54" s="836"/>
      <c r="T54" s="837"/>
      <c r="U54" s="838"/>
      <c r="W54" s="376"/>
      <c r="X54" s="370"/>
      <c r="Y54" s="370"/>
      <c r="Z54" s="371"/>
    </row>
    <row r="55" spans="1:26" ht="12.95" customHeight="1">
      <c r="A55" s="767"/>
      <c r="B55" s="830" t="s">
        <v>813</v>
      </c>
      <c r="C55" s="831"/>
      <c r="D55" s="831"/>
      <c r="E55" s="831"/>
      <c r="F55" s="831"/>
      <c r="G55" s="839">
        <v>50850167571.381096</v>
      </c>
      <c r="H55" s="840"/>
      <c r="I55" s="840"/>
      <c r="J55" s="835">
        <f t="shared" si="0"/>
        <v>-28269882243.27808</v>
      </c>
      <c r="K55" s="646"/>
      <c r="L55" s="834"/>
      <c r="M55" s="835">
        <f>SUMIF('خدمات تامین'!F:F,'summary-2'!A54,'خدمات تامین'!L:L)+'خدمات اجرایی '!L24*0.8+'خدمات اجرایی '!L93*0.2+'خدمات اجرایی '!L162*0.1</f>
        <v>22580285328.103016</v>
      </c>
      <c r="N55" s="646"/>
      <c r="O55" s="834"/>
      <c r="P55" s="841" t="s">
        <v>801</v>
      </c>
      <c r="Q55" s="841"/>
      <c r="R55" s="842"/>
      <c r="S55" s="836"/>
      <c r="T55" s="837"/>
      <c r="U55" s="838"/>
      <c r="W55" s="377"/>
      <c r="X55" s="370"/>
      <c r="Y55" s="370"/>
      <c r="Z55" s="371"/>
    </row>
    <row r="56" spans="1:26" ht="12.95" customHeight="1">
      <c r="A56" s="768"/>
      <c r="B56" s="830" t="s">
        <v>813</v>
      </c>
      <c r="C56" s="831"/>
      <c r="D56" s="831"/>
      <c r="E56" s="831"/>
      <c r="F56" s="831"/>
      <c r="G56" s="843"/>
      <c r="H56" s="844"/>
      <c r="I56" s="845"/>
      <c r="J56" s="846">
        <f t="shared" si="0"/>
        <v>0</v>
      </c>
      <c r="K56" s="844"/>
      <c r="L56" s="845"/>
      <c r="M56" s="847"/>
      <c r="N56" s="847"/>
      <c r="O56" s="847"/>
      <c r="P56" s="848" t="s">
        <v>802</v>
      </c>
      <c r="Q56" s="848"/>
      <c r="R56" s="849"/>
      <c r="S56" s="836"/>
      <c r="T56" s="837"/>
      <c r="U56" s="838"/>
      <c r="W56" s="370"/>
      <c r="X56" s="370"/>
      <c r="Y56" s="370"/>
      <c r="Z56" s="371"/>
    </row>
    <row r="57" spans="1:26" ht="12.95" customHeight="1">
      <c r="A57" s="766">
        <v>14</v>
      </c>
      <c r="B57" s="830" t="s">
        <v>814</v>
      </c>
      <c r="C57" s="831"/>
      <c r="D57" s="831"/>
      <c r="E57" s="831"/>
      <c r="F57" s="831"/>
      <c r="G57" s="832">
        <v>166789417297.28833</v>
      </c>
      <c r="H57" s="833"/>
      <c r="I57" s="833"/>
      <c r="J57" s="780">
        <f t="shared" si="0"/>
        <v>1759043161.4572754</v>
      </c>
      <c r="K57" s="778"/>
      <c r="L57" s="779"/>
      <c r="M57" s="781">
        <f>SUMIF('خدمات اجرایی '!F:F,'summary-2'!A57,'خدمات اجرایی '!I:I)</f>
        <v>168548460458.74561</v>
      </c>
      <c r="N57" s="781"/>
      <c r="O57" s="781"/>
      <c r="P57" s="782" t="s">
        <v>800</v>
      </c>
      <c r="Q57" s="782"/>
      <c r="R57" s="783"/>
      <c r="S57" s="836"/>
      <c r="T57" s="837"/>
      <c r="U57" s="838"/>
      <c r="W57" s="370"/>
      <c r="X57" s="370"/>
      <c r="Y57" s="370"/>
      <c r="Z57" s="371"/>
    </row>
    <row r="58" spans="1:26" ht="12.95" customHeight="1">
      <c r="A58" s="767"/>
      <c r="B58" s="830" t="s">
        <v>814</v>
      </c>
      <c r="C58" s="831"/>
      <c r="D58" s="831"/>
      <c r="E58" s="831"/>
      <c r="F58" s="831"/>
      <c r="G58" s="839">
        <v>108825638005.62637</v>
      </c>
      <c r="H58" s="840"/>
      <c r="I58" s="840"/>
      <c r="J58" s="835">
        <f t="shared" si="0"/>
        <v>7170694691.0798035</v>
      </c>
      <c r="K58" s="646"/>
      <c r="L58" s="834"/>
      <c r="M58" s="835">
        <f>SUMIF('خدمات اجرایی '!F:F,'summary-2'!A57,'خدمات اجرایی '!L:L)</f>
        <v>115996332696.70618</v>
      </c>
      <c r="N58" s="646"/>
      <c r="O58" s="834"/>
      <c r="P58" s="841" t="s">
        <v>801</v>
      </c>
      <c r="Q58" s="841"/>
      <c r="R58" s="842"/>
      <c r="S58" s="836"/>
      <c r="T58" s="837"/>
      <c r="U58" s="838"/>
      <c r="W58" s="370"/>
      <c r="X58" s="370"/>
      <c r="Y58" s="370"/>
      <c r="Z58" s="371"/>
    </row>
    <row r="59" spans="1:26" ht="12.95" customHeight="1">
      <c r="A59" s="768"/>
      <c r="B59" s="830" t="s">
        <v>814</v>
      </c>
      <c r="C59" s="831"/>
      <c r="D59" s="831"/>
      <c r="E59" s="831"/>
      <c r="F59" s="831"/>
      <c r="G59" s="843"/>
      <c r="H59" s="844"/>
      <c r="I59" s="845"/>
      <c r="J59" s="846">
        <f t="shared" si="0"/>
        <v>0</v>
      </c>
      <c r="K59" s="844"/>
      <c r="L59" s="845"/>
      <c r="M59" s="847"/>
      <c r="N59" s="847"/>
      <c r="O59" s="847"/>
      <c r="P59" s="848" t="s">
        <v>802</v>
      </c>
      <c r="Q59" s="848"/>
      <c r="R59" s="849"/>
      <c r="S59" s="836"/>
      <c r="T59" s="837"/>
      <c r="U59" s="838"/>
      <c r="W59" s="370"/>
      <c r="X59" s="370"/>
      <c r="Y59" s="370"/>
      <c r="Z59" s="371"/>
    </row>
    <row r="60" spans="1:26" ht="12.95" customHeight="1">
      <c r="A60" s="766">
        <v>16</v>
      </c>
      <c r="B60" s="830" t="s">
        <v>642</v>
      </c>
      <c r="C60" s="831"/>
      <c r="D60" s="831"/>
      <c r="E60" s="831"/>
      <c r="F60" s="831"/>
      <c r="G60" s="777">
        <v>1412472198.4400001</v>
      </c>
      <c r="H60" s="778"/>
      <c r="I60" s="779"/>
      <c r="J60" s="780">
        <f t="shared" si="0"/>
        <v>0</v>
      </c>
      <c r="K60" s="778"/>
      <c r="L60" s="779"/>
      <c r="M60" s="781">
        <f>SUMIF('خدمات اجرایی '!F:F,'summary-2'!A60,'خدمات اجرایی '!I:I)</f>
        <v>1412472198.4400001</v>
      </c>
      <c r="N60" s="781"/>
      <c r="O60" s="781"/>
      <c r="P60" s="782" t="s">
        <v>800</v>
      </c>
      <c r="Q60" s="782"/>
      <c r="R60" s="783"/>
      <c r="S60" s="836"/>
      <c r="T60" s="837"/>
      <c r="U60" s="838"/>
      <c r="W60" s="370"/>
      <c r="X60" s="370"/>
      <c r="Y60" s="370"/>
      <c r="Z60" s="371"/>
    </row>
    <row r="61" spans="1:26" ht="12.95" customHeight="1">
      <c r="A61" s="767"/>
      <c r="B61" s="830" t="s">
        <v>642</v>
      </c>
      <c r="C61" s="831"/>
      <c r="D61" s="831"/>
      <c r="E61" s="831"/>
      <c r="F61" s="831"/>
      <c r="G61" s="645">
        <v>1403055717.1200001</v>
      </c>
      <c r="H61" s="646"/>
      <c r="I61" s="834"/>
      <c r="J61" s="835">
        <f t="shared" si="0"/>
        <v>-217991542.60310006</v>
      </c>
      <c r="K61" s="646"/>
      <c r="L61" s="834"/>
      <c r="M61" s="835">
        <f>SUMIF('خدمات اجرایی '!F:F,'summary-2'!A60,'خدمات اجرایی '!L:L)</f>
        <v>1185064174.5169001</v>
      </c>
      <c r="N61" s="646"/>
      <c r="O61" s="834"/>
      <c r="P61" s="841" t="s">
        <v>801</v>
      </c>
      <c r="Q61" s="841"/>
      <c r="R61" s="842"/>
      <c r="S61" s="836"/>
      <c r="T61" s="837"/>
      <c r="U61" s="838"/>
      <c r="W61" s="370"/>
      <c r="X61" s="370"/>
      <c r="Y61" s="370"/>
      <c r="Z61" s="371"/>
    </row>
    <row r="62" spans="1:26" ht="12.95" customHeight="1">
      <c r="A62" s="768"/>
      <c r="B62" s="830" t="s">
        <v>642</v>
      </c>
      <c r="C62" s="831"/>
      <c r="D62" s="831"/>
      <c r="E62" s="831"/>
      <c r="F62" s="831"/>
      <c r="G62" s="843"/>
      <c r="H62" s="844"/>
      <c r="I62" s="845"/>
      <c r="J62" s="846">
        <f t="shared" si="0"/>
        <v>0</v>
      </c>
      <c r="K62" s="844"/>
      <c r="L62" s="845"/>
      <c r="M62" s="847"/>
      <c r="N62" s="847"/>
      <c r="O62" s="847"/>
      <c r="P62" s="848" t="s">
        <v>802</v>
      </c>
      <c r="Q62" s="848"/>
      <c r="R62" s="849"/>
      <c r="S62" s="836"/>
      <c r="T62" s="837"/>
      <c r="U62" s="838"/>
      <c r="W62" s="370"/>
      <c r="X62" s="370"/>
      <c r="Y62" s="370"/>
      <c r="Z62" s="371"/>
    </row>
    <row r="63" spans="1:26" ht="12.95" hidden="1" customHeight="1">
      <c r="A63" s="766">
        <v>19</v>
      </c>
      <c r="B63" s="830" t="s">
        <v>815</v>
      </c>
      <c r="C63" s="831"/>
      <c r="D63" s="831"/>
      <c r="E63" s="831"/>
      <c r="F63" s="831"/>
      <c r="G63" s="832">
        <v>0</v>
      </c>
      <c r="H63" s="833"/>
      <c r="I63" s="833"/>
      <c r="J63" s="780">
        <f t="shared" si="0"/>
        <v>0</v>
      </c>
      <c r="K63" s="778"/>
      <c r="L63" s="779"/>
      <c r="M63" s="781">
        <f>SUMIF('خدمات اجرایی '!F:F,'summary-2'!A63,'خدمات اجرایی '!I:I)</f>
        <v>0</v>
      </c>
      <c r="N63" s="781"/>
      <c r="O63" s="781"/>
      <c r="P63" s="782" t="s">
        <v>800</v>
      </c>
      <c r="Q63" s="782"/>
      <c r="R63" s="783"/>
      <c r="S63" s="836"/>
      <c r="T63" s="837"/>
      <c r="U63" s="838"/>
      <c r="W63" s="370"/>
      <c r="X63" s="370"/>
      <c r="Y63" s="370"/>
      <c r="Z63" s="371"/>
    </row>
    <row r="64" spans="1:26" ht="12.95" hidden="1" customHeight="1">
      <c r="A64" s="767"/>
      <c r="B64" s="830"/>
      <c r="C64" s="831"/>
      <c r="D64" s="831"/>
      <c r="E64" s="831"/>
      <c r="F64" s="831"/>
      <c r="G64" s="839">
        <v>0</v>
      </c>
      <c r="H64" s="840"/>
      <c r="I64" s="840"/>
      <c r="J64" s="835">
        <f t="shared" si="0"/>
        <v>0</v>
      </c>
      <c r="K64" s="646"/>
      <c r="L64" s="834"/>
      <c r="M64" s="835">
        <f>SUMIF('خدمات اجرایی '!F:F,'summary-2'!A63,'خدمات اجرایی '!L:L)</f>
        <v>0</v>
      </c>
      <c r="N64" s="646"/>
      <c r="O64" s="834"/>
      <c r="P64" s="841" t="s">
        <v>801</v>
      </c>
      <c r="Q64" s="841"/>
      <c r="R64" s="842"/>
      <c r="S64" s="836"/>
      <c r="T64" s="837"/>
      <c r="U64" s="838"/>
      <c r="W64" s="370"/>
      <c r="X64" s="370"/>
      <c r="Y64" s="370"/>
      <c r="Z64" s="371"/>
    </row>
    <row r="65" spans="1:27" ht="12.95" hidden="1" customHeight="1">
      <c r="A65" s="768"/>
      <c r="B65" s="830"/>
      <c r="C65" s="831"/>
      <c r="D65" s="831"/>
      <c r="E65" s="831"/>
      <c r="F65" s="831"/>
      <c r="G65" s="843"/>
      <c r="H65" s="844"/>
      <c r="I65" s="845"/>
      <c r="J65" s="846">
        <f t="shared" si="0"/>
        <v>0</v>
      </c>
      <c r="K65" s="844"/>
      <c r="L65" s="845"/>
      <c r="M65" s="847"/>
      <c r="N65" s="847"/>
      <c r="O65" s="847"/>
      <c r="P65" s="848" t="s">
        <v>802</v>
      </c>
      <c r="Q65" s="848"/>
      <c r="R65" s="849"/>
      <c r="S65" s="836"/>
      <c r="T65" s="837"/>
      <c r="U65" s="838"/>
      <c r="W65" s="370"/>
      <c r="X65" s="370"/>
      <c r="Y65" s="370"/>
      <c r="Z65" s="371"/>
    </row>
    <row r="66" spans="1:27" ht="12.95" customHeight="1">
      <c r="A66" s="766">
        <v>20</v>
      </c>
      <c r="B66" s="830" t="s">
        <v>816</v>
      </c>
      <c r="C66" s="831"/>
      <c r="D66" s="831"/>
      <c r="E66" s="831"/>
      <c r="F66" s="831"/>
      <c r="G66" s="832">
        <v>3954922158.0299997</v>
      </c>
      <c r="H66" s="833"/>
      <c r="I66" s="833"/>
      <c r="J66" s="780">
        <f t="shared" si="0"/>
        <v>0</v>
      </c>
      <c r="K66" s="778"/>
      <c r="L66" s="779"/>
      <c r="M66" s="781">
        <f>SUMIF('خدمات اجرایی '!F:F,'summary-2'!A66,'خدمات اجرایی '!I:I)</f>
        <v>3954922158.0299997</v>
      </c>
      <c r="N66" s="781"/>
      <c r="O66" s="781"/>
      <c r="P66" s="782" t="s">
        <v>800</v>
      </c>
      <c r="Q66" s="782"/>
      <c r="R66" s="783"/>
      <c r="S66" s="836"/>
      <c r="T66" s="837"/>
      <c r="U66" s="838"/>
      <c r="W66" s="370"/>
      <c r="X66" s="370"/>
      <c r="Y66" s="370"/>
      <c r="Z66" s="371"/>
    </row>
    <row r="67" spans="1:27" ht="12.95" customHeight="1">
      <c r="A67" s="767"/>
      <c r="B67" s="830" t="s">
        <v>816</v>
      </c>
      <c r="C67" s="831"/>
      <c r="D67" s="831"/>
      <c r="E67" s="831"/>
      <c r="F67" s="831"/>
      <c r="G67" s="839">
        <v>3928556010.3099995</v>
      </c>
      <c r="H67" s="840"/>
      <c r="I67" s="840"/>
      <c r="J67" s="835">
        <f t="shared" si="0"/>
        <v>-610376319.7210741</v>
      </c>
      <c r="K67" s="646"/>
      <c r="L67" s="834"/>
      <c r="M67" s="835">
        <f>SUMIF('خدمات اجرایی '!F:F,'summary-2'!A66,'خدمات اجرایی '!L:L)+فصل13ریل!J4</f>
        <v>3318179690.5889254</v>
      </c>
      <c r="N67" s="646"/>
      <c r="O67" s="834"/>
      <c r="P67" s="841" t="s">
        <v>801</v>
      </c>
      <c r="Q67" s="841"/>
      <c r="R67" s="842"/>
      <c r="S67" s="836"/>
      <c r="T67" s="837"/>
      <c r="U67" s="838"/>
      <c r="W67" s="370"/>
      <c r="X67" s="370"/>
      <c r="Y67" s="370"/>
      <c r="Z67" s="371"/>
    </row>
    <row r="68" spans="1:27" ht="12.95" customHeight="1">
      <c r="A68" s="768"/>
      <c r="B68" s="830" t="s">
        <v>816</v>
      </c>
      <c r="C68" s="831"/>
      <c r="D68" s="831"/>
      <c r="E68" s="831"/>
      <c r="F68" s="831"/>
      <c r="G68" s="843"/>
      <c r="H68" s="844"/>
      <c r="I68" s="845"/>
      <c r="J68" s="846">
        <f t="shared" si="0"/>
        <v>0</v>
      </c>
      <c r="K68" s="844"/>
      <c r="L68" s="845"/>
      <c r="M68" s="847"/>
      <c r="N68" s="847"/>
      <c r="O68" s="847"/>
      <c r="P68" s="848" t="s">
        <v>802</v>
      </c>
      <c r="Q68" s="848"/>
      <c r="R68" s="849"/>
      <c r="S68" s="836"/>
      <c r="T68" s="837"/>
      <c r="U68" s="838"/>
      <c r="W68" s="370"/>
      <c r="X68" s="370"/>
      <c r="Y68" s="370"/>
      <c r="Z68" s="371"/>
    </row>
    <row r="69" spans="1:27" ht="12.95" customHeight="1">
      <c r="A69" s="766">
        <v>21</v>
      </c>
      <c r="B69" s="830" t="s">
        <v>817</v>
      </c>
      <c r="C69" s="831"/>
      <c r="D69" s="831"/>
      <c r="E69" s="831"/>
      <c r="F69" s="831"/>
      <c r="G69" s="832">
        <v>1927634563.0590014</v>
      </c>
      <c r="H69" s="833"/>
      <c r="I69" s="833"/>
      <c r="J69" s="780">
        <f t="shared" si="0"/>
        <v>0</v>
      </c>
      <c r="K69" s="778"/>
      <c r="L69" s="779"/>
      <c r="M69" s="781">
        <f>SUMIF('خدمات اجرایی '!F:F,'summary-2'!A69,'خدمات اجرایی '!I:I)</f>
        <v>1927634563.0590014</v>
      </c>
      <c r="N69" s="781"/>
      <c r="O69" s="781"/>
      <c r="P69" s="782" t="s">
        <v>800</v>
      </c>
      <c r="Q69" s="782"/>
      <c r="R69" s="783"/>
      <c r="S69" s="836"/>
      <c r="T69" s="837"/>
      <c r="U69" s="838"/>
      <c r="W69" s="370"/>
      <c r="X69" s="370"/>
      <c r="Y69" s="370"/>
      <c r="Z69" s="371"/>
    </row>
    <row r="70" spans="1:27" ht="12.95" customHeight="1">
      <c r="A70" s="767"/>
      <c r="B70" s="830" t="s">
        <v>816</v>
      </c>
      <c r="C70" s="831"/>
      <c r="D70" s="831"/>
      <c r="E70" s="831"/>
      <c r="F70" s="831"/>
      <c r="G70" s="839">
        <v>5179064.730832871</v>
      </c>
      <c r="H70" s="840"/>
      <c r="I70" s="840"/>
      <c r="J70" s="835">
        <f t="shared" si="0"/>
        <v>637365789.62216771</v>
      </c>
      <c r="K70" s="646"/>
      <c r="L70" s="834"/>
      <c r="M70" s="835">
        <f>SUMIF('خدمات اجرایی '!F:F,'summary-2'!A69,'خدمات اجرایی '!L:L)</f>
        <v>642544854.35300052</v>
      </c>
      <c r="N70" s="646"/>
      <c r="O70" s="834"/>
      <c r="P70" s="841" t="s">
        <v>801</v>
      </c>
      <c r="Q70" s="841"/>
      <c r="R70" s="842"/>
      <c r="S70" s="836"/>
      <c r="T70" s="837"/>
      <c r="U70" s="838"/>
      <c r="W70" s="370"/>
      <c r="X70" s="370"/>
      <c r="Y70" s="370"/>
      <c r="Z70" s="371"/>
    </row>
    <row r="71" spans="1:27" ht="12.95" customHeight="1">
      <c r="A71" s="768"/>
      <c r="B71" s="830" t="s">
        <v>816</v>
      </c>
      <c r="C71" s="831"/>
      <c r="D71" s="831"/>
      <c r="E71" s="831"/>
      <c r="F71" s="831"/>
      <c r="G71" s="843"/>
      <c r="H71" s="844"/>
      <c r="I71" s="845"/>
      <c r="J71" s="846">
        <f t="shared" si="0"/>
        <v>0</v>
      </c>
      <c r="K71" s="844"/>
      <c r="L71" s="845"/>
      <c r="M71" s="847"/>
      <c r="N71" s="847"/>
      <c r="O71" s="847"/>
      <c r="P71" s="848" t="s">
        <v>802</v>
      </c>
      <c r="Q71" s="848"/>
      <c r="R71" s="849"/>
      <c r="S71" s="836"/>
      <c r="T71" s="837"/>
      <c r="U71" s="838"/>
      <c r="W71" s="370"/>
      <c r="X71" s="370"/>
      <c r="Y71" s="370"/>
      <c r="Z71" s="371"/>
    </row>
    <row r="72" spans="1:27" ht="12.95" customHeight="1">
      <c r="A72" s="766">
        <v>22</v>
      </c>
      <c r="B72" s="830" t="s">
        <v>818</v>
      </c>
      <c r="C72" s="831"/>
      <c r="D72" s="831"/>
      <c r="E72" s="831"/>
      <c r="F72" s="831"/>
      <c r="G72" s="832">
        <v>188627057387.3501</v>
      </c>
      <c r="H72" s="833"/>
      <c r="I72" s="833"/>
      <c r="J72" s="780">
        <f t="shared" si="0"/>
        <v>-3.0517578125E-5</v>
      </c>
      <c r="K72" s="778"/>
      <c r="L72" s="779"/>
      <c r="M72" s="781">
        <f>SUMIF('خدمات اجرایی '!F:F,'summary-2'!A72,'خدمات اجرایی '!I:I)+SUMIF('خدمات تامین'!F:F,'summary-2'!A72,'خدمات تامین'!I:I)</f>
        <v>188627057387.35007</v>
      </c>
      <c r="N72" s="781"/>
      <c r="O72" s="781"/>
      <c r="P72" s="782" t="s">
        <v>800</v>
      </c>
      <c r="Q72" s="782"/>
      <c r="R72" s="783"/>
      <c r="S72" s="836"/>
      <c r="T72" s="837"/>
      <c r="U72" s="838"/>
      <c r="W72" s="370"/>
      <c r="X72" s="370"/>
      <c r="Y72" s="370"/>
      <c r="Z72" s="371"/>
    </row>
    <row r="73" spans="1:27" ht="12.95" customHeight="1">
      <c r="A73" s="767"/>
      <c r="B73" s="830" t="s">
        <v>818</v>
      </c>
      <c r="C73" s="831"/>
      <c r="D73" s="831"/>
      <c r="E73" s="831"/>
      <c r="F73" s="831"/>
      <c r="G73" s="839">
        <v>86170530929.930023</v>
      </c>
      <c r="H73" s="840"/>
      <c r="I73" s="840"/>
      <c r="J73" s="835">
        <f t="shared" si="0"/>
        <v>0</v>
      </c>
      <c r="K73" s="646"/>
      <c r="L73" s="834"/>
      <c r="M73" s="835">
        <f>SUMIF('خدمات اجرایی '!F:F,'summary-2'!A72,'خدمات اجرایی '!L:L)+SUMIF('خدمات تامین'!F:F,'summary-2'!A72,'خدمات تامین'!L:L)+فصل13ریل!J5</f>
        <v>0</v>
      </c>
      <c r="N73" s="646"/>
      <c r="O73" s="834"/>
      <c r="P73" s="841" t="s">
        <v>801</v>
      </c>
      <c r="Q73" s="841"/>
      <c r="R73" s="842"/>
      <c r="S73" s="836"/>
      <c r="T73" s="837"/>
      <c r="U73" s="838"/>
      <c r="W73" s="378"/>
      <c r="X73" s="370"/>
      <c r="Y73" s="370"/>
      <c r="Z73" s="371"/>
    </row>
    <row r="74" spans="1:27" ht="12.95" customHeight="1">
      <c r="A74" s="768"/>
      <c r="B74" s="830" t="s">
        <v>818</v>
      </c>
      <c r="C74" s="831"/>
      <c r="D74" s="831"/>
      <c r="E74" s="831"/>
      <c r="F74" s="831"/>
      <c r="G74" s="843"/>
      <c r="H74" s="844"/>
      <c r="I74" s="845"/>
      <c r="J74" s="846">
        <f t="shared" si="0"/>
        <v>0</v>
      </c>
      <c r="K74" s="844"/>
      <c r="L74" s="845"/>
      <c r="M74" s="847"/>
      <c r="N74" s="847"/>
      <c r="O74" s="847"/>
      <c r="P74" s="848" t="s">
        <v>802</v>
      </c>
      <c r="Q74" s="848"/>
      <c r="R74" s="849"/>
      <c r="S74" s="836"/>
      <c r="T74" s="837"/>
      <c r="U74" s="838"/>
      <c r="W74" s="379"/>
      <c r="X74" s="370"/>
      <c r="Y74" s="370"/>
      <c r="Z74" s="371"/>
    </row>
    <row r="75" spans="1:27" ht="12.95" customHeight="1">
      <c r="A75" s="766">
        <v>23</v>
      </c>
      <c r="B75" s="769" t="s">
        <v>819</v>
      </c>
      <c r="C75" s="770"/>
      <c r="D75" s="770"/>
      <c r="E75" s="770"/>
      <c r="F75" s="771"/>
      <c r="G75" s="777">
        <v>5654943147.5118647</v>
      </c>
      <c r="H75" s="778"/>
      <c r="I75" s="779"/>
      <c r="J75" s="780">
        <f t="shared" si="0"/>
        <v>3761170034.2378817</v>
      </c>
      <c r="K75" s="778"/>
      <c r="L75" s="779"/>
      <c r="M75" s="781">
        <f>SUMIF('خدمات اجرایی '!F:F,'summary-2'!A75,'خدمات اجرایی '!I:I)</f>
        <v>9416113181.7497463</v>
      </c>
      <c r="N75" s="781"/>
      <c r="O75" s="781"/>
      <c r="P75" s="782" t="s">
        <v>800</v>
      </c>
      <c r="Q75" s="782"/>
      <c r="R75" s="783"/>
      <c r="S75" s="824" t="s">
        <v>878</v>
      </c>
      <c r="T75" s="825"/>
      <c r="U75" s="826"/>
      <c r="W75" s="370"/>
      <c r="X75" s="370"/>
      <c r="Y75" s="370"/>
      <c r="Z75" s="371"/>
    </row>
    <row r="76" spans="1:27" ht="12.95" customHeight="1">
      <c r="A76" s="767"/>
      <c r="B76" s="772" t="s">
        <v>819</v>
      </c>
      <c r="C76" s="687"/>
      <c r="D76" s="687"/>
      <c r="E76" s="687"/>
      <c r="F76" s="773"/>
      <c r="G76" s="645">
        <v>155371941.92498612</v>
      </c>
      <c r="H76" s="646"/>
      <c r="I76" s="834"/>
      <c r="J76" s="835">
        <f t="shared" si="0"/>
        <v>7489115734.9197245</v>
      </c>
      <c r="K76" s="646"/>
      <c r="L76" s="834"/>
      <c r="M76" s="835">
        <f>SUMIF('خدمات اجرایی '!F:F,'summary-2'!A75,'خدمات اجرایی '!L:L)</f>
        <v>7644487676.8447104</v>
      </c>
      <c r="N76" s="646"/>
      <c r="O76" s="834"/>
      <c r="P76" s="841" t="s">
        <v>801</v>
      </c>
      <c r="Q76" s="841"/>
      <c r="R76" s="842"/>
      <c r="S76" s="827"/>
      <c r="T76" s="828"/>
      <c r="U76" s="829"/>
      <c r="W76" s="370"/>
      <c r="X76" s="370"/>
      <c r="Y76" s="370"/>
      <c r="Z76" s="371"/>
    </row>
    <row r="77" spans="1:27" ht="12.95" customHeight="1" thickBot="1">
      <c r="A77" s="768"/>
      <c r="B77" s="774" t="s">
        <v>819</v>
      </c>
      <c r="C77" s="775"/>
      <c r="D77" s="775"/>
      <c r="E77" s="775"/>
      <c r="F77" s="776"/>
      <c r="G77" s="850"/>
      <c r="H77" s="851"/>
      <c r="I77" s="852"/>
      <c r="J77" s="853">
        <f t="shared" si="0"/>
        <v>0</v>
      </c>
      <c r="K77" s="851"/>
      <c r="L77" s="852"/>
      <c r="M77" s="854"/>
      <c r="N77" s="854"/>
      <c r="O77" s="854"/>
      <c r="P77" s="855" t="s">
        <v>802</v>
      </c>
      <c r="Q77" s="855"/>
      <c r="R77" s="856"/>
      <c r="S77" s="827"/>
      <c r="T77" s="828"/>
      <c r="U77" s="829"/>
      <c r="W77" s="370"/>
      <c r="X77" s="370"/>
      <c r="Y77" s="370"/>
      <c r="Z77" s="371"/>
    </row>
    <row r="78" spans="1:27" s="353" customFormat="1" ht="24" customHeight="1" thickTop="1">
      <c r="A78" s="788" t="s">
        <v>820</v>
      </c>
      <c r="B78" s="789"/>
      <c r="C78" s="789"/>
      <c r="D78" s="789"/>
      <c r="E78" s="789"/>
      <c r="F78" s="789"/>
      <c r="G78" s="794">
        <f>G15+G18+G21+G24+G27+G36+G39+G42+G45+G48+G51+G54+G57+G60+G66+G69+G72+G75</f>
        <v>808753592744.99158</v>
      </c>
      <c r="H78" s="795"/>
      <c r="I78" s="796"/>
      <c r="J78" s="797">
        <f t="shared" si="0"/>
        <v>11886277751.725098</v>
      </c>
      <c r="K78" s="795"/>
      <c r="L78" s="796"/>
      <c r="M78" s="798">
        <f>M15+M18+M21+M24+M27+M36+M39+M42+M45+M48+M51+M54+M57+M60+M66+M69+M72+M75</f>
        <v>820639870496.71667</v>
      </c>
      <c r="N78" s="799"/>
      <c r="O78" s="800"/>
      <c r="P78" s="801" t="s">
        <v>800</v>
      </c>
      <c r="Q78" s="801"/>
      <c r="R78" s="802"/>
      <c r="S78" s="803">
        <f>M79/'خلاصه مالي صورت وضعیت'!G4</f>
        <v>0.37396290937349347</v>
      </c>
      <c r="T78" s="804"/>
      <c r="U78" s="805"/>
      <c r="V78" s="399"/>
      <c r="W78" s="370"/>
      <c r="X78" s="370"/>
      <c r="Y78" s="370"/>
      <c r="Z78" s="371"/>
      <c r="AA78" s="369"/>
    </row>
    <row r="79" spans="1:27" s="353" customFormat="1" ht="23.25" customHeight="1">
      <c r="A79" s="790"/>
      <c r="B79" s="791"/>
      <c r="C79" s="791"/>
      <c r="D79" s="791"/>
      <c r="E79" s="791"/>
      <c r="F79" s="791"/>
      <c r="G79" s="812">
        <f>G16+G19+G22+G25+G28+G37+G40+G43+G46+G49+G52+G55+G58+G61+G67+G70+G73+G76</f>
        <v>570762914802.68091</v>
      </c>
      <c r="H79" s="813"/>
      <c r="I79" s="814"/>
      <c r="J79" s="815">
        <f>IF(M79=0,0,M79-G79)</f>
        <v>-122950875307.49048</v>
      </c>
      <c r="K79" s="816"/>
      <c r="L79" s="817"/>
      <c r="M79" s="818">
        <f>M16+M19+M22+M25+M28+M37+M40+M43+M46+M49+M52+M55+M58+M61+M67+M70+M73+M76</f>
        <v>447812039495.19043</v>
      </c>
      <c r="N79" s="819"/>
      <c r="O79" s="820"/>
      <c r="P79" s="821" t="s">
        <v>801</v>
      </c>
      <c r="Q79" s="821"/>
      <c r="R79" s="822"/>
      <c r="S79" s="806"/>
      <c r="T79" s="807"/>
      <c r="U79" s="808"/>
      <c r="V79" s="380"/>
      <c r="W79" s="381"/>
      <c r="X79" s="382"/>
      <c r="Y79" s="370"/>
      <c r="Z79" s="371"/>
      <c r="AA79" s="369"/>
    </row>
    <row r="80" spans="1:27" s="353" customFormat="1" ht="20.25" customHeight="1" thickBot="1">
      <c r="A80" s="792"/>
      <c r="B80" s="793"/>
      <c r="C80" s="793"/>
      <c r="D80" s="793"/>
      <c r="E80" s="793"/>
      <c r="F80" s="793"/>
      <c r="G80" s="823"/>
      <c r="H80" s="758"/>
      <c r="I80" s="759"/>
      <c r="J80" s="757">
        <f t="shared" si="0"/>
        <v>0</v>
      </c>
      <c r="K80" s="758"/>
      <c r="L80" s="759"/>
      <c r="M80" s="757"/>
      <c r="N80" s="758"/>
      <c r="O80" s="759"/>
      <c r="P80" s="760" t="s">
        <v>802</v>
      </c>
      <c r="Q80" s="760"/>
      <c r="R80" s="761"/>
      <c r="S80" s="809"/>
      <c r="T80" s="810"/>
      <c r="U80" s="811"/>
      <c r="V80" s="399"/>
      <c r="W80" s="370"/>
      <c r="X80" s="370"/>
      <c r="Y80" s="370"/>
      <c r="Z80" s="371"/>
      <c r="AA80" s="369"/>
    </row>
    <row r="81" spans="1:27" ht="9.9499999999999993" customHeight="1" thickBot="1">
      <c r="A81" s="762"/>
      <c r="B81" s="762"/>
      <c r="C81" s="762"/>
      <c r="D81" s="762"/>
      <c r="E81" s="762"/>
      <c r="F81" s="762"/>
      <c r="G81" s="762"/>
      <c r="H81" s="762"/>
      <c r="I81" s="762"/>
      <c r="J81" s="762"/>
      <c r="K81" s="762"/>
      <c r="L81" s="762"/>
      <c r="M81" s="762"/>
      <c r="N81" s="762"/>
      <c r="O81" s="762"/>
      <c r="P81" s="762"/>
      <c r="Q81" s="762"/>
      <c r="R81" s="762"/>
      <c r="S81" s="762"/>
      <c r="T81" s="762"/>
      <c r="U81" s="762"/>
      <c r="Z81" s="371"/>
    </row>
    <row r="82" spans="1:27" s="353" customFormat="1" ht="20.100000000000001" customHeight="1">
      <c r="A82" s="784" t="s">
        <v>821</v>
      </c>
      <c r="B82" s="785"/>
      <c r="C82" s="785"/>
      <c r="D82" s="785"/>
      <c r="E82" s="785"/>
      <c r="F82" s="785"/>
      <c r="G82" s="785"/>
      <c r="H82" s="786" t="s">
        <v>822</v>
      </c>
      <c r="I82" s="786"/>
      <c r="J82" s="786"/>
      <c r="K82" s="786"/>
      <c r="L82" s="786"/>
      <c r="M82" s="786"/>
      <c r="N82" s="786"/>
      <c r="O82" s="785" t="s">
        <v>823</v>
      </c>
      <c r="P82" s="785"/>
      <c r="Q82" s="785"/>
      <c r="R82" s="785"/>
      <c r="S82" s="785"/>
      <c r="T82" s="785"/>
      <c r="U82" s="787"/>
      <c r="V82" s="352"/>
      <c r="W82" s="370"/>
      <c r="X82" s="370"/>
      <c r="Y82" s="370"/>
      <c r="Z82" s="371"/>
      <c r="AA82" s="369"/>
    </row>
    <row r="83" spans="1:27" ht="20.100000000000001" customHeight="1" thickBot="1">
      <c r="A83" s="763"/>
      <c r="B83" s="764"/>
      <c r="C83" s="764"/>
      <c r="D83" s="764"/>
      <c r="E83" s="764"/>
      <c r="F83" s="764"/>
      <c r="G83" s="764"/>
      <c r="H83" s="764"/>
      <c r="I83" s="764"/>
      <c r="J83" s="764"/>
      <c r="K83" s="764"/>
      <c r="L83" s="764"/>
      <c r="M83" s="764"/>
      <c r="N83" s="764"/>
      <c r="O83" s="764"/>
      <c r="P83" s="764"/>
      <c r="Q83" s="764"/>
      <c r="R83" s="764"/>
      <c r="S83" s="764"/>
      <c r="T83" s="764"/>
      <c r="U83" s="765"/>
    </row>
    <row r="84" spans="1:27" s="363" customFormat="1" ht="20.100000000000001" customHeight="1">
      <c r="V84" s="352"/>
      <c r="W84" s="367"/>
      <c r="X84" s="367"/>
      <c r="Y84" s="367"/>
      <c r="Z84" s="368"/>
      <c r="AA84" s="369"/>
    </row>
    <row r="85" spans="1:27" s="363" customFormat="1" ht="20.100000000000001" customHeight="1">
      <c r="W85" s="367"/>
      <c r="X85" s="367"/>
      <c r="Y85" s="367"/>
      <c r="Z85" s="368"/>
      <c r="AA85" s="369"/>
    </row>
    <row r="86" spans="1:27" s="363" customFormat="1" ht="20.100000000000001" customHeight="1">
      <c r="W86" s="367"/>
      <c r="X86" s="367"/>
      <c r="Y86" s="367"/>
      <c r="Z86" s="368"/>
      <c r="AA86" s="369"/>
    </row>
    <row r="87" spans="1:27" s="363" customFormat="1" ht="20.100000000000001" customHeight="1">
      <c r="W87" s="367"/>
      <c r="X87" s="367"/>
      <c r="Y87" s="367"/>
      <c r="Z87" s="368"/>
      <c r="AA87" s="369"/>
    </row>
  </sheetData>
  <mergeCells count="385">
    <mergeCell ref="S24:U26"/>
    <mergeCell ref="G25:I25"/>
    <mergeCell ref="J25:L25"/>
    <mergeCell ref="M25:O25"/>
    <mergeCell ref="P25:R25"/>
    <mergeCell ref="G26:I26"/>
    <mergeCell ref="J26:L26"/>
    <mergeCell ref="M26:O26"/>
    <mergeCell ref="P26:R26"/>
    <mergeCell ref="A33:A35"/>
    <mergeCell ref="B33:F35"/>
    <mergeCell ref="G33:I33"/>
    <mergeCell ref="J33:L33"/>
    <mergeCell ref="M33:O33"/>
    <mergeCell ref="P33:R33"/>
    <mergeCell ref="A30:A32"/>
    <mergeCell ref="B30:F32"/>
    <mergeCell ref="A27:A29"/>
    <mergeCell ref="B27:F29"/>
    <mergeCell ref="G27:I27"/>
    <mergeCell ref="J27:L27"/>
    <mergeCell ref="M27:O27"/>
    <mergeCell ref="G29:I29"/>
    <mergeCell ref="J29:L29"/>
    <mergeCell ref="M29:O29"/>
    <mergeCell ref="P29:R29"/>
    <mergeCell ref="P27:R27"/>
    <mergeCell ref="A1:E3"/>
    <mergeCell ref="F1:P3"/>
    <mergeCell ref="Q1:U3"/>
    <mergeCell ref="A4:C4"/>
    <mergeCell ref="D4:E4"/>
    <mergeCell ref="F4:H4"/>
    <mergeCell ref="I4:J4"/>
    <mergeCell ref="K4:L4"/>
    <mergeCell ref="M4:N4"/>
    <mergeCell ref="O4:P4"/>
    <mergeCell ref="Q4:U4"/>
    <mergeCell ref="A5:C5"/>
    <mergeCell ref="D5:E5"/>
    <mergeCell ref="F5:H5"/>
    <mergeCell ref="I5:J5"/>
    <mergeCell ref="K5:L5"/>
    <mergeCell ref="M5:N5"/>
    <mergeCell ref="O5:P5"/>
    <mergeCell ref="Q5:U5"/>
    <mergeCell ref="A6:U6"/>
    <mergeCell ref="A7:U7"/>
    <mergeCell ref="A8:U8"/>
    <mergeCell ref="A9:C9"/>
    <mergeCell ref="D9:G9"/>
    <mergeCell ref="H9:J9"/>
    <mergeCell ref="K9:N9"/>
    <mergeCell ref="O9:Q9"/>
    <mergeCell ref="R9:U9"/>
    <mergeCell ref="A11:C11"/>
    <mergeCell ref="D11:G11"/>
    <mergeCell ref="H11:J11"/>
    <mergeCell ref="K11:N11"/>
    <mergeCell ref="O11:Q11"/>
    <mergeCell ref="R11:U11"/>
    <mergeCell ref="A10:C10"/>
    <mergeCell ref="D10:G10"/>
    <mergeCell ref="H10:J10"/>
    <mergeCell ref="K10:N10"/>
    <mergeCell ref="O10:Q10"/>
    <mergeCell ref="R10:U10"/>
    <mergeCell ref="A15:A17"/>
    <mergeCell ref="B15:F17"/>
    <mergeCell ref="G15:I15"/>
    <mergeCell ref="J15:L15"/>
    <mergeCell ref="M15:O15"/>
    <mergeCell ref="P15:R15"/>
    <mergeCell ref="A12:U12"/>
    <mergeCell ref="A13:A14"/>
    <mergeCell ref="B13:F14"/>
    <mergeCell ref="G13:O13"/>
    <mergeCell ref="P13:R14"/>
    <mergeCell ref="S13:U14"/>
    <mergeCell ref="G14:I14"/>
    <mergeCell ref="J14:L14"/>
    <mergeCell ref="M14:O14"/>
    <mergeCell ref="S15:U17"/>
    <mergeCell ref="G16:I16"/>
    <mergeCell ref="J16:L16"/>
    <mergeCell ref="M16:O16"/>
    <mergeCell ref="P16:R16"/>
    <mergeCell ref="G17:I17"/>
    <mergeCell ref="J17:L17"/>
    <mergeCell ref="M17:O17"/>
    <mergeCell ref="P17:R17"/>
    <mergeCell ref="P18:R18"/>
    <mergeCell ref="S21:U23"/>
    <mergeCell ref="G22:I22"/>
    <mergeCell ref="J22:L22"/>
    <mergeCell ref="S18:U20"/>
    <mergeCell ref="G19:I19"/>
    <mergeCell ref="J19:L19"/>
    <mergeCell ref="M19:O19"/>
    <mergeCell ref="P19:R19"/>
    <mergeCell ref="G20:I20"/>
    <mergeCell ref="J20:L20"/>
    <mergeCell ref="M20:O20"/>
    <mergeCell ref="P20:R20"/>
    <mergeCell ref="M22:O22"/>
    <mergeCell ref="P22:R22"/>
    <mergeCell ref="G23:I23"/>
    <mergeCell ref="J23:L23"/>
    <mergeCell ref="M23:O23"/>
    <mergeCell ref="P23:R23"/>
    <mergeCell ref="P21:R21"/>
    <mergeCell ref="A18:A20"/>
    <mergeCell ref="B18:F20"/>
    <mergeCell ref="G18:I18"/>
    <mergeCell ref="J18:L18"/>
    <mergeCell ref="M18:O18"/>
    <mergeCell ref="A21:A23"/>
    <mergeCell ref="B21:F23"/>
    <mergeCell ref="G21:I21"/>
    <mergeCell ref="J21:L21"/>
    <mergeCell ref="M21:O21"/>
    <mergeCell ref="A24:A26"/>
    <mergeCell ref="B24:F26"/>
    <mergeCell ref="G24:I24"/>
    <mergeCell ref="J24:L24"/>
    <mergeCell ref="M24:O24"/>
    <mergeCell ref="P24:R24"/>
    <mergeCell ref="S30:U32"/>
    <mergeCell ref="G31:I31"/>
    <mergeCell ref="J31:L31"/>
    <mergeCell ref="M31:O31"/>
    <mergeCell ref="P31:R31"/>
    <mergeCell ref="G32:I32"/>
    <mergeCell ref="J32:L32"/>
    <mergeCell ref="M32:O32"/>
    <mergeCell ref="P32:R32"/>
    <mergeCell ref="G30:I30"/>
    <mergeCell ref="J30:L30"/>
    <mergeCell ref="M30:O30"/>
    <mergeCell ref="P30:R30"/>
    <mergeCell ref="S27:U29"/>
    <mergeCell ref="G28:I28"/>
    <mergeCell ref="J28:L28"/>
    <mergeCell ref="M28:O28"/>
    <mergeCell ref="P28:R28"/>
    <mergeCell ref="S33:U35"/>
    <mergeCell ref="G34:I34"/>
    <mergeCell ref="J34:L34"/>
    <mergeCell ref="M34:O34"/>
    <mergeCell ref="P34:R34"/>
    <mergeCell ref="G35:I35"/>
    <mergeCell ref="J35:L35"/>
    <mergeCell ref="M35:O35"/>
    <mergeCell ref="P35:R35"/>
    <mergeCell ref="A36:A38"/>
    <mergeCell ref="B36:F38"/>
    <mergeCell ref="G36:I36"/>
    <mergeCell ref="J36:L36"/>
    <mergeCell ref="M36:O36"/>
    <mergeCell ref="P36:R36"/>
    <mergeCell ref="S39:U41"/>
    <mergeCell ref="G40:I40"/>
    <mergeCell ref="J40:L40"/>
    <mergeCell ref="S36:U38"/>
    <mergeCell ref="G37:I37"/>
    <mergeCell ref="J37:L37"/>
    <mergeCell ref="M37:O37"/>
    <mergeCell ref="P37:R37"/>
    <mergeCell ref="G38:I38"/>
    <mergeCell ref="J38:L38"/>
    <mergeCell ref="M38:O38"/>
    <mergeCell ref="P38:R38"/>
    <mergeCell ref="M40:O40"/>
    <mergeCell ref="P40:R40"/>
    <mergeCell ref="G41:I41"/>
    <mergeCell ref="J41:L41"/>
    <mergeCell ref="M41:O41"/>
    <mergeCell ref="P41:R41"/>
    <mergeCell ref="A45:A47"/>
    <mergeCell ref="B45:F47"/>
    <mergeCell ref="G45:I45"/>
    <mergeCell ref="J45:L45"/>
    <mergeCell ref="M45:O45"/>
    <mergeCell ref="P45:R45"/>
    <mergeCell ref="A42:A44"/>
    <mergeCell ref="B42:F44"/>
    <mergeCell ref="A39:A41"/>
    <mergeCell ref="B39:F41"/>
    <mergeCell ref="G39:I39"/>
    <mergeCell ref="J39:L39"/>
    <mergeCell ref="M39:O39"/>
    <mergeCell ref="P39:R39"/>
    <mergeCell ref="S42:U44"/>
    <mergeCell ref="G43:I43"/>
    <mergeCell ref="J43:L43"/>
    <mergeCell ref="M43:O43"/>
    <mergeCell ref="P43:R43"/>
    <mergeCell ref="G44:I44"/>
    <mergeCell ref="J44:L44"/>
    <mergeCell ref="M44:O44"/>
    <mergeCell ref="P44:R44"/>
    <mergeCell ref="G42:I42"/>
    <mergeCell ref="J42:L42"/>
    <mergeCell ref="M42:O42"/>
    <mergeCell ref="P42:R42"/>
    <mergeCell ref="S45:U47"/>
    <mergeCell ref="G46:I46"/>
    <mergeCell ref="J46:L46"/>
    <mergeCell ref="M46:O46"/>
    <mergeCell ref="P46:R46"/>
    <mergeCell ref="G47:I47"/>
    <mergeCell ref="J47:L47"/>
    <mergeCell ref="M47:O47"/>
    <mergeCell ref="P47:R47"/>
    <mergeCell ref="A48:A50"/>
    <mergeCell ref="B48:F50"/>
    <mergeCell ref="G48:I48"/>
    <mergeCell ref="J48:L48"/>
    <mergeCell ref="M48:O48"/>
    <mergeCell ref="P48:R48"/>
    <mergeCell ref="S51:U53"/>
    <mergeCell ref="G52:I52"/>
    <mergeCell ref="J52:L52"/>
    <mergeCell ref="S48:U50"/>
    <mergeCell ref="G49:I49"/>
    <mergeCell ref="J49:L49"/>
    <mergeCell ref="M49:O49"/>
    <mergeCell ref="P49:R49"/>
    <mergeCell ref="G50:I50"/>
    <mergeCell ref="J50:L50"/>
    <mergeCell ref="M50:O50"/>
    <mergeCell ref="P50:R50"/>
    <mergeCell ref="M52:O52"/>
    <mergeCell ref="P52:R52"/>
    <mergeCell ref="G53:I53"/>
    <mergeCell ref="J53:L53"/>
    <mergeCell ref="M53:O53"/>
    <mergeCell ref="P53:R53"/>
    <mergeCell ref="A57:A59"/>
    <mergeCell ref="B57:F59"/>
    <mergeCell ref="G57:I57"/>
    <mergeCell ref="J57:L57"/>
    <mergeCell ref="M57:O57"/>
    <mergeCell ref="P57:R57"/>
    <mergeCell ref="A54:A56"/>
    <mergeCell ref="B54:F56"/>
    <mergeCell ref="A51:A53"/>
    <mergeCell ref="B51:F53"/>
    <mergeCell ref="G51:I51"/>
    <mergeCell ref="J51:L51"/>
    <mergeCell ref="M51:O51"/>
    <mergeCell ref="P51:R51"/>
    <mergeCell ref="S54:U56"/>
    <mergeCell ref="G55:I55"/>
    <mergeCell ref="J55:L55"/>
    <mergeCell ref="M55:O55"/>
    <mergeCell ref="P55:R55"/>
    <mergeCell ref="G56:I56"/>
    <mergeCell ref="J56:L56"/>
    <mergeCell ref="M56:O56"/>
    <mergeCell ref="P56:R56"/>
    <mergeCell ref="G54:I54"/>
    <mergeCell ref="J54:L54"/>
    <mergeCell ref="M54:O54"/>
    <mergeCell ref="P54:R54"/>
    <mergeCell ref="S57:U59"/>
    <mergeCell ref="G58:I58"/>
    <mergeCell ref="J58:L58"/>
    <mergeCell ref="M58:O58"/>
    <mergeCell ref="P58:R58"/>
    <mergeCell ref="G59:I59"/>
    <mergeCell ref="J59:L59"/>
    <mergeCell ref="M59:O59"/>
    <mergeCell ref="P59:R59"/>
    <mergeCell ref="A60:A62"/>
    <mergeCell ref="B60:F62"/>
    <mergeCell ref="G60:I60"/>
    <mergeCell ref="J60:L60"/>
    <mergeCell ref="M60:O60"/>
    <mergeCell ref="P60:R60"/>
    <mergeCell ref="S63:U65"/>
    <mergeCell ref="G64:I64"/>
    <mergeCell ref="J64:L64"/>
    <mergeCell ref="S60:U62"/>
    <mergeCell ref="G61:I61"/>
    <mergeCell ref="J61:L61"/>
    <mergeCell ref="M61:O61"/>
    <mergeCell ref="P61:R61"/>
    <mergeCell ref="G62:I62"/>
    <mergeCell ref="J62:L62"/>
    <mergeCell ref="M62:O62"/>
    <mergeCell ref="P62:R62"/>
    <mergeCell ref="M64:O64"/>
    <mergeCell ref="P64:R64"/>
    <mergeCell ref="G65:I65"/>
    <mergeCell ref="J65:L65"/>
    <mergeCell ref="M65:O65"/>
    <mergeCell ref="P65:R65"/>
    <mergeCell ref="A69:A71"/>
    <mergeCell ref="B69:F71"/>
    <mergeCell ref="G69:I69"/>
    <mergeCell ref="J69:L69"/>
    <mergeCell ref="M69:O69"/>
    <mergeCell ref="P69:R69"/>
    <mergeCell ref="A66:A68"/>
    <mergeCell ref="B66:F68"/>
    <mergeCell ref="A63:A65"/>
    <mergeCell ref="B63:F65"/>
    <mergeCell ref="G63:I63"/>
    <mergeCell ref="J63:L63"/>
    <mergeCell ref="M63:O63"/>
    <mergeCell ref="P63:R63"/>
    <mergeCell ref="S66:U68"/>
    <mergeCell ref="G67:I67"/>
    <mergeCell ref="J67:L67"/>
    <mergeCell ref="M67:O67"/>
    <mergeCell ref="P67:R67"/>
    <mergeCell ref="G68:I68"/>
    <mergeCell ref="J68:L68"/>
    <mergeCell ref="M68:O68"/>
    <mergeCell ref="P68:R68"/>
    <mergeCell ref="G66:I66"/>
    <mergeCell ref="J66:L66"/>
    <mergeCell ref="M66:O66"/>
    <mergeCell ref="P66:R66"/>
    <mergeCell ref="J77:L77"/>
    <mergeCell ref="M77:O77"/>
    <mergeCell ref="P77:R77"/>
    <mergeCell ref="S69:U71"/>
    <mergeCell ref="G70:I70"/>
    <mergeCell ref="J70:L70"/>
    <mergeCell ref="M70:O70"/>
    <mergeCell ref="P70:R70"/>
    <mergeCell ref="G71:I71"/>
    <mergeCell ref="J71:L71"/>
    <mergeCell ref="M71:O71"/>
    <mergeCell ref="P71:R71"/>
    <mergeCell ref="P79:R79"/>
    <mergeCell ref="G80:I80"/>
    <mergeCell ref="J80:L80"/>
    <mergeCell ref="S75:U77"/>
    <mergeCell ref="A72:A74"/>
    <mergeCell ref="B72:F74"/>
    <mergeCell ref="G72:I72"/>
    <mergeCell ref="J72:L72"/>
    <mergeCell ref="M72:O72"/>
    <mergeCell ref="P72:R72"/>
    <mergeCell ref="G76:I76"/>
    <mergeCell ref="J76:L76"/>
    <mergeCell ref="S72:U74"/>
    <mergeCell ref="G73:I73"/>
    <mergeCell ref="J73:L73"/>
    <mergeCell ref="M73:O73"/>
    <mergeCell ref="P73:R73"/>
    <mergeCell ref="G74:I74"/>
    <mergeCell ref="J74:L74"/>
    <mergeCell ref="M74:O74"/>
    <mergeCell ref="P74:R74"/>
    <mergeCell ref="M76:O76"/>
    <mergeCell ref="P76:R76"/>
    <mergeCell ref="G77:I77"/>
    <mergeCell ref="M80:O80"/>
    <mergeCell ref="P80:R80"/>
    <mergeCell ref="A81:U81"/>
    <mergeCell ref="A83:G83"/>
    <mergeCell ref="H83:N83"/>
    <mergeCell ref="O83:U83"/>
    <mergeCell ref="A75:A77"/>
    <mergeCell ref="B75:F77"/>
    <mergeCell ref="G75:I75"/>
    <mergeCell ref="J75:L75"/>
    <mergeCell ref="M75:O75"/>
    <mergeCell ref="P75:R75"/>
    <mergeCell ref="A82:G82"/>
    <mergeCell ref="H82:N82"/>
    <mergeCell ref="O82:U82"/>
    <mergeCell ref="A78:F80"/>
    <mergeCell ref="G78:I78"/>
    <mergeCell ref="J78:L78"/>
    <mergeCell ref="M78:O78"/>
    <mergeCell ref="P78:R78"/>
    <mergeCell ref="S78:U80"/>
    <mergeCell ref="G79:I79"/>
    <mergeCell ref="J79:L79"/>
    <mergeCell ref="M79:O79"/>
  </mergeCells>
  <printOptions horizontalCentered="1"/>
  <pageMargins left="0" right="0" top="0.1" bottom="0.1" header="0" footer="0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6"/>
  <sheetViews>
    <sheetView rightToLeft="1" view="pageBreakPreview" zoomScale="80" zoomScaleNormal="100" zoomScaleSheetLayoutView="80" workbookViewId="0">
      <selection activeCell="D9" sqref="A9:U11"/>
    </sheetView>
  </sheetViews>
  <sheetFormatPr defaultColWidth="5.4375" defaultRowHeight="20.100000000000001" customHeight="1"/>
  <cols>
    <col min="1" max="8" width="5.4375" style="352"/>
    <col min="9" max="12" width="7" style="352" customWidth="1"/>
    <col min="13" max="14" width="5.4375" style="352"/>
    <col min="15" max="15" width="6.6875" style="352" customWidth="1"/>
    <col min="16" max="19" width="5.4375" style="352"/>
    <col min="20" max="20" width="5.875" style="352" customWidth="1"/>
    <col min="21" max="22" width="5.4375" style="352"/>
    <col min="23" max="23" width="16.875" style="363" bestFit="1" customWidth="1"/>
    <col min="24" max="25" width="15.6875" style="363" customWidth="1"/>
    <col min="26" max="26" width="13.875" style="363" bestFit="1" customWidth="1"/>
    <col min="27" max="28" width="5.4375" style="363"/>
    <col min="29" max="29" width="14.4375" style="363" bestFit="1" customWidth="1"/>
    <col min="30" max="16384" width="5.4375" style="352"/>
  </cols>
  <sheetData>
    <row r="1" spans="1:29" ht="18" customHeight="1">
      <c r="A1" s="680"/>
      <c r="B1" s="681"/>
      <c r="C1" s="681"/>
      <c r="D1" s="681"/>
      <c r="E1" s="938"/>
      <c r="F1" s="944"/>
      <c r="G1" s="944"/>
      <c r="H1" s="944"/>
      <c r="I1" s="944"/>
      <c r="J1" s="944"/>
      <c r="K1" s="944"/>
      <c r="L1" s="944"/>
      <c r="M1" s="944"/>
      <c r="N1" s="944"/>
      <c r="O1" s="944"/>
      <c r="P1" s="945"/>
      <c r="Q1" s="681"/>
      <c r="R1" s="681"/>
      <c r="S1" s="681"/>
      <c r="T1" s="681"/>
      <c r="U1" s="682"/>
    </row>
    <row r="2" spans="1:29" ht="18" customHeight="1">
      <c r="A2" s="939"/>
      <c r="B2" s="679"/>
      <c r="C2" s="679"/>
      <c r="D2" s="679"/>
      <c r="E2" s="940"/>
      <c r="F2" s="946"/>
      <c r="G2" s="946"/>
      <c r="H2" s="946"/>
      <c r="I2" s="946"/>
      <c r="J2" s="946"/>
      <c r="K2" s="946"/>
      <c r="L2" s="946"/>
      <c r="M2" s="946"/>
      <c r="N2" s="946"/>
      <c r="O2" s="946"/>
      <c r="P2" s="947"/>
      <c r="Q2" s="679"/>
      <c r="R2" s="679"/>
      <c r="S2" s="679"/>
      <c r="T2" s="679"/>
      <c r="U2" s="950"/>
    </row>
    <row r="3" spans="1:29" ht="18.75" customHeight="1" thickBot="1">
      <c r="A3" s="941"/>
      <c r="B3" s="942"/>
      <c r="C3" s="942"/>
      <c r="D3" s="942"/>
      <c r="E3" s="943"/>
      <c r="F3" s="948"/>
      <c r="G3" s="948"/>
      <c r="H3" s="948"/>
      <c r="I3" s="948"/>
      <c r="J3" s="948"/>
      <c r="K3" s="948"/>
      <c r="L3" s="948"/>
      <c r="M3" s="948"/>
      <c r="N3" s="948"/>
      <c r="O3" s="948"/>
      <c r="P3" s="949"/>
      <c r="Q3" s="942"/>
      <c r="R3" s="942"/>
      <c r="S3" s="942"/>
      <c r="T3" s="942"/>
      <c r="U3" s="951"/>
    </row>
    <row r="4" spans="1:29" s="353" customFormat="1" ht="18" hidden="1">
      <c r="A4" s="952" t="s">
        <v>767</v>
      </c>
      <c r="B4" s="953"/>
      <c r="C4" s="954"/>
      <c r="D4" s="955" t="s">
        <v>768</v>
      </c>
      <c r="E4" s="955"/>
      <c r="F4" s="956" t="s">
        <v>769</v>
      </c>
      <c r="G4" s="953"/>
      <c r="H4" s="954"/>
      <c r="I4" s="955" t="s">
        <v>770</v>
      </c>
      <c r="J4" s="955"/>
      <c r="K4" s="955" t="s">
        <v>771</v>
      </c>
      <c r="L4" s="955"/>
      <c r="M4" s="955" t="s">
        <v>772</v>
      </c>
      <c r="N4" s="955"/>
      <c r="O4" s="955" t="s">
        <v>773</v>
      </c>
      <c r="P4" s="955"/>
      <c r="Q4" s="755" t="s">
        <v>774</v>
      </c>
      <c r="R4" s="690"/>
      <c r="S4" s="690"/>
      <c r="T4" s="690"/>
      <c r="U4" s="756"/>
      <c r="W4" s="369"/>
      <c r="X4" s="369"/>
      <c r="Y4" s="369"/>
      <c r="Z4" s="369"/>
      <c r="AA4" s="369"/>
      <c r="AB4" s="369"/>
      <c r="AC4" s="369"/>
    </row>
    <row r="5" spans="1:29" s="353" customFormat="1" ht="18.399999999999999" hidden="1" thickBot="1">
      <c r="A5" s="717" t="str">
        <f>[1]Cover!A5</f>
        <v>00</v>
      </c>
      <c r="B5" s="936"/>
      <c r="C5" s="718"/>
      <c r="D5" s="719" t="str">
        <f>[1]Cover!C5</f>
        <v>01</v>
      </c>
      <c r="E5" s="718"/>
      <c r="F5" s="720" t="str">
        <f>[1]Cover!E5</f>
        <v>025</v>
      </c>
      <c r="G5" s="937"/>
      <c r="H5" s="721"/>
      <c r="I5" s="720" t="str">
        <f>[1]Cover!G5</f>
        <v>ST</v>
      </c>
      <c r="J5" s="721"/>
      <c r="K5" s="720" t="str">
        <f>[1]Cover!I5</f>
        <v>ECO</v>
      </c>
      <c r="L5" s="721"/>
      <c r="M5" s="720">
        <f>[1]Cover!K5</f>
        <v>18</v>
      </c>
      <c r="N5" s="721"/>
      <c r="O5" s="722">
        <f>[1]Cover!M5</f>
        <v>95210</v>
      </c>
      <c r="P5" s="722"/>
      <c r="Q5" s="723" t="str">
        <f>"صفحه 4 از "&amp;[1]Cover!S5</f>
        <v>صفحه 4 از 24</v>
      </c>
      <c r="R5" s="651"/>
      <c r="S5" s="651"/>
      <c r="T5" s="651"/>
      <c r="U5" s="724"/>
      <c r="W5" s="369"/>
      <c r="X5" s="369"/>
      <c r="Y5" s="369"/>
      <c r="Z5" s="369"/>
      <c r="AA5" s="369"/>
      <c r="AB5" s="369"/>
      <c r="AC5" s="369"/>
    </row>
    <row r="6" spans="1:29" ht="9.9499999999999993" customHeight="1">
      <c r="A6" s="679"/>
      <c r="B6" s="679"/>
      <c r="C6" s="679"/>
      <c r="D6" s="679"/>
      <c r="E6" s="679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</row>
    <row r="7" spans="1:29" ht="20.100000000000001" customHeight="1">
      <c r="A7" s="996" t="s">
        <v>851</v>
      </c>
      <c r="B7" s="996"/>
      <c r="C7" s="996"/>
      <c r="D7" s="996"/>
      <c r="E7" s="996"/>
      <c r="F7" s="996"/>
      <c r="G7" s="996"/>
      <c r="H7" s="996"/>
      <c r="I7" s="996"/>
      <c r="J7" s="996"/>
      <c r="K7" s="996"/>
      <c r="L7" s="996"/>
      <c r="M7" s="996"/>
      <c r="N7" s="996"/>
      <c r="O7" s="996"/>
      <c r="P7" s="996"/>
      <c r="Q7" s="996"/>
      <c r="R7" s="996"/>
      <c r="S7" s="996"/>
      <c r="T7" s="996"/>
      <c r="U7" s="996"/>
    </row>
    <row r="8" spans="1:29" ht="9.9499999999999993" customHeight="1" thickBot="1">
      <c r="A8" s="916"/>
      <c r="B8" s="916"/>
      <c r="C8" s="916"/>
      <c r="D8" s="916"/>
      <c r="E8" s="916"/>
      <c r="F8" s="916"/>
      <c r="G8" s="916"/>
      <c r="H8" s="916"/>
      <c r="I8" s="916"/>
      <c r="J8" s="916"/>
      <c r="K8" s="916"/>
      <c r="L8" s="916"/>
      <c r="M8" s="916"/>
      <c r="N8" s="916"/>
      <c r="O8" s="916"/>
      <c r="P8" s="916"/>
      <c r="Q8" s="916"/>
      <c r="R8" s="916"/>
      <c r="S8" s="916"/>
      <c r="T8" s="916"/>
      <c r="U8" s="916"/>
    </row>
    <row r="9" spans="1:29" s="353" customFormat="1" ht="30.75" customHeight="1">
      <c r="A9" s="689" t="s">
        <v>13</v>
      </c>
      <c r="B9" s="690"/>
      <c r="C9" s="1231"/>
      <c r="D9" s="917" t="s">
        <v>783</v>
      </c>
      <c r="E9" s="690"/>
      <c r="F9" s="690"/>
      <c r="G9" s="756"/>
      <c r="H9" s="689" t="s">
        <v>784</v>
      </c>
      <c r="I9" s="690"/>
      <c r="J9" s="1231"/>
      <c r="K9" s="918" t="s">
        <v>17</v>
      </c>
      <c r="L9" s="919"/>
      <c r="M9" s="919"/>
      <c r="N9" s="920"/>
      <c r="O9" s="689" t="s">
        <v>785</v>
      </c>
      <c r="P9" s="690"/>
      <c r="Q9" s="1231"/>
      <c r="R9" s="1230" t="s">
        <v>847</v>
      </c>
      <c r="S9" s="921"/>
      <c r="T9" s="921"/>
      <c r="U9" s="922"/>
      <c r="W9" s="369"/>
      <c r="X9" s="369"/>
      <c r="Y9" s="369"/>
      <c r="Z9" s="369"/>
      <c r="AA9" s="369"/>
      <c r="AB9" s="369"/>
      <c r="AC9" s="369"/>
    </row>
    <row r="10" spans="1:29" s="353" customFormat="1" ht="30" customHeight="1">
      <c r="A10" s="1223" t="s">
        <v>8</v>
      </c>
      <c r="B10" s="662"/>
      <c r="C10" s="1224"/>
      <c r="D10" s="932" t="s">
        <v>844</v>
      </c>
      <c r="E10" s="933"/>
      <c r="F10" s="933"/>
      <c r="G10" s="934"/>
      <c r="H10" s="1223" t="s">
        <v>10</v>
      </c>
      <c r="I10" s="662"/>
      <c r="J10" s="1224"/>
      <c r="K10" s="661" t="s">
        <v>845</v>
      </c>
      <c r="L10" s="662"/>
      <c r="M10" s="662"/>
      <c r="N10" s="935"/>
      <c r="O10" s="1223" t="s">
        <v>9</v>
      </c>
      <c r="P10" s="662"/>
      <c r="Q10" s="1224"/>
      <c r="R10" s="661" t="s">
        <v>848</v>
      </c>
      <c r="S10" s="662"/>
      <c r="T10" s="662"/>
      <c r="U10" s="935"/>
      <c r="W10" s="369"/>
      <c r="X10" s="369"/>
      <c r="Y10" s="369"/>
      <c r="Z10" s="369"/>
      <c r="AA10" s="369"/>
      <c r="AB10" s="369"/>
      <c r="AC10" s="369"/>
    </row>
    <row r="11" spans="1:29" s="353" customFormat="1" ht="20.100000000000001" customHeight="1" thickBot="1">
      <c r="A11" s="1226" t="s">
        <v>786</v>
      </c>
      <c r="B11" s="651"/>
      <c r="C11" s="1227"/>
      <c r="D11" s="924" t="s">
        <v>787</v>
      </c>
      <c r="E11" s="925"/>
      <c r="F11" s="925"/>
      <c r="G11" s="926"/>
      <c r="H11" s="1228" t="s">
        <v>788</v>
      </c>
      <c r="I11" s="925"/>
      <c r="J11" s="1229"/>
      <c r="K11" s="650" t="s">
        <v>849</v>
      </c>
      <c r="L11" s="651"/>
      <c r="M11" s="651"/>
      <c r="N11" s="724"/>
      <c r="O11" s="1226" t="s">
        <v>789</v>
      </c>
      <c r="P11" s="651"/>
      <c r="Q11" s="1227"/>
      <c r="R11" s="1225" t="str">
        <f>'خلاصه مالي صورت وضعیت'!E5</f>
        <v>1403/06/10</v>
      </c>
      <c r="S11" s="929"/>
      <c r="T11" s="929"/>
      <c r="U11" s="930"/>
      <c r="W11" s="369"/>
      <c r="X11" s="369"/>
      <c r="Y11" s="369"/>
      <c r="Z11" s="369"/>
      <c r="AA11" s="369"/>
      <c r="AB11" s="369"/>
      <c r="AC11" s="369"/>
    </row>
    <row r="12" spans="1:29" ht="9.9499999999999993" customHeight="1" thickBot="1">
      <c r="A12" s="762"/>
      <c r="B12" s="762"/>
      <c r="C12" s="762"/>
      <c r="D12" s="762"/>
      <c r="E12" s="762"/>
      <c r="F12" s="762"/>
      <c r="G12" s="762"/>
      <c r="H12" s="762"/>
      <c r="I12" s="762"/>
      <c r="J12" s="762"/>
      <c r="K12" s="762"/>
      <c r="L12" s="762"/>
      <c r="M12" s="762"/>
      <c r="N12" s="762"/>
      <c r="O12" s="762"/>
      <c r="P12" s="762"/>
      <c r="Q12" s="762"/>
      <c r="R12" s="762"/>
      <c r="S12" s="762"/>
      <c r="T12" s="762"/>
      <c r="U12" s="762"/>
    </row>
    <row r="13" spans="1:29" s="353" customFormat="1" ht="20.100000000000001" customHeight="1">
      <c r="A13" s="893" t="s">
        <v>790</v>
      </c>
      <c r="B13" s="895" t="s">
        <v>791</v>
      </c>
      <c r="C13" s="896"/>
      <c r="D13" s="896"/>
      <c r="E13" s="896"/>
      <c r="F13" s="896"/>
      <c r="G13" s="899" t="s">
        <v>792</v>
      </c>
      <c r="H13" s="900"/>
      <c r="I13" s="900"/>
      <c r="J13" s="900"/>
      <c r="K13" s="900"/>
      <c r="L13" s="900"/>
      <c r="M13" s="900"/>
      <c r="N13" s="900"/>
      <c r="O13" s="900"/>
      <c r="P13" s="900" t="s">
        <v>793</v>
      </c>
      <c r="Q13" s="900"/>
      <c r="R13" s="901"/>
      <c r="S13" s="995" t="s">
        <v>824</v>
      </c>
      <c r="T13" s="900"/>
      <c r="U13" s="904"/>
      <c r="W13" s="369"/>
      <c r="X13" s="369"/>
      <c r="Y13" s="369"/>
      <c r="Z13" s="369"/>
      <c r="AA13" s="369"/>
      <c r="AB13" s="369"/>
      <c r="AC13" s="369"/>
    </row>
    <row r="14" spans="1:29" s="353" customFormat="1" ht="20.100000000000001" customHeight="1" thickBot="1">
      <c r="A14" s="894"/>
      <c r="B14" s="897"/>
      <c r="C14" s="898"/>
      <c r="D14" s="898"/>
      <c r="E14" s="898"/>
      <c r="F14" s="898"/>
      <c r="G14" s="907" t="s">
        <v>795</v>
      </c>
      <c r="H14" s="908"/>
      <c r="I14" s="908"/>
      <c r="J14" s="908" t="s">
        <v>796</v>
      </c>
      <c r="K14" s="908"/>
      <c r="L14" s="908"/>
      <c r="M14" s="908" t="s">
        <v>797</v>
      </c>
      <c r="N14" s="908"/>
      <c r="O14" s="908"/>
      <c r="P14" s="902"/>
      <c r="Q14" s="902"/>
      <c r="R14" s="903"/>
      <c r="S14" s="905"/>
      <c r="T14" s="902"/>
      <c r="U14" s="906"/>
      <c r="W14" s="369"/>
      <c r="X14" s="369"/>
      <c r="Y14" s="369"/>
      <c r="Z14" s="369"/>
      <c r="AA14" s="369"/>
      <c r="AB14" s="369"/>
      <c r="AC14" s="369"/>
    </row>
    <row r="15" spans="1:29" ht="14.1" customHeight="1" thickTop="1">
      <c r="A15" s="877" t="s">
        <v>733</v>
      </c>
      <c r="B15" s="857" t="s">
        <v>825</v>
      </c>
      <c r="C15" s="858"/>
      <c r="D15" s="858"/>
      <c r="E15" s="858"/>
      <c r="F15" s="858"/>
      <c r="G15" s="994">
        <f>'summary-2'!G27:I27</f>
        <v>5980200895.0908079</v>
      </c>
      <c r="H15" s="781"/>
      <c r="I15" s="781"/>
      <c r="J15" s="780">
        <f t="shared" ref="J15:J68" si="0">IF(M15=0,0,M15-G15)</f>
        <v>0</v>
      </c>
      <c r="K15" s="778"/>
      <c r="L15" s="779"/>
      <c r="M15" s="781">
        <f>'summary-2'!M27:O27</f>
        <v>5980200895.0908079</v>
      </c>
      <c r="N15" s="781"/>
      <c r="O15" s="781"/>
      <c r="P15" s="782" t="s">
        <v>800</v>
      </c>
      <c r="Q15" s="782"/>
      <c r="R15" s="881"/>
      <c r="S15" s="984" t="s">
        <v>826</v>
      </c>
      <c r="T15" s="985"/>
      <c r="U15" s="986"/>
      <c r="W15" s="369"/>
      <c r="X15" s="369"/>
    </row>
    <row r="16" spans="1:29" ht="14.1" customHeight="1">
      <c r="A16" s="878"/>
      <c r="B16" s="772"/>
      <c r="C16" s="687"/>
      <c r="D16" s="687"/>
      <c r="E16" s="687"/>
      <c r="F16" s="687"/>
      <c r="G16" s="839">
        <f>'summary-2'!G28:I28</f>
        <v>5879612814.3621197</v>
      </c>
      <c r="H16" s="840"/>
      <c r="I16" s="840"/>
      <c r="J16" s="835">
        <f t="shared" si="0"/>
        <v>107772943.63788033</v>
      </c>
      <c r="K16" s="646"/>
      <c r="L16" s="834"/>
      <c r="M16" s="840">
        <f>'summary-2'!M28:O28</f>
        <v>5987385758</v>
      </c>
      <c r="N16" s="840"/>
      <c r="O16" s="840"/>
      <c r="P16" s="841" t="s">
        <v>801</v>
      </c>
      <c r="Q16" s="841"/>
      <c r="R16" s="882"/>
      <c r="S16" s="987"/>
      <c r="T16" s="988"/>
      <c r="U16" s="989"/>
      <c r="W16" s="369"/>
      <c r="X16" s="369"/>
    </row>
    <row r="17" spans="1:29" ht="14.1" customHeight="1">
      <c r="A17" s="879"/>
      <c r="B17" s="774"/>
      <c r="C17" s="775"/>
      <c r="D17" s="775"/>
      <c r="E17" s="775"/>
      <c r="F17" s="775"/>
      <c r="G17" s="883"/>
      <c r="H17" s="847"/>
      <c r="I17" s="847"/>
      <c r="J17" s="846">
        <f t="shared" si="0"/>
        <v>0</v>
      </c>
      <c r="K17" s="844"/>
      <c r="L17" s="845"/>
      <c r="M17" s="847"/>
      <c r="N17" s="847"/>
      <c r="O17" s="847"/>
      <c r="P17" s="848" t="s">
        <v>802</v>
      </c>
      <c r="Q17" s="848"/>
      <c r="R17" s="884"/>
      <c r="S17" s="990"/>
      <c r="T17" s="991"/>
      <c r="U17" s="992"/>
      <c r="W17" s="369"/>
      <c r="X17" s="369"/>
    </row>
    <row r="18" spans="1:29" ht="14.1" customHeight="1">
      <c r="A18" s="980" t="s">
        <v>733</v>
      </c>
      <c r="B18" s="858" t="s">
        <v>804</v>
      </c>
      <c r="C18" s="858"/>
      <c r="D18" s="858"/>
      <c r="E18" s="858"/>
      <c r="F18" s="983"/>
      <c r="G18" s="832">
        <f>'summary-2'!G21:I21</f>
        <v>45144888612.5</v>
      </c>
      <c r="H18" s="833"/>
      <c r="I18" s="833"/>
      <c r="J18" s="780">
        <f t="shared" si="0"/>
        <v>2754197448.4999924</v>
      </c>
      <c r="K18" s="778"/>
      <c r="L18" s="779"/>
      <c r="M18" s="833">
        <f>'summary-2'!M21:O21</f>
        <v>47899086060.999992</v>
      </c>
      <c r="N18" s="833"/>
      <c r="O18" s="833"/>
      <c r="P18" s="891" t="s">
        <v>800</v>
      </c>
      <c r="Q18" s="891"/>
      <c r="R18" s="892"/>
      <c r="S18" s="984" t="s">
        <v>827</v>
      </c>
      <c r="T18" s="985"/>
      <c r="U18" s="986"/>
      <c r="W18" s="369"/>
      <c r="X18" s="369"/>
    </row>
    <row r="19" spans="1:29" ht="14.1" customHeight="1">
      <c r="A19" s="981"/>
      <c r="B19" s="687"/>
      <c r="C19" s="687"/>
      <c r="D19" s="687"/>
      <c r="E19" s="687"/>
      <c r="F19" s="773"/>
      <c r="G19" s="839">
        <f>'summary-2'!G22:I22</f>
        <v>34458003773.734001</v>
      </c>
      <c r="H19" s="840"/>
      <c r="I19" s="840"/>
      <c r="J19" s="835">
        <f t="shared" si="0"/>
        <v>-5079099338.1790009</v>
      </c>
      <c r="K19" s="646"/>
      <c r="L19" s="834"/>
      <c r="M19" s="835">
        <f>'summary-2'!M22:O22</f>
        <v>29378904435.555</v>
      </c>
      <c r="N19" s="646"/>
      <c r="O19" s="834"/>
      <c r="P19" s="841" t="s">
        <v>801</v>
      </c>
      <c r="Q19" s="841"/>
      <c r="R19" s="882"/>
      <c r="S19" s="987"/>
      <c r="T19" s="988"/>
      <c r="U19" s="989"/>
      <c r="W19" s="369"/>
      <c r="X19" s="369"/>
    </row>
    <row r="20" spans="1:29" ht="14.1" customHeight="1">
      <c r="A20" s="982"/>
      <c r="B20" s="775"/>
      <c r="C20" s="775"/>
      <c r="D20" s="775"/>
      <c r="E20" s="775"/>
      <c r="F20" s="776"/>
      <c r="G20" s="993"/>
      <c r="H20" s="854"/>
      <c r="I20" s="854"/>
      <c r="J20" s="846">
        <f t="shared" si="0"/>
        <v>0</v>
      </c>
      <c r="K20" s="844"/>
      <c r="L20" s="845"/>
      <c r="M20" s="846"/>
      <c r="N20" s="844"/>
      <c r="O20" s="845"/>
      <c r="P20" s="855" t="s">
        <v>802</v>
      </c>
      <c r="Q20" s="855"/>
      <c r="R20" s="915"/>
      <c r="S20" s="990"/>
      <c r="T20" s="991"/>
      <c r="U20" s="992"/>
      <c r="W20" s="369"/>
      <c r="X20" s="369"/>
    </row>
    <row r="21" spans="1:29" ht="14.1" hidden="1" customHeight="1">
      <c r="A21" s="767">
        <v>1</v>
      </c>
      <c r="B21" s="772" t="s">
        <v>805</v>
      </c>
      <c r="C21" s="687"/>
      <c r="D21" s="687"/>
      <c r="E21" s="687"/>
      <c r="F21" s="687"/>
      <c r="G21" s="777"/>
      <c r="H21" s="778"/>
      <c r="I21" s="779"/>
      <c r="J21" s="780">
        <f t="shared" si="0"/>
        <v>0</v>
      </c>
      <c r="K21" s="778"/>
      <c r="L21" s="779"/>
      <c r="M21" s="780">
        <f>'summary-2'!M30</f>
        <v>0</v>
      </c>
      <c r="N21" s="778"/>
      <c r="O21" s="779"/>
      <c r="P21" s="782" t="s">
        <v>800</v>
      </c>
      <c r="Q21" s="782"/>
      <c r="R21" s="881"/>
      <c r="S21" s="958" t="s">
        <v>828</v>
      </c>
      <c r="T21" s="959"/>
      <c r="U21" s="960"/>
      <c r="W21" s="369"/>
      <c r="X21" s="369"/>
      <c r="Y21" s="369"/>
      <c r="Z21" s="369"/>
    </row>
    <row r="22" spans="1:29" ht="14.1" hidden="1" customHeight="1">
      <c r="A22" s="767"/>
      <c r="B22" s="772"/>
      <c r="C22" s="687"/>
      <c r="D22" s="687"/>
      <c r="E22" s="687"/>
      <c r="F22" s="687"/>
      <c r="G22" s="645"/>
      <c r="H22" s="646"/>
      <c r="I22" s="834"/>
      <c r="J22" s="835">
        <f t="shared" si="0"/>
        <v>0</v>
      </c>
      <c r="K22" s="646"/>
      <c r="L22" s="834"/>
      <c r="M22" s="835">
        <f>'summary-2'!M31</f>
        <v>0</v>
      </c>
      <c r="N22" s="646"/>
      <c r="O22" s="834"/>
      <c r="P22" s="841" t="s">
        <v>801</v>
      </c>
      <c r="Q22" s="841"/>
      <c r="R22" s="882"/>
      <c r="S22" s="961"/>
      <c r="T22" s="962"/>
      <c r="U22" s="963"/>
      <c r="W22" s="369"/>
      <c r="X22" s="369"/>
      <c r="Y22" s="369"/>
    </row>
    <row r="23" spans="1:29" ht="14.1" hidden="1" customHeight="1">
      <c r="A23" s="768"/>
      <c r="B23" s="774"/>
      <c r="C23" s="775"/>
      <c r="D23" s="775"/>
      <c r="E23" s="775"/>
      <c r="F23" s="775"/>
      <c r="G23" s="843"/>
      <c r="H23" s="844"/>
      <c r="I23" s="845"/>
      <c r="J23" s="846">
        <f t="shared" si="0"/>
        <v>0</v>
      </c>
      <c r="K23" s="844"/>
      <c r="L23" s="845"/>
      <c r="M23" s="846">
        <f>'summary-2'!M32</f>
        <v>0</v>
      </c>
      <c r="N23" s="844"/>
      <c r="O23" s="845"/>
      <c r="P23" s="848" t="s">
        <v>802</v>
      </c>
      <c r="Q23" s="848"/>
      <c r="R23" s="884"/>
      <c r="S23" s="976"/>
      <c r="T23" s="977"/>
      <c r="U23" s="978"/>
      <c r="W23" s="369"/>
      <c r="X23" s="369"/>
      <c r="Y23" s="369"/>
    </row>
    <row r="24" spans="1:29" ht="14.1" hidden="1" customHeight="1">
      <c r="A24" s="973">
        <v>2</v>
      </c>
      <c r="B24" s="857" t="s">
        <v>806</v>
      </c>
      <c r="C24" s="858"/>
      <c r="D24" s="858"/>
      <c r="E24" s="858"/>
      <c r="F24" s="858"/>
      <c r="G24" s="777"/>
      <c r="H24" s="778"/>
      <c r="I24" s="779"/>
      <c r="J24" s="780">
        <f t="shared" si="0"/>
        <v>0</v>
      </c>
      <c r="K24" s="778"/>
      <c r="L24" s="779"/>
      <c r="M24" s="780">
        <f>'summary-2'!M33</f>
        <v>0</v>
      </c>
      <c r="N24" s="778"/>
      <c r="O24" s="779"/>
      <c r="P24" s="782" t="s">
        <v>800</v>
      </c>
      <c r="Q24" s="782"/>
      <c r="R24" s="783"/>
      <c r="S24" s="958" t="s">
        <v>829</v>
      </c>
      <c r="T24" s="959"/>
      <c r="U24" s="960"/>
      <c r="W24" s="369"/>
      <c r="X24" s="369"/>
      <c r="Y24" s="369"/>
    </row>
    <row r="25" spans="1:29" ht="14.1" hidden="1" customHeight="1">
      <c r="A25" s="767"/>
      <c r="B25" s="772"/>
      <c r="C25" s="687"/>
      <c r="D25" s="687"/>
      <c r="E25" s="687"/>
      <c r="F25" s="687"/>
      <c r="G25" s="645"/>
      <c r="H25" s="646"/>
      <c r="I25" s="834"/>
      <c r="J25" s="835">
        <f t="shared" si="0"/>
        <v>0</v>
      </c>
      <c r="K25" s="646"/>
      <c r="L25" s="834"/>
      <c r="M25" s="835">
        <f>'summary-2'!M34</f>
        <v>0</v>
      </c>
      <c r="N25" s="646"/>
      <c r="O25" s="834"/>
      <c r="P25" s="841" t="s">
        <v>801</v>
      </c>
      <c r="Q25" s="841"/>
      <c r="R25" s="842"/>
      <c r="S25" s="961"/>
      <c r="T25" s="962"/>
      <c r="U25" s="963"/>
      <c r="W25" s="369"/>
      <c r="X25" s="369"/>
      <c r="Y25" s="369"/>
    </row>
    <row r="26" spans="1:29" ht="14.1" hidden="1" customHeight="1">
      <c r="A26" s="768"/>
      <c r="B26" s="774"/>
      <c r="C26" s="775"/>
      <c r="D26" s="775"/>
      <c r="E26" s="775"/>
      <c r="F26" s="775"/>
      <c r="G26" s="843"/>
      <c r="H26" s="844"/>
      <c r="I26" s="845"/>
      <c r="J26" s="846">
        <f t="shared" si="0"/>
        <v>0</v>
      </c>
      <c r="K26" s="844"/>
      <c r="L26" s="845"/>
      <c r="M26" s="846">
        <f>'summary-2'!M35</f>
        <v>0</v>
      </c>
      <c r="N26" s="844"/>
      <c r="O26" s="845"/>
      <c r="P26" s="848" t="s">
        <v>802</v>
      </c>
      <c r="Q26" s="848"/>
      <c r="R26" s="849"/>
      <c r="S26" s="976"/>
      <c r="T26" s="977"/>
      <c r="U26" s="978"/>
      <c r="W26" s="369"/>
      <c r="X26" s="369"/>
      <c r="Y26" s="369"/>
    </row>
    <row r="27" spans="1:29" ht="14.1" customHeight="1">
      <c r="A27" s="973">
        <v>3</v>
      </c>
      <c r="B27" s="857" t="s">
        <v>807</v>
      </c>
      <c r="C27" s="858"/>
      <c r="D27" s="858"/>
      <c r="E27" s="858"/>
      <c r="F27" s="858"/>
      <c r="G27" s="777">
        <f>'summary-2'!G36:I36</f>
        <v>140083740936.29568</v>
      </c>
      <c r="H27" s="778"/>
      <c r="I27" s="779"/>
      <c r="J27" s="780">
        <f t="shared" si="0"/>
        <v>145170753.8237915</v>
      </c>
      <c r="K27" s="778"/>
      <c r="L27" s="779"/>
      <c r="M27" s="780">
        <f>'summary-2'!M36</f>
        <v>140228911690.11948</v>
      </c>
      <c r="N27" s="778"/>
      <c r="O27" s="779"/>
      <c r="P27" s="782" t="s">
        <v>800</v>
      </c>
      <c r="Q27" s="782"/>
      <c r="R27" s="783"/>
      <c r="S27" s="958" t="s">
        <v>830</v>
      </c>
      <c r="T27" s="959"/>
      <c r="U27" s="960"/>
      <c r="W27" s="369"/>
      <c r="X27" s="369"/>
      <c r="Y27" s="369"/>
    </row>
    <row r="28" spans="1:29" ht="14.1" customHeight="1">
      <c r="A28" s="767"/>
      <c r="B28" s="772"/>
      <c r="C28" s="687"/>
      <c r="D28" s="687"/>
      <c r="E28" s="687"/>
      <c r="F28" s="687"/>
      <c r="G28" s="839">
        <f>'summary-2'!G37:I37</f>
        <v>139972626456.61566</v>
      </c>
      <c r="H28" s="840"/>
      <c r="I28" s="840"/>
      <c r="J28" s="835">
        <f t="shared" si="0"/>
        <v>-4866690306.0042419</v>
      </c>
      <c r="K28" s="646"/>
      <c r="L28" s="834"/>
      <c r="M28" s="835">
        <f>'summary-2'!M37</f>
        <v>135105936150.61142</v>
      </c>
      <c r="N28" s="646"/>
      <c r="O28" s="834"/>
      <c r="P28" s="841" t="s">
        <v>801</v>
      </c>
      <c r="Q28" s="841"/>
      <c r="R28" s="842"/>
      <c r="S28" s="961"/>
      <c r="T28" s="962"/>
      <c r="U28" s="963"/>
      <c r="W28" s="369"/>
      <c r="X28" s="369"/>
      <c r="Y28" s="369"/>
    </row>
    <row r="29" spans="1:29" ht="14.1" customHeight="1">
      <c r="A29" s="768"/>
      <c r="B29" s="774"/>
      <c r="C29" s="775"/>
      <c r="D29" s="775"/>
      <c r="E29" s="775"/>
      <c r="F29" s="775"/>
      <c r="G29" s="843"/>
      <c r="H29" s="844"/>
      <c r="I29" s="845"/>
      <c r="J29" s="846">
        <f t="shared" si="0"/>
        <v>0</v>
      </c>
      <c r="K29" s="844"/>
      <c r="L29" s="845"/>
      <c r="M29" s="846">
        <f>'summary-2'!M38</f>
        <v>0</v>
      </c>
      <c r="N29" s="844"/>
      <c r="O29" s="845"/>
      <c r="P29" s="848" t="s">
        <v>802</v>
      </c>
      <c r="Q29" s="848"/>
      <c r="R29" s="849"/>
      <c r="S29" s="976"/>
      <c r="T29" s="977"/>
      <c r="U29" s="978"/>
      <c r="W29" s="369"/>
      <c r="X29" s="369"/>
      <c r="Y29" s="369"/>
    </row>
    <row r="30" spans="1:29" s="353" customFormat="1" ht="14.1" customHeight="1">
      <c r="A30" s="979">
        <v>6</v>
      </c>
      <c r="B30" s="830" t="s">
        <v>808</v>
      </c>
      <c r="C30" s="831"/>
      <c r="D30" s="831"/>
      <c r="E30" s="831"/>
      <c r="F30" s="831"/>
      <c r="G30" s="777">
        <f>'summary-2'!G39:I39</f>
        <v>2542449959.5900002</v>
      </c>
      <c r="H30" s="778"/>
      <c r="I30" s="779"/>
      <c r="J30" s="780">
        <f t="shared" si="0"/>
        <v>0</v>
      </c>
      <c r="K30" s="778"/>
      <c r="L30" s="779"/>
      <c r="M30" s="780">
        <f>'summary-2'!M39</f>
        <v>2542449959.5900002</v>
      </c>
      <c r="N30" s="778"/>
      <c r="O30" s="779"/>
      <c r="P30" s="782" t="s">
        <v>800</v>
      </c>
      <c r="Q30" s="782"/>
      <c r="R30" s="783"/>
      <c r="S30" s="958" t="s">
        <v>831</v>
      </c>
      <c r="T30" s="959"/>
      <c r="U30" s="960"/>
      <c r="W30" s="369"/>
      <c r="X30" s="369"/>
      <c r="Y30" s="369"/>
      <c r="Z30" s="369"/>
      <c r="AA30" s="369"/>
      <c r="AB30" s="369"/>
      <c r="AC30" s="369"/>
    </row>
    <row r="31" spans="1:29" s="353" customFormat="1" ht="14.1" customHeight="1">
      <c r="A31" s="979"/>
      <c r="B31" s="830"/>
      <c r="C31" s="831"/>
      <c r="D31" s="831"/>
      <c r="E31" s="831"/>
      <c r="F31" s="831"/>
      <c r="G31" s="839">
        <f>'summary-2'!G40:I40</f>
        <v>2483126127.1900001</v>
      </c>
      <c r="H31" s="840"/>
      <c r="I31" s="840"/>
      <c r="J31" s="835">
        <f t="shared" si="0"/>
        <v>-350010611.11797476</v>
      </c>
      <c r="K31" s="646"/>
      <c r="L31" s="834"/>
      <c r="M31" s="835">
        <f>'summary-2'!M40</f>
        <v>2133115516.0720253</v>
      </c>
      <c r="N31" s="646"/>
      <c r="O31" s="834"/>
      <c r="P31" s="841" t="s">
        <v>801</v>
      </c>
      <c r="Q31" s="841"/>
      <c r="R31" s="842"/>
      <c r="S31" s="961"/>
      <c r="T31" s="962"/>
      <c r="U31" s="963"/>
      <c r="W31" s="369"/>
      <c r="X31" s="369"/>
      <c r="Y31" s="369"/>
      <c r="Z31" s="369"/>
      <c r="AA31" s="369"/>
      <c r="AB31" s="369"/>
      <c r="AC31" s="369"/>
    </row>
    <row r="32" spans="1:29" s="353" customFormat="1" ht="14.1" customHeight="1">
      <c r="A32" s="979"/>
      <c r="B32" s="830"/>
      <c r="C32" s="831"/>
      <c r="D32" s="831"/>
      <c r="E32" s="831"/>
      <c r="F32" s="831"/>
      <c r="G32" s="843"/>
      <c r="H32" s="844"/>
      <c r="I32" s="845"/>
      <c r="J32" s="846">
        <f t="shared" si="0"/>
        <v>0</v>
      </c>
      <c r="K32" s="844"/>
      <c r="L32" s="845"/>
      <c r="M32" s="846">
        <f>'summary-2'!M41</f>
        <v>0</v>
      </c>
      <c r="N32" s="844"/>
      <c r="O32" s="845"/>
      <c r="P32" s="848" t="s">
        <v>802</v>
      </c>
      <c r="Q32" s="848"/>
      <c r="R32" s="849"/>
      <c r="S32" s="976"/>
      <c r="T32" s="977"/>
      <c r="U32" s="978"/>
      <c r="W32" s="369"/>
      <c r="X32" s="369"/>
      <c r="Y32" s="369"/>
      <c r="Z32" s="369"/>
      <c r="AA32" s="369"/>
      <c r="AB32" s="369"/>
      <c r="AC32" s="369"/>
    </row>
    <row r="33" spans="1:29" s="355" customFormat="1" ht="14.1" customHeight="1">
      <c r="A33" s="979">
        <v>8</v>
      </c>
      <c r="B33" s="830" t="s">
        <v>809</v>
      </c>
      <c r="C33" s="831"/>
      <c r="D33" s="831"/>
      <c r="E33" s="831"/>
      <c r="F33" s="831"/>
      <c r="G33" s="777">
        <f>'summary-2'!G42:I42</f>
        <v>25424499588</v>
      </c>
      <c r="H33" s="778"/>
      <c r="I33" s="779"/>
      <c r="J33" s="780">
        <f t="shared" si="0"/>
        <v>0</v>
      </c>
      <c r="K33" s="778"/>
      <c r="L33" s="779"/>
      <c r="M33" s="780">
        <f>'summary-2'!M42</f>
        <v>25424499588</v>
      </c>
      <c r="N33" s="778"/>
      <c r="O33" s="779"/>
      <c r="P33" s="782" t="s">
        <v>800</v>
      </c>
      <c r="Q33" s="782"/>
      <c r="R33" s="783"/>
      <c r="S33" s="958" t="s">
        <v>832</v>
      </c>
      <c r="T33" s="959"/>
      <c r="U33" s="960"/>
      <c r="W33" s="369"/>
      <c r="X33" s="369"/>
      <c r="Y33" s="369"/>
      <c r="Z33" s="373"/>
      <c r="AA33" s="373"/>
      <c r="AB33" s="373"/>
      <c r="AC33" s="373"/>
    </row>
    <row r="34" spans="1:29" s="355" customFormat="1" ht="14.1" customHeight="1">
      <c r="A34" s="979"/>
      <c r="B34" s="830"/>
      <c r="C34" s="831"/>
      <c r="D34" s="831"/>
      <c r="E34" s="831"/>
      <c r="F34" s="831"/>
      <c r="G34" s="839">
        <f>'summary-2'!G43:I43</f>
        <v>25255002924.080002</v>
      </c>
      <c r="H34" s="840"/>
      <c r="I34" s="840"/>
      <c r="J34" s="835">
        <f t="shared" si="0"/>
        <v>-3923847769.7480011</v>
      </c>
      <c r="K34" s="646"/>
      <c r="L34" s="834"/>
      <c r="M34" s="835">
        <f>'summary-2'!M43</f>
        <v>21331155154.332001</v>
      </c>
      <c r="N34" s="646"/>
      <c r="O34" s="834"/>
      <c r="P34" s="841" t="s">
        <v>801</v>
      </c>
      <c r="Q34" s="841"/>
      <c r="R34" s="842"/>
      <c r="S34" s="961"/>
      <c r="T34" s="962"/>
      <c r="U34" s="963"/>
      <c r="W34" s="369"/>
      <c r="X34" s="369"/>
      <c r="Y34" s="369"/>
      <c r="Z34" s="373"/>
      <c r="AA34" s="373"/>
      <c r="AB34" s="373"/>
      <c r="AC34" s="373"/>
    </row>
    <row r="35" spans="1:29" s="355" customFormat="1" ht="14.1" customHeight="1">
      <c r="A35" s="979"/>
      <c r="B35" s="830"/>
      <c r="C35" s="831"/>
      <c r="D35" s="831"/>
      <c r="E35" s="831"/>
      <c r="F35" s="831"/>
      <c r="G35" s="843"/>
      <c r="H35" s="844"/>
      <c r="I35" s="845"/>
      <c r="J35" s="846">
        <f t="shared" si="0"/>
        <v>0</v>
      </c>
      <c r="K35" s="844"/>
      <c r="L35" s="845"/>
      <c r="M35" s="846">
        <f>'summary-2'!M44</f>
        <v>0</v>
      </c>
      <c r="N35" s="844"/>
      <c r="O35" s="845"/>
      <c r="P35" s="848" t="s">
        <v>802</v>
      </c>
      <c r="Q35" s="848"/>
      <c r="R35" s="849"/>
      <c r="S35" s="976"/>
      <c r="T35" s="977"/>
      <c r="U35" s="978"/>
      <c r="W35" s="369"/>
      <c r="X35" s="369"/>
      <c r="Y35" s="369"/>
      <c r="Z35" s="373"/>
      <c r="AA35" s="373"/>
      <c r="AB35" s="373"/>
      <c r="AC35" s="373"/>
    </row>
    <row r="36" spans="1:29" ht="14.1" customHeight="1">
      <c r="A36" s="979">
        <v>9</v>
      </c>
      <c r="B36" s="830" t="s">
        <v>810</v>
      </c>
      <c r="C36" s="831"/>
      <c r="D36" s="831"/>
      <c r="E36" s="831"/>
      <c r="F36" s="831"/>
      <c r="G36" s="777">
        <f>'summary-2'!G45:I45</f>
        <v>50848999176</v>
      </c>
      <c r="H36" s="778"/>
      <c r="I36" s="779"/>
      <c r="J36" s="780">
        <f t="shared" si="0"/>
        <v>0</v>
      </c>
      <c r="K36" s="778"/>
      <c r="L36" s="779"/>
      <c r="M36" s="780">
        <f>'summary-2'!M45</f>
        <v>50848999176</v>
      </c>
      <c r="N36" s="778"/>
      <c r="O36" s="779"/>
      <c r="P36" s="782" t="s">
        <v>800</v>
      </c>
      <c r="Q36" s="782"/>
      <c r="R36" s="783"/>
      <c r="S36" s="958" t="s">
        <v>833</v>
      </c>
      <c r="T36" s="959"/>
      <c r="U36" s="960"/>
      <c r="W36" s="369"/>
      <c r="X36" s="369"/>
      <c r="Y36" s="369"/>
    </row>
    <row r="37" spans="1:29" ht="14.1" customHeight="1">
      <c r="A37" s="979">
        <v>9</v>
      </c>
      <c r="B37" s="830" t="s">
        <v>810</v>
      </c>
      <c r="C37" s="831"/>
      <c r="D37" s="831"/>
      <c r="E37" s="831"/>
      <c r="F37" s="831"/>
      <c r="G37" s="839">
        <f>'summary-2'!G46:I46</f>
        <v>50510005848.160004</v>
      </c>
      <c r="H37" s="840"/>
      <c r="I37" s="840"/>
      <c r="J37" s="835">
        <f t="shared" si="0"/>
        <v>-7847695539.4960022</v>
      </c>
      <c r="K37" s="646"/>
      <c r="L37" s="834"/>
      <c r="M37" s="835">
        <f>'summary-2'!M46</f>
        <v>42662310308.664001</v>
      </c>
      <c r="N37" s="646"/>
      <c r="O37" s="834"/>
      <c r="P37" s="841" t="s">
        <v>801</v>
      </c>
      <c r="Q37" s="841"/>
      <c r="R37" s="842"/>
      <c r="S37" s="961"/>
      <c r="T37" s="962"/>
      <c r="U37" s="963"/>
      <c r="W37" s="369"/>
      <c r="X37" s="369"/>
      <c r="Y37" s="369"/>
    </row>
    <row r="38" spans="1:29" ht="14.1" customHeight="1">
      <c r="A38" s="979">
        <v>9</v>
      </c>
      <c r="B38" s="830" t="s">
        <v>810</v>
      </c>
      <c r="C38" s="831"/>
      <c r="D38" s="831"/>
      <c r="E38" s="831"/>
      <c r="F38" s="831"/>
      <c r="G38" s="843"/>
      <c r="H38" s="844"/>
      <c r="I38" s="845"/>
      <c r="J38" s="846">
        <f t="shared" si="0"/>
        <v>0</v>
      </c>
      <c r="K38" s="844"/>
      <c r="L38" s="845"/>
      <c r="M38" s="846">
        <f>'summary-2'!M47</f>
        <v>0</v>
      </c>
      <c r="N38" s="844"/>
      <c r="O38" s="845"/>
      <c r="P38" s="848" t="s">
        <v>802</v>
      </c>
      <c r="Q38" s="848"/>
      <c r="R38" s="849"/>
      <c r="S38" s="976"/>
      <c r="T38" s="977"/>
      <c r="U38" s="978"/>
      <c r="W38" s="369"/>
      <c r="X38" s="369"/>
      <c r="Y38" s="369"/>
    </row>
    <row r="39" spans="1:29" ht="14.1" customHeight="1">
      <c r="A39" s="979">
        <v>11</v>
      </c>
      <c r="B39" s="830" t="s">
        <v>811</v>
      </c>
      <c r="C39" s="831"/>
      <c r="D39" s="831"/>
      <c r="E39" s="831"/>
      <c r="F39" s="831"/>
      <c r="G39" s="777">
        <f>'summary-2'!G48:I48</f>
        <v>6327875452.8299999</v>
      </c>
      <c r="H39" s="778"/>
      <c r="I39" s="779"/>
      <c r="J39" s="780">
        <f t="shared" si="0"/>
        <v>0</v>
      </c>
      <c r="K39" s="778"/>
      <c r="L39" s="779"/>
      <c r="M39" s="780">
        <f>'summary-2'!M48</f>
        <v>6327875452.8299999</v>
      </c>
      <c r="N39" s="778"/>
      <c r="O39" s="779"/>
      <c r="P39" s="782" t="s">
        <v>800</v>
      </c>
      <c r="Q39" s="782"/>
      <c r="R39" s="783"/>
      <c r="S39" s="958" t="s">
        <v>834</v>
      </c>
      <c r="T39" s="959"/>
      <c r="U39" s="960"/>
      <c r="W39" s="369"/>
      <c r="X39" s="369"/>
      <c r="Y39" s="369"/>
    </row>
    <row r="40" spans="1:29" ht="14.1" customHeight="1">
      <c r="A40" s="979">
        <v>12</v>
      </c>
      <c r="B40" s="830" t="s">
        <v>810</v>
      </c>
      <c r="C40" s="831"/>
      <c r="D40" s="831"/>
      <c r="E40" s="831"/>
      <c r="F40" s="831"/>
      <c r="G40" s="839">
        <f>'summary-2'!G49:I49</f>
        <v>527322954.40600002</v>
      </c>
      <c r="H40" s="840"/>
      <c r="I40" s="840"/>
      <c r="J40" s="835">
        <f t="shared" si="0"/>
        <v>6109036426.7718506</v>
      </c>
      <c r="K40" s="646"/>
      <c r="L40" s="834"/>
      <c r="M40" s="835">
        <f>'summary-2'!M49</f>
        <v>6636359381.1778507</v>
      </c>
      <c r="N40" s="646"/>
      <c r="O40" s="834"/>
      <c r="P40" s="841" t="s">
        <v>801</v>
      </c>
      <c r="Q40" s="841"/>
      <c r="R40" s="842"/>
      <c r="S40" s="961"/>
      <c r="T40" s="962"/>
      <c r="U40" s="963"/>
      <c r="W40" s="369"/>
      <c r="X40" s="369"/>
      <c r="Y40" s="369"/>
    </row>
    <row r="41" spans="1:29" ht="14.1" customHeight="1">
      <c r="A41" s="979">
        <v>12</v>
      </c>
      <c r="B41" s="830" t="s">
        <v>810</v>
      </c>
      <c r="C41" s="831"/>
      <c r="D41" s="831"/>
      <c r="E41" s="831"/>
      <c r="F41" s="831"/>
      <c r="G41" s="843"/>
      <c r="H41" s="844"/>
      <c r="I41" s="845"/>
      <c r="J41" s="846">
        <f t="shared" si="0"/>
        <v>0</v>
      </c>
      <c r="K41" s="844"/>
      <c r="L41" s="845"/>
      <c r="M41" s="846">
        <f>'summary-2'!M50</f>
        <v>0</v>
      </c>
      <c r="N41" s="844"/>
      <c r="O41" s="845"/>
      <c r="P41" s="848" t="s">
        <v>802</v>
      </c>
      <c r="Q41" s="848"/>
      <c r="R41" s="849"/>
      <c r="S41" s="976"/>
      <c r="T41" s="977"/>
      <c r="U41" s="978"/>
      <c r="W41" s="369"/>
      <c r="X41" s="369"/>
      <c r="Y41" s="369"/>
    </row>
    <row r="42" spans="1:29" ht="14.1" customHeight="1">
      <c r="A42" s="979">
        <v>12</v>
      </c>
      <c r="B42" s="830" t="s">
        <v>812</v>
      </c>
      <c r="C42" s="831"/>
      <c r="D42" s="831"/>
      <c r="E42" s="831"/>
      <c r="F42" s="831"/>
      <c r="G42" s="777">
        <f>'summary-2'!G51:I51</f>
        <v>16102183072.400002</v>
      </c>
      <c r="H42" s="778"/>
      <c r="I42" s="779"/>
      <c r="J42" s="780">
        <f t="shared" si="0"/>
        <v>0</v>
      </c>
      <c r="K42" s="778"/>
      <c r="L42" s="779"/>
      <c r="M42" s="780">
        <f>'summary-2'!M51</f>
        <v>16102183072.400002</v>
      </c>
      <c r="N42" s="778"/>
      <c r="O42" s="779"/>
      <c r="P42" s="782" t="s">
        <v>800</v>
      </c>
      <c r="Q42" s="782"/>
      <c r="R42" s="783"/>
      <c r="S42" s="958" t="s">
        <v>835</v>
      </c>
      <c r="T42" s="959"/>
      <c r="U42" s="960"/>
      <c r="W42" s="369"/>
      <c r="X42" s="369"/>
      <c r="Y42" s="369"/>
    </row>
    <row r="43" spans="1:29" ht="14.1" customHeight="1">
      <c r="A43" s="979">
        <v>12</v>
      </c>
      <c r="B43" s="830" t="s">
        <v>812</v>
      </c>
      <c r="C43" s="831"/>
      <c r="D43" s="831"/>
      <c r="E43" s="831"/>
      <c r="F43" s="831"/>
      <c r="G43" s="839">
        <f>'summary-2'!G52:I52</f>
        <v>16068283739.616001</v>
      </c>
      <c r="H43" s="840"/>
      <c r="I43" s="840"/>
      <c r="J43" s="835">
        <f t="shared" si="0"/>
        <v>-2387445259.6451607</v>
      </c>
      <c r="K43" s="646"/>
      <c r="L43" s="834"/>
      <c r="M43" s="835">
        <f>'summary-2'!M52</f>
        <v>13680838479.97084</v>
      </c>
      <c r="N43" s="646"/>
      <c r="O43" s="834"/>
      <c r="P43" s="841" t="s">
        <v>801</v>
      </c>
      <c r="Q43" s="841"/>
      <c r="R43" s="842"/>
      <c r="S43" s="961"/>
      <c r="T43" s="962"/>
      <c r="U43" s="963"/>
      <c r="W43" s="369"/>
      <c r="X43" s="369"/>
      <c r="Y43" s="369"/>
    </row>
    <row r="44" spans="1:29" ht="14.1" customHeight="1">
      <c r="A44" s="979">
        <v>12</v>
      </c>
      <c r="B44" s="830" t="s">
        <v>812</v>
      </c>
      <c r="C44" s="831"/>
      <c r="D44" s="831"/>
      <c r="E44" s="831"/>
      <c r="F44" s="831"/>
      <c r="G44" s="843"/>
      <c r="H44" s="844"/>
      <c r="I44" s="845"/>
      <c r="J44" s="846">
        <f t="shared" si="0"/>
        <v>0</v>
      </c>
      <c r="K44" s="844"/>
      <c r="L44" s="845"/>
      <c r="M44" s="846">
        <f>'summary-2'!M53</f>
        <v>0</v>
      </c>
      <c r="N44" s="844"/>
      <c r="O44" s="845"/>
      <c r="P44" s="848" t="s">
        <v>802</v>
      </c>
      <c r="Q44" s="848"/>
      <c r="R44" s="849"/>
      <c r="S44" s="976"/>
      <c r="T44" s="977"/>
      <c r="U44" s="978"/>
      <c r="W44" s="369"/>
      <c r="X44" s="369"/>
      <c r="Y44" s="369"/>
    </row>
    <row r="45" spans="1:29" ht="14.1" customHeight="1">
      <c r="A45" s="979">
        <v>13</v>
      </c>
      <c r="B45" s="830" t="s">
        <v>813</v>
      </c>
      <c r="C45" s="831"/>
      <c r="D45" s="831"/>
      <c r="E45" s="831"/>
      <c r="F45" s="831"/>
      <c r="G45" s="777">
        <f>'summary-2'!G54:I54</f>
        <v>88591328056.058533</v>
      </c>
      <c r="H45" s="778"/>
      <c r="I45" s="779"/>
      <c r="J45" s="780">
        <f t="shared" si="0"/>
        <v>0</v>
      </c>
      <c r="K45" s="778"/>
      <c r="L45" s="779"/>
      <c r="M45" s="780">
        <f>'summary-2'!M54</f>
        <v>88591328056.058533</v>
      </c>
      <c r="N45" s="778"/>
      <c r="O45" s="779"/>
      <c r="P45" s="782" t="s">
        <v>800</v>
      </c>
      <c r="Q45" s="782"/>
      <c r="R45" s="783"/>
      <c r="S45" s="958" t="s">
        <v>836</v>
      </c>
      <c r="T45" s="959"/>
      <c r="U45" s="960"/>
      <c r="W45" s="369"/>
      <c r="X45" s="369"/>
      <c r="Y45" s="369"/>
    </row>
    <row r="46" spans="1:29" ht="14.1" customHeight="1">
      <c r="A46" s="979">
        <v>13</v>
      </c>
      <c r="B46" s="830" t="s">
        <v>813</v>
      </c>
      <c r="C46" s="831"/>
      <c r="D46" s="831"/>
      <c r="E46" s="831"/>
      <c r="F46" s="831"/>
      <c r="G46" s="839">
        <f>'summary-2'!G55:I55</f>
        <v>50850167571.381096</v>
      </c>
      <c r="H46" s="840"/>
      <c r="I46" s="840"/>
      <c r="J46" s="835">
        <f t="shared" si="0"/>
        <v>-28269882243.27808</v>
      </c>
      <c r="K46" s="646"/>
      <c r="L46" s="834"/>
      <c r="M46" s="835">
        <f>'summary-2'!M55</f>
        <v>22580285328.103016</v>
      </c>
      <c r="N46" s="646"/>
      <c r="O46" s="834"/>
      <c r="P46" s="841" t="s">
        <v>801</v>
      </c>
      <c r="Q46" s="841"/>
      <c r="R46" s="842"/>
      <c r="S46" s="961"/>
      <c r="T46" s="962"/>
      <c r="U46" s="963"/>
      <c r="W46" s="369"/>
      <c r="X46" s="369"/>
      <c r="Y46" s="369"/>
    </row>
    <row r="47" spans="1:29" ht="14.1" customHeight="1">
      <c r="A47" s="979">
        <v>13</v>
      </c>
      <c r="B47" s="830" t="s">
        <v>813</v>
      </c>
      <c r="C47" s="831"/>
      <c r="D47" s="831"/>
      <c r="E47" s="831"/>
      <c r="F47" s="831"/>
      <c r="G47" s="843"/>
      <c r="H47" s="844"/>
      <c r="I47" s="845"/>
      <c r="J47" s="846">
        <f t="shared" si="0"/>
        <v>0</v>
      </c>
      <c r="K47" s="844"/>
      <c r="L47" s="845"/>
      <c r="M47" s="846">
        <f>'summary-2'!M56</f>
        <v>0</v>
      </c>
      <c r="N47" s="844"/>
      <c r="O47" s="845"/>
      <c r="P47" s="848" t="s">
        <v>802</v>
      </c>
      <c r="Q47" s="848"/>
      <c r="R47" s="849"/>
      <c r="S47" s="976"/>
      <c r="T47" s="977"/>
      <c r="U47" s="978"/>
      <c r="W47" s="369"/>
      <c r="X47" s="369"/>
      <c r="Y47" s="369"/>
    </row>
    <row r="48" spans="1:29" ht="14.1" customHeight="1">
      <c r="A48" s="979">
        <v>14</v>
      </c>
      <c r="B48" s="830" t="s">
        <v>814</v>
      </c>
      <c r="C48" s="831"/>
      <c r="D48" s="831"/>
      <c r="E48" s="831"/>
      <c r="F48" s="831"/>
      <c r="G48" s="777">
        <f>'summary-2'!G57:I57</f>
        <v>166789417297.28833</v>
      </c>
      <c r="H48" s="778"/>
      <c r="I48" s="779"/>
      <c r="J48" s="780">
        <f t="shared" si="0"/>
        <v>1759043161.4572754</v>
      </c>
      <c r="K48" s="778"/>
      <c r="L48" s="779"/>
      <c r="M48" s="780">
        <f>'summary-2'!M57</f>
        <v>168548460458.74561</v>
      </c>
      <c r="N48" s="778"/>
      <c r="O48" s="779"/>
      <c r="P48" s="782" t="s">
        <v>800</v>
      </c>
      <c r="Q48" s="782"/>
      <c r="R48" s="783"/>
      <c r="S48" s="958" t="s">
        <v>837</v>
      </c>
      <c r="T48" s="959"/>
      <c r="U48" s="960"/>
      <c r="W48" s="369"/>
      <c r="X48" s="369"/>
      <c r="Y48" s="369"/>
    </row>
    <row r="49" spans="1:25" ht="14.1" customHeight="1">
      <c r="A49" s="979">
        <v>14</v>
      </c>
      <c r="B49" s="830" t="s">
        <v>814</v>
      </c>
      <c r="C49" s="831"/>
      <c r="D49" s="831"/>
      <c r="E49" s="831"/>
      <c r="F49" s="831"/>
      <c r="G49" s="839">
        <f>'summary-2'!G58:I58</f>
        <v>108825638005.62637</v>
      </c>
      <c r="H49" s="840"/>
      <c r="I49" s="840"/>
      <c r="J49" s="835">
        <f t="shared" si="0"/>
        <v>7170694691.0798035</v>
      </c>
      <c r="K49" s="646"/>
      <c r="L49" s="834"/>
      <c r="M49" s="835">
        <f>'summary-2'!M58</f>
        <v>115996332696.70618</v>
      </c>
      <c r="N49" s="646"/>
      <c r="O49" s="834"/>
      <c r="P49" s="841" t="s">
        <v>801</v>
      </c>
      <c r="Q49" s="841"/>
      <c r="R49" s="842"/>
      <c r="S49" s="961"/>
      <c r="T49" s="962"/>
      <c r="U49" s="963"/>
      <c r="W49" s="369"/>
      <c r="X49" s="369"/>
      <c r="Y49" s="369"/>
    </row>
    <row r="50" spans="1:25" ht="14.1" customHeight="1">
      <c r="A50" s="979">
        <v>14</v>
      </c>
      <c r="B50" s="830" t="s">
        <v>814</v>
      </c>
      <c r="C50" s="831"/>
      <c r="D50" s="831"/>
      <c r="E50" s="831"/>
      <c r="F50" s="831"/>
      <c r="G50" s="843"/>
      <c r="H50" s="844"/>
      <c r="I50" s="845"/>
      <c r="J50" s="846">
        <f t="shared" si="0"/>
        <v>0</v>
      </c>
      <c r="K50" s="844"/>
      <c r="L50" s="845"/>
      <c r="M50" s="846">
        <f>'summary-2'!M59</f>
        <v>0</v>
      </c>
      <c r="N50" s="844"/>
      <c r="O50" s="845"/>
      <c r="P50" s="848" t="s">
        <v>802</v>
      </c>
      <c r="Q50" s="848"/>
      <c r="R50" s="849"/>
      <c r="S50" s="976"/>
      <c r="T50" s="977"/>
      <c r="U50" s="978"/>
      <c r="W50" s="369"/>
      <c r="X50" s="369"/>
      <c r="Y50" s="369"/>
    </row>
    <row r="51" spans="1:25" ht="14.1" customHeight="1">
      <c r="A51" s="979">
        <v>16</v>
      </c>
      <c r="B51" s="830" t="s">
        <v>642</v>
      </c>
      <c r="C51" s="831"/>
      <c r="D51" s="831"/>
      <c r="E51" s="831"/>
      <c r="F51" s="831"/>
      <c r="G51" s="777">
        <f>'summary-2'!G60:I60</f>
        <v>1412472198.4400001</v>
      </c>
      <c r="H51" s="778"/>
      <c r="I51" s="779"/>
      <c r="J51" s="780">
        <f t="shared" si="0"/>
        <v>0</v>
      </c>
      <c r="K51" s="778"/>
      <c r="L51" s="779"/>
      <c r="M51" s="780">
        <f>'summary-2'!M60</f>
        <v>1412472198.4400001</v>
      </c>
      <c r="N51" s="778"/>
      <c r="O51" s="779"/>
      <c r="P51" s="782" t="s">
        <v>800</v>
      </c>
      <c r="Q51" s="782"/>
      <c r="R51" s="783"/>
      <c r="S51" s="958" t="s">
        <v>838</v>
      </c>
      <c r="T51" s="959"/>
      <c r="U51" s="960"/>
      <c r="W51" s="369"/>
      <c r="X51" s="369"/>
      <c r="Y51" s="369"/>
    </row>
    <row r="52" spans="1:25" ht="14.1" customHeight="1">
      <c r="A52" s="979">
        <v>16</v>
      </c>
      <c r="B52" s="830" t="s">
        <v>642</v>
      </c>
      <c r="C52" s="831"/>
      <c r="D52" s="831"/>
      <c r="E52" s="831"/>
      <c r="F52" s="831"/>
      <c r="G52" s="839">
        <f>'summary-2'!G61:I61</f>
        <v>1403055717.1200001</v>
      </c>
      <c r="H52" s="840"/>
      <c r="I52" s="840"/>
      <c r="J52" s="835">
        <f t="shared" si="0"/>
        <v>-217991542.60310006</v>
      </c>
      <c r="K52" s="646"/>
      <c r="L52" s="834"/>
      <c r="M52" s="835">
        <f>'summary-2'!M61</f>
        <v>1185064174.5169001</v>
      </c>
      <c r="N52" s="646"/>
      <c r="O52" s="834"/>
      <c r="P52" s="841" t="s">
        <v>801</v>
      </c>
      <c r="Q52" s="841"/>
      <c r="R52" s="842"/>
      <c r="S52" s="961"/>
      <c r="T52" s="962"/>
      <c r="U52" s="963"/>
      <c r="W52" s="369"/>
      <c r="X52" s="369"/>
      <c r="Y52" s="369"/>
    </row>
    <row r="53" spans="1:25" ht="14.1" customHeight="1">
      <c r="A53" s="979">
        <v>16</v>
      </c>
      <c r="B53" s="830" t="s">
        <v>642</v>
      </c>
      <c r="C53" s="831"/>
      <c r="D53" s="831"/>
      <c r="E53" s="831"/>
      <c r="F53" s="831"/>
      <c r="G53" s="843"/>
      <c r="H53" s="844"/>
      <c r="I53" s="845"/>
      <c r="J53" s="846">
        <f t="shared" si="0"/>
        <v>0</v>
      </c>
      <c r="K53" s="844"/>
      <c r="L53" s="845"/>
      <c r="M53" s="846">
        <f>'summary-2'!M62</f>
        <v>0</v>
      </c>
      <c r="N53" s="844"/>
      <c r="O53" s="845"/>
      <c r="P53" s="848" t="s">
        <v>802</v>
      </c>
      <c r="Q53" s="848"/>
      <c r="R53" s="849"/>
      <c r="S53" s="976"/>
      <c r="T53" s="977"/>
      <c r="U53" s="978"/>
      <c r="W53" s="369"/>
      <c r="X53" s="369"/>
      <c r="Y53" s="369"/>
    </row>
    <row r="54" spans="1:25" ht="14.1" hidden="1" customHeight="1">
      <c r="A54" s="979">
        <v>19</v>
      </c>
      <c r="B54" s="830" t="s">
        <v>815</v>
      </c>
      <c r="C54" s="831"/>
      <c r="D54" s="831"/>
      <c r="E54" s="831"/>
      <c r="F54" s="831"/>
      <c r="G54" s="777"/>
      <c r="H54" s="778"/>
      <c r="I54" s="779"/>
      <c r="J54" s="780">
        <f t="shared" si="0"/>
        <v>0</v>
      </c>
      <c r="K54" s="778"/>
      <c r="L54" s="779"/>
      <c r="M54" s="780">
        <f>'summary-2'!M63</f>
        <v>0</v>
      </c>
      <c r="N54" s="778"/>
      <c r="O54" s="779"/>
      <c r="P54" s="782" t="s">
        <v>800</v>
      </c>
      <c r="Q54" s="782"/>
      <c r="R54" s="783"/>
      <c r="S54" s="958" t="s">
        <v>839</v>
      </c>
      <c r="T54" s="959"/>
      <c r="U54" s="960"/>
      <c r="W54" s="369"/>
      <c r="X54" s="369"/>
      <c r="Y54" s="369"/>
    </row>
    <row r="55" spans="1:25" ht="14.1" hidden="1" customHeight="1">
      <c r="A55" s="979">
        <v>20</v>
      </c>
      <c r="B55" s="830"/>
      <c r="C55" s="831"/>
      <c r="D55" s="831"/>
      <c r="E55" s="831"/>
      <c r="F55" s="831"/>
      <c r="G55" s="645"/>
      <c r="H55" s="646"/>
      <c r="I55" s="834"/>
      <c r="J55" s="835">
        <f t="shared" si="0"/>
        <v>0</v>
      </c>
      <c r="K55" s="646"/>
      <c r="L55" s="834"/>
      <c r="M55" s="835">
        <f>'summary-2'!M64</f>
        <v>0</v>
      </c>
      <c r="N55" s="646"/>
      <c r="O55" s="834"/>
      <c r="P55" s="841" t="s">
        <v>801</v>
      </c>
      <c r="Q55" s="841"/>
      <c r="R55" s="842"/>
      <c r="S55" s="961"/>
      <c r="T55" s="962"/>
      <c r="U55" s="963"/>
      <c r="W55" s="369"/>
      <c r="X55" s="369"/>
      <c r="Y55" s="369"/>
    </row>
    <row r="56" spans="1:25" ht="14.1" hidden="1" customHeight="1">
      <c r="A56" s="979">
        <v>20</v>
      </c>
      <c r="B56" s="830"/>
      <c r="C56" s="831"/>
      <c r="D56" s="831"/>
      <c r="E56" s="831"/>
      <c r="F56" s="831"/>
      <c r="G56" s="843"/>
      <c r="H56" s="844"/>
      <c r="I56" s="845"/>
      <c r="J56" s="846">
        <f t="shared" si="0"/>
        <v>0</v>
      </c>
      <c r="K56" s="844"/>
      <c r="L56" s="845"/>
      <c r="M56" s="846">
        <f>'summary-2'!M65</f>
        <v>0</v>
      </c>
      <c r="N56" s="844"/>
      <c r="O56" s="845"/>
      <c r="P56" s="848" t="s">
        <v>802</v>
      </c>
      <c r="Q56" s="848"/>
      <c r="R56" s="849"/>
      <c r="S56" s="976"/>
      <c r="T56" s="977"/>
      <c r="U56" s="978"/>
      <c r="W56" s="369"/>
      <c r="X56" s="369"/>
      <c r="Y56" s="369"/>
    </row>
    <row r="57" spans="1:25" ht="14.1" customHeight="1">
      <c r="A57" s="979">
        <v>20</v>
      </c>
      <c r="B57" s="830" t="s">
        <v>816</v>
      </c>
      <c r="C57" s="831"/>
      <c r="D57" s="831"/>
      <c r="E57" s="831"/>
      <c r="F57" s="831"/>
      <c r="G57" s="777">
        <f>'summary-2'!G66:I66</f>
        <v>3954922158.0299997</v>
      </c>
      <c r="H57" s="778"/>
      <c r="I57" s="779"/>
      <c r="J57" s="780">
        <f t="shared" si="0"/>
        <v>0</v>
      </c>
      <c r="K57" s="778"/>
      <c r="L57" s="779"/>
      <c r="M57" s="780">
        <f>'summary-2'!M66</f>
        <v>3954922158.0299997</v>
      </c>
      <c r="N57" s="778"/>
      <c r="O57" s="779"/>
      <c r="P57" s="782" t="s">
        <v>800</v>
      </c>
      <c r="Q57" s="782"/>
      <c r="R57" s="783"/>
      <c r="S57" s="958" t="s">
        <v>840</v>
      </c>
      <c r="T57" s="959"/>
      <c r="U57" s="960"/>
      <c r="W57" s="369"/>
      <c r="X57" s="369"/>
      <c r="Y57" s="369"/>
    </row>
    <row r="58" spans="1:25" ht="14.1" customHeight="1">
      <c r="A58" s="979">
        <v>20</v>
      </c>
      <c r="B58" s="830" t="s">
        <v>816</v>
      </c>
      <c r="C58" s="831"/>
      <c r="D58" s="831"/>
      <c r="E58" s="831"/>
      <c r="F58" s="831"/>
      <c r="G58" s="839">
        <f>'summary-2'!G67:I67</f>
        <v>3928556010.3099995</v>
      </c>
      <c r="H58" s="840"/>
      <c r="I58" s="840"/>
      <c r="J58" s="835">
        <f t="shared" si="0"/>
        <v>-610376319.7210741</v>
      </c>
      <c r="K58" s="646"/>
      <c r="L58" s="834"/>
      <c r="M58" s="835">
        <f>'summary-2'!M67</f>
        <v>3318179690.5889254</v>
      </c>
      <c r="N58" s="646"/>
      <c r="O58" s="834"/>
      <c r="P58" s="841" t="s">
        <v>801</v>
      </c>
      <c r="Q58" s="841"/>
      <c r="R58" s="842"/>
      <c r="S58" s="961"/>
      <c r="T58" s="962"/>
      <c r="U58" s="963"/>
      <c r="W58" s="369"/>
      <c r="X58" s="369"/>
      <c r="Y58" s="369"/>
    </row>
    <row r="59" spans="1:25" ht="14.1" customHeight="1">
      <c r="A59" s="979">
        <v>20</v>
      </c>
      <c r="B59" s="830" t="s">
        <v>816</v>
      </c>
      <c r="C59" s="831"/>
      <c r="D59" s="831"/>
      <c r="E59" s="831"/>
      <c r="F59" s="831"/>
      <c r="G59" s="843"/>
      <c r="H59" s="844"/>
      <c r="I59" s="845"/>
      <c r="J59" s="846">
        <f t="shared" si="0"/>
        <v>0</v>
      </c>
      <c r="K59" s="844"/>
      <c r="L59" s="845"/>
      <c r="M59" s="846">
        <f>'summary-2'!M68</f>
        <v>0</v>
      </c>
      <c r="N59" s="844"/>
      <c r="O59" s="845"/>
      <c r="P59" s="848" t="s">
        <v>802</v>
      </c>
      <c r="Q59" s="848"/>
      <c r="R59" s="849"/>
      <c r="S59" s="976"/>
      <c r="T59" s="977"/>
      <c r="U59" s="978"/>
      <c r="W59" s="369"/>
      <c r="X59" s="369"/>
      <c r="Y59" s="369"/>
    </row>
    <row r="60" spans="1:25" ht="14.1" customHeight="1">
      <c r="A60" s="979">
        <v>21</v>
      </c>
      <c r="B60" s="830" t="s">
        <v>817</v>
      </c>
      <c r="C60" s="831"/>
      <c r="D60" s="831"/>
      <c r="E60" s="831"/>
      <c r="F60" s="831"/>
      <c r="G60" s="777">
        <f>'summary-2'!G69:I69</f>
        <v>1927634563.0590014</v>
      </c>
      <c r="H60" s="778"/>
      <c r="I60" s="779"/>
      <c r="J60" s="780">
        <f t="shared" si="0"/>
        <v>0</v>
      </c>
      <c r="K60" s="778"/>
      <c r="L60" s="779"/>
      <c r="M60" s="780">
        <f>'summary-2'!M69</f>
        <v>1927634563.0590014</v>
      </c>
      <c r="N60" s="778"/>
      <c r="O60" s="779"/>
      <c r="P60" s="782" t="s">
        <v>800</v>
      </c>
      <c r="Q60" s="782"/>
      <c r="R60" s="783"/>
      <c r="S60" s="958" t="s">
        <v>841</v>
      </c>
      <c r="T60" s="959"/>
      <c r="U60" s="960"/>
      <c r="W60" s="369"/>
      <c r="X60" s="369"/>
      <c r="Y60" s="369"/>
    </row>
    <row r="61" spans="1:25" ht="14.1" customHeight="1">
      <c r="A61" s="979">
        <v>20</v>
      </c>
      <c r="B61" s="830" t="s">
        <v>816</v>
      </c>
      <c r="C61" s="831"/>
      <c r="D61" s="831"/>
      <c r="E61" s="831"/>
      <c r="F61" s="831"/>
      <c r="G61" s="839">
        <f>'summary-2'!G70:I70</f>
        <v>5179064.730832871</v>
      </c>
      <c r="H61" s="840"/>
      <c r="I61" s="840"/>
      <c r="J61" s="835">
        <f t="shared" si="0"/>
        <v>637365789.62216771</v>
      </c>
      <c r="K61" s="646"/>
      <c r="L61" s="834"/>
      <c r="M61" s="835">
        <f>'summary-2'!M70</f>
        <v>642544854.35300052</v>
      </c>
      <c r="N61" s="646"/>
      <c r="O61" s="834"/>
      <c r="P61" s="841" t="s">
        <v>801</v>
      </c>
      <c r="Q61" s="841"/>
      <c r="R61" s="842"/>
      <c r="S61" s="961"/>
      <c r="T61" s="962"/>
      <c r="U61" s="963"/>
      <c r="W61" s="369"/>
      <c r="X61" s="369"/>
      <c r="Y61" s="369"/>
    </row>
    <row r="62" spans="1:25" ht="14.1" customHeight="1">
      <c r="A62" s="979">
        <v>20</v>
      </c>
      <c r="B62" s="830" t="s">
        <v>816</v>
      </c>
      <c r="C62" s="831"/>
      <c r="D62" s="831"/>
      <c r="E62" s="831"/>
      <c r="F62" s="831"/>
      <c r="G62" s="843"/>
      <c r="H62" s="844"/>
      <c r="I62" s="845"/>
      <c r="J62" s="846">
        <f t="shared" si="0"/>
        <v>0</v>
      </c>
      <c r="K62" s="844"/>
      <c r="L62" s="845"/>
      <c r="M62" s="846">
        <f>'summary-2'!M71</f>
        <v>0</v>
      </c>
      <c r="N62" s="844"/>
      <c r="O62" s="845"/>
      <c r="P62" s="848" t="s">
        <v>802</v>
      </c>
      <c r="Q62" s="848"/>
      <c r="R62" s="849"/>
      <c r="S62" s="976"/>
      <c r="T62" s="977"/>
      <c r="U62" s="978"/>
      <c r="W62" s="369"/>
      <c r="X62" s="369"/>
      <c r="Y62" s="369"/>
    </row>
    <row r="63" spans="1:25" ht="14.1" customHeight="1">
      <c r="A63" s="979">
        <v>22</v>
      </c>
      <c r="B63" s="830" t="s">
        <v>818</v>
      </c>
      <c r="C63" s="831"/>
      <c r="D63" s="831"/>
      <c r="E63" s="831"/>
      <c r="F63" s="831"/>
      <c r="G63" s="777">
        <f>'summary-2'!G72:I72</f>
        <v>188627057387.3501</v>
      </c>
      <c r="H63" s="778"/>
      <c r="I63" s="779"/>
      <c r="J63" s="780">
        <f t="shared" si="0"/>
        <v>-3.0517578125E-5</v>
      </c>
      <c r="K63" s="778"/>
      <c r="L63" s="779"/>
      <c r="M63" s="780">
        <f>'summary-2'!M72</f>
        <v>188627057387.35007</v>
      </c>
      <c r="N63" s="778"/>
      <c r="O63" s="779"/>
      <c r="P63" s="782" t="s">
        <v>800</v>
      </c>
      <c r="Q63" s="782"/>
      <c r="R63" s="783"/>
      <c r="S63" s="958" t="s">
        <v>842</v>
      </c>
      <c r="T63" s="959"/>
      <c r="U63" s="960"/>
      <c r="W63" s="369"/>
      <c r="X63" s="369"/>
      <c r="Y63" s="369"/>
    </row>
    <row r="64" spans="1:25" ht="14.1" customHeight="1">
      <c r="A64" s="979">
        <v>22</v>
      </c>
      <c r="B64" s="830" t="s">
        <v>818</v>
      </c>
      <c r="C64" s="831"/>
      <c r="D64" s="831"/>
      <c r="E64" s="831"/>
      <c r="F64" s="831"/>
      <c r="G64" s="839">
        <f>'summary-2'!G73:I73</f>
        <v>86170530929.930023</v>
      </c>
      <c r="H64" s="840"/>
      <c r="I64" s="840"/>
      <c r="J64" s="835">
        <f t="shared" si="0"/>
        <v>0</v>
      </c>
      <c r="K64" s="646"/>
      <c r="L64" s="834"/>
      <c r="M64" s="835">
        <f>'summary-2'!M73</f>
        <v>0</v>
      </c>
      <c r="N64" s="646"/>
      <c r="O64" s="834"/>
      <c r="P64" s="841" t="s">
        <v>801</v>
      </c>
      <c r="Q64" s="841"/>
      <c r="R64" s="842"/>
      <c r="S64" s="961"/>
      <c r="T64" s="962"/>
      <c r="U64" s="963"/>
      <c r="W64" s="369"/>
      <c r="X64" s="369"/>
      <c r="Y64" s="369"/>
    </row>
    <row r="65" spans="1:29" ht="14.1" customHeight="1">
      <c r="A65" s="979">
        <v>22</v>
      </c>
      <c r="B65" s="830" t="s">
        <v>818</v>
      </c>
      <c r="C65" s="831"/>
      <c r="D65" s="831"/>
      <c r="E65" s="831"/>
      <c r="F65" s="831"/>
      <c r="G65" s="843"/>
      <c r="H65" s="844"/>
      <c r="I65" s="845"/>
      <c r="J65" s="846">
        <f t="shared" si="0"/>
        <v>0</v>
      </c>
      <c r="K65" s="844"/>
      <c r="L65" s="845"/>
      <c r="M65" s="846">
        <f>'summary-2'!M74</f>
        <v>0</v>
      </c>
      <c r="N65" s="844"/>
      <c r="O65" s="845"/>
      <c r="P65" s="848" t="s">
        <v>802</v>
      </c>
      <c r="Q65" s="848"/>
      <c r="R65" s="849"/>
      <c r="S65" s="976"/>
      <c r="T65" s="977"/>
      <c r="U65" s="978"/>
      <c r="W65" s="369"/>
      <c r="X65" s="369"/>
      <c r="Y65" s="369"/>
    </row>
    <row r="66" spans="1:29" ht="14.1" customHeight="1">
      <c r="A66" s="973">
        <v>23</v>
      </c>
      <c r="B66" s="857" t="s">
        <v>819</v>
      </c>
      <c r="C66" s="858"/>
      <c r="D66" s="858"/>
      <c r="E66" s="858"/>
      <c r="F66" s="858"/>
      <c r="G66" s="777">
        <f>'summary-2'!G75:I75</f>
        <v>5654943147.5118647</v>
      </c>
      <c r="H66" s="778"/>
      <c r="I66" s="779"/>
      <c r="J66" s="780">
        <f t="shared" si="0"/>
        <v>3761170034.2378817</v>
      </c>
      <c r="K66" s="778"/>
      <c r="L66" s="779"/>
      <c r="M66" s="780">
        <f>'summary-2'!M75</f>
        <v>9416113181.7497463</v>
      </c>
      <c r="N66" s="778"/>
      <c r="O66" s="779"/>
      <c r="P66" s="782" t="s">
        <v>800</v>
      </c>
      <c r="Q66" s="782"/>
      <c r="R66" s="783"/>
      <c r="S66" s="958" t="s">
        <v>843</v>
      </c>
      <c r="T66" s="959"/>
      <c r="U66" s="960"/>
      <c r="W66" s="369"/>
      <c r="X66" s="369"/>
      <c r="Y66" s="369"/>
    </row>
    <row r="67" spans="1:29" ht="14.1" customHeight="1">
      <c r="A67" s="767">
        <v>23</v>
      </c>
      <c r="B67" s="772" t="s">
        <v>819</v>
      </c>
      <c r="C67" s="687"/>
      <c r="D67" s="687"/>
      <c r="E67" s="687"/>
      <c r="F67" s="687"/>
      <c r="G67" s="839">
        <f>'summary-2'!G76:I76</f>
        <v>155371941.92498612</v>
      </c>
      <c r="H67" s="840"/>
      <c r="I67" s="840"/>
      <c r="J67" s="835">
        <f t="shared" si="0"/>
        <v>7489115734.9197245</v>
      </c>
      <c r="K67" s="646"/>
      <c r="L67" s="834"/>
      <c r="M67" s="835">
        <f>'summary-2'!M76</f>
        <v>7644487676.8447104</v>
      </c>
      <c r="N67" s="646"/>
      <c r="O67" s="834"/>
      <c r="P67" s="841" t="s">
        <v>801</v>
      </c>
      <c r="Q67" s="841"/>
      <c r="R67" s="842"/>
      <c r="S67" s="961"/>
      <c r="T67" s="962"/>
      <c r="U67" s="963"/>
      <c r="W67" s="369"/>
      <c r="X67" s="369"/>
      <c r="Y67" s="369"/>
    </row>
    <row r="68" spans="1:29" ht="14.1" customHeight="1" thickBot="1">
      <c r="A68" s="974">
        <v>23</v>
      </c>
      <c r="B68" s="975" t="s">
        <v>819</v>
      </c>
      <c r="C68" s="916"/>
      <c r="D68" s="916"/>
      <c r="E68" s="916"/>
      <c r="F68" s="916"/>
      <c r="G68" s="967"/>
      <c r="H68" s="968"/>
      <c r="I68" s="969"/>
      <c r="J68" s="970">
        <f t="shared" si="0"/>
        <v>0</v>
      </c>
      <c r="K68" s="968"/>
      <c r="L68" s="969"/>
      <c r="M68" s="970">
        <f>'summary-2'!M77</f>
        <v>0</v>
      </c>
      <c r="N68" s="968"/>
      <c r="O68" s="969"/>
      <c r="P68" s="971" t="s">
        <v>802</v>
      </c>
      <c r="Q68" s="971"/>
      <c r="R68" s="972"/>
      <c r="S68" s="964"/>
      <c r="T68" s="965"/>
      <c r="U68" s="966"/>
      <c r="W68" s="369"/>
      <c r="X68" s="369"/>
      <c r="Y68" s="369"/>
    </row>
    <row r="69" spans="1:29" ht="9.9499999999999993" customHeight="1" thickBot="1">
      <c r="A69" s="916"/>
      <c r="B69" s="916"/>
      <c r="C69" s="916"/>
      <c r="D69" s="916"/>
      <c r="E69" s="916"/>
      <c r="F69" s="916"/>
      <c r="G69" s="916"/>
      <c r="H69" s="916"/>
      <c r="I69" s="916"/>
      <c r="J69" s="916"/>
      <c r="K69" s="916"/>
      <c r="L69" s="916"/>
      <c r="M69" s="916"/>
      <c r="N69" s="916"/>
      <c r="O69" s="916"/>
      <c r="P69" s="916"/>
      <c r="Q69" s="916"/>
      <c r="R69" s="916"/>
      <c r="S69" s="916"/>
      <c r="T69" s="916"/>
      <c r="U69" s="916"/>
      <c r="W69" s="369"/>
      <c r="X69" s="369"/>
    </row>
    <row r="70" spans="1:29" s="353" customFormat="1" ht="20.100000000000001" customHeight="1">
      <c r="A70" s="784" t="s">
        <v>821</v>
      </c>
      <c r="B70" s="785"/>
      <c r="C70" s="785"/>
      <c r="D70" s="785"/>
      <c r="E70" s="785"/>
      <c r="F70" s="785"/>
      <c r="G70" s="785"/>
      <c r="H70" s="786" t="s">
        <v>822</v>
      </c>
      <c r="I70" s="786"/>
      <c r="J70" s="786"/>
      <c r="K70" s="786"/>
      <c r="L70" s="786"/>
      <c r="M70" s="786"/>
      <c r="N70" s="786"/>
      <c r="O70" s="785" t="s">
        <v>823</v>
      </c>
      <c r="P70" s="785"/>
      <c r="Q70" s="785"/>
      <c r="R70" s="785"/>
      <c r="S70" s="785"/>
      <c r="T70" s="785"/>
      <c r="U70" s="787"/>
      <c r="W70" s="369"/>
      <c r="X70" s="369"/>
      <c r="Y70" s="369"/>
      <c r="Z70" s="369"/>
      <c r="AA70" s="369"/>
      <c r="AB70" s="369"/>
      <c r="AC70" s="369"/>
    </row>
    <row r="71" spans="1:29" ht="42" customHeight="1" thickBot="1">
      <c r="A71" s="763"/>
      <c r="B71" s="764"/>
      <c r="C71" s="764"/>
      <c r="D71" s="764"/>
      <c r="E71" s="764"/>
      <c r="F71" s="764"/>
      <c r="G71" s="764"/>
      <c r="H71" s="764"/>
      <c r="I71" s="764"/>
      <c r="J71" s="764"/>
      <c r="K71" s="764"/>
      <c r="L71" s="764"/>
      <c r="M71" s="764"/>
      <c r="N71" s="764"/>
      <c r="O71" s="764"/>
      <c r="P71" s="764"/>
      <c r="Q71" s="764"/>
      <c r="R71" s="764"/>
      <c r="S71" s="764"/>
      <c r="T71" s="764"/>
      <c r="U71" s="765"/>
      <c r="X71" s="369"/>
    </row>
    <row r="72" spans="1:29" s="363" customFormat="1" ht="20.100000000000001" customHeight="1"/>
    <row r="73" spans="1:29" s="363" customFormat="1" ht="20.100000000000001" customHeight="1">
      <c r="G73" s="957"/>
      <c r="H73" s="957"/>
      <c r="I73" s="957"/>
      <c r="J73" s="957"/>
      <c r="K73" s="957"/>
      <c r="L73" s="957"/>
      <c r="M73" s="957"/>
      <c r="N73" s="957"/>
      <c r="O73" s="957"/>
    </row>
    <row r="74" spans="1:29" s="363" customFormat="1" ht="20.100000000000001" customHeight="1">
      <c r="G74" s="957"/>
      <c r="H74" s="957"/>
      <c r="I74" s="957"/>
      <c r="J74" s="957"/>
      <c r="K74" s="957"/>
      <c r="L74" s="957"/>
      <c r="M74" s="957"/>
      <c r="N74" s="957"/>
      <c r="O74" s="957"/>
    </row>
    <row r="75" spans="1:29" s="363" customFormat="1" ht="20.100000000000001" customHeight="1">
      <c r="G75" s="957"/>
      <c r="H75" s="957"/>
      <c r="I75" s="957"/>
      <c r="J75" s="957"/>
      <c r="K75" s="957"/>
      <c r="L75" s="957"/>
      <c r="M75" s="957"/>
      <c r="N75" s="957"/>
      <c r="O75" s="957"/>
    </row>
    <row r="76" spans="1:29" s="363" customFormat="1" ht="20.100000000000001" customHeight="1">
      <c r="G76" s="957"/>
      <c r="H76" s="957"/>
      <c r="I76" s="957"/>
      <c r="J76" s="957"/>
      <c r="K76" s="957"/>
      <c r="L76" s="957"/>
      <c r="M76" s="957"/>
      <c r="N76" s="957"/>
      <c r="O76" s="957"/>
    </row>
    <row r="77" spans="1:29" s="363" customFormat="1" ht="20.100000000000001" customHeight="1">
      <c r="G77" s="957"/>
      <c r="H77" s="957"/>
      <c r="I77" s="957"/>
      <c r="J77" s="957"/>
      <c r="K77" s="957"/>
      <c r="L77" s="957"/>
      <c r="M77" s="957"/>
      <c r="N77" s="957"/>
      <c r="O77" s="957"/>
    </row>
    <row r="78" spans="1:29" s="363" customFormat="1" ht="20.100000000000001" customHeight="1">
      <c r="G78" s="957"/>
      <c r="H78" s="957"/>
      <c r="I78" s="957"/>
      <c r="J78" s="957"/>
      <c r="K78" s="957"/>
      <c r="L78" s="957"/>
      <c r="M78" s="957"/>
      <c r="N78" s="957"/>
      <c r="O78" s="957"/>
    </row>
    <row r="79" spans="1:29" s="363" customFormat="1" ht="20.100000000000001" customHeight="1">
      <c r="G79" s="957"/>
      <c r="H79" s="957"/>
      <c r="I79" s="957"/>
      <c r="J79" s="957"/>
      <c r="K79" s="957"/>
      <c r="L79" s="957"/>
      <c r="M79" s="957"/>
      <c r="N79" s="957"/>
      <c r="O79" s="957"/>
    </row>
    <row r="80" spans="1:29" s="363" customFormat="1" ht="20.100000000000001" customHeight="1">
      <c r="G80" s="957"/>
      <c r="H80" s="957"/>
      <c r="I80" s="957"/>
      <c r="J80" s="957"/>
      <c r="K80" s="957"/>
      <c r="L80" s="957"/>
      <c r="M80" s="957"/>
      <c r="N80" s="957"/>
      <c r="O80" s="957"/>
    </row>
    <row r="81" spans="7:15" s="363" customFormat="1" ht="20.100000000000001" customHeight="1">
      <c r="G81" s="957"/>
      <c r="H81" s="957"/>
      <c r="I81" s="957"/>
      <c r="J81" s="957"/>
      <c r="K81" s="957"/>
      <c r="L81" s="957"/>
      <c r="M81" s="957"/>
      <c r="N81" s="957"/>
      <c r="O81" s="957"/>
    </row>
    <row r="82" spans="7:15" s="363" customFormat="1" ht="20.100000000000001" customHeight="1">
      <c r="G82" s="957"/>
      <c r="H82" s="957"/>
      <c r="I82" s="957"/>
      <c r="J82" s="957"/>
      <c r="K82" s="957"/>
      <c r="L82" s="957"/>
      <c r="M82" s="957"/>
      <c r="N82" s="957"/>
      <c r="O82" s="957"/>
    </row>
    <row r="83" spans="7:15" s="363" customFormat="1" ht="20.100000000000001" customHeight="1">
      <c r="G83" s="957"/>
      <c r="H83" s="957"/>
      <c r="I83" s="957"/>
      <c r="J83" s="957"/>
      <c r="K83" s="957"/>
      <c r="L83" s="957"/>
      <c r="M83" s="957"/>
      <c r="N83" s="957"/>
      <c r="O83" s="957"/>
    </row>
    <row r="84" spans="7:15" s="363" customFormat="1" ht="20.100000000000001" customHeight="1">
      <c r="G84" s="957"/>
      <c r="H84" s="957"/>
      <c r="I84" s="957"/>
      <c r="J84" s="957"/>
      <c r="K84" s="957"/>
      <c r="L84" s="957"/>
      <c r="M84" s="957"/>
      <c r="N84" s="957"/>
      <c r="O84" s="957"/>
    </row>
    <row r="85" spans="7:15" s="363" customFormat="1" ht="20.100000000000001" customHeight="1">
      <c r="G85" s="957"/>
      <c r="H85" s="957"/>
      <c r="I85" s="957"/>
      <c r="J85" s="957"/>
      <c r="K85" s="957"/>
      <c r="L85" s="957"/>
      <c r="M85" s="957"/>
      <c r="N85" s="957"/>
      <c r="O85" s="957"/>
    </row>
    <row r="86" spans="7:15" s="363" customFormat="1" ht="20.100000000000001" customHeight="1">
      <c r="G86" s="957"/>
      <c r="H86" s="957"/>
      <c r="I86" s="957"/>
      <c r="J86" s="957"/>
      <c r="K86" s="957"/>
      <c r="L86" s="957"/>
      <c r="M86" s="957"/>
      <c r="N86" s="957"/>
      <c r="O86" s="957"/>
    </row>
    <row r="87" spans="7:15" s="363" customFormat="1" ht="20.100000000000001" customHeight="1">
      <c r="G87" s="957"/>
      <c r="H87" s="957"/>
      <c r="I87" s="957"/>
      <c r="J87" s="957"/>
      <c r="K87" s="957"/>
      <c r="L87" s="957"/>
      <c r="M87" s="957"/>
      <c r="N87" s="957"/>
      <c r="O87" s="957"/>
    </row>
    <row r="88" spans="7:15" s="363" customFormat="1" ht="20.100000000000001" customHeight="1">
      <c r="G88" s="957"/>
      <c r="H88" s="957"/>
      <c r="I88" s="957"/>
      <c r="J88" s="957"/>
      <c r="K88" s="957"/>
      <c r="L88" s="957"/>
      <c r="M88" s="957"/>
      <c r="N88" s="957"/>
      <c r="O88" s="957"/>
    </row>
    <row r="89" spans="7:15" s="363" customFormat="1" ht="20.100000000000001" customHeight="1"/>
    <row r="90" spans="7:15" s="363" customFormat="1" ht="20.100000000000001" customHeight="1"/>
    <row r="91" spans="7:15" s="363" customFormat="1" ht="20.100000000000001" customHeight="1"/>
    <row r="92" spans="7:15" s="363" customFormat="1" ht="20.100000000000001" customHeight="1"/>
    <row r="93" spans="7:15" s="363" customFormat="1" ht="20.100000000000001" customHeight="1"/>
    <row r="94" spans="7:15" s="363" customFormat="1" ht="20.100000000000001" customHeight="1"/>
    <row r="95" spans="7:15" s="363" customFormat="1" ht="20.100000000000001" customHeight="1"/>
    <row r="96" spans="7:15" s="363" customFormat="1" ht="20.100000000000001" customHeight="1"/>
  </sheetData>
  <mergeCells count="374">
    <mergeCell ref="A1:E3"/>
    <mergeCell ref="F1:P3"/>
    <mergeCell ref="Q1:U3"/>
    <mergeCell ref="A4:C4"/>
    <mergeCell ref="D4:E4"/>
    <mergeCell ref="F4:H4"/>
    <mergeCell ref="I4:J4"/>
    <mergeCell ref="K4:L4"/>
    <mergeCell ref="M4:N4"/>
    <mergeCell ref="O4:P4"/>
    <mergeCell ref="Q4:U4"/>
    <mergeCell ref="A5:C5"/>
    <mergeCell ref="D5:E5"/>
    <mergeCell ref="F5:H5"/>
    <mergeCell ref="I5:J5"/>
    <mergeCell ref="K5:L5"/>
    <mergeCell ref="M5:N5"/>
    <mergeCell ref="O5:P5"/>
    <mergeCell ref="Q5:U5"/>
    <mergeCell ref="A6:U6"/>
    <mergeCell ref="A7:U7"/>
    <mergeCell ref="A8:U8"/>
    <mergeCell ref="A9:C9"/>
    <mergeCell ref="D9:G9"/>
    <mergeCell ref="H9:J9"/>
    <mergeCell ref="K9:N9"/>
    <mergeCell ref="O9:Q9"/>
    <mergeCell ref="R9:U9"/>
    <mergeCell ref="A11:C11"/>
    <mergeCell ref="D11:G11"/>
    <mergeCell ref="H11:J11"/>
    <mergeCell ref="K11:N11"/>
    <mergeCell ref="O11:Q11"/>
    <mergeCell ref="R11:U11"/>
    <mergeCell ref="A10:C10"/>
    <mergeCell ref="D10:G10"/>
    <mergeCell ref="H10:J10"/>
    <mergeCell ref="K10:N10"/>
    <mergeCell ref="O10:Q10"/>
    <mergeCell ref="R10:U10"/>
    <mergeCell ref="A15:A17"/>
    <mergeCell ref="B15:F17"/>
    <mergeCell ref="G15:I15"/>
    <mergeCell ref="J15:L15"/>
    <mergeCell ref="M15:O15"/>
    <mergeCell ref="P15:R15"/>
    <mergeCell ref="A12:U12"/>
    <mergeCell ref="A13:A14"/>
    <mergeCell ref="B13:F14"/>
    <mergeCell ref="G13:O13"/>
    <mergeCell ref="P13:R14"/>
    <mergeCell ref="S13:U14"/>
    <mergeCell ref="G14:I14"/>
    <mergeCell ref="J14:L14"/>
    <mergeCell ref="M14:O14"/>
    <mergeCell ref="S15:U17"/>
    <mergeCell ref="G16:I16"/>
    <mergeCell ref="J16:L16"/>
    <mergeCell ref="M16:O16"/>
    <mergeCell ref="P16:R16"/>
    <mergeCell ref="G17:I17"/>
    <mergeCell ref="J17:L17"/>
    <mergeCell ref="M17:O17"/>
    <mergeCell ref="P17:R17"/>
    <mergeCell ref="A18:A20"/>
    <mergeCell ref="B18:F20"/>
    <mergeCell ref="G18:I18"/>
    <mergeCell ref="J18:L18"/>
    <mergeCell ref="M18:O18"/>
    <mergeCell ref="P18:R18"/>
    <mergeCell ref="S21:U23"/>
    <mergeCell ref="G22:I22"/>
    <mergeCell ref="J22:L22"/>
    <mergeCell ref="S18:U20"/>
    <mergeCell ref="G19:I19"/>
    <mergeCell ref="J19:L19"/>
    <mergeCell ref="M19:O19"/>
    <mergeCell ref="P19:R19"/>
    <mergeCell ref="G20:I20"/>
    <mergeCell ref="J20:L20"/>
    <mergeCell ref="M20:O20"/>
    <mergeCell ref="P20:R20"/>
    <mergeCell ref="M22:O22"/>
    <mergeCell ref="P22:R22"/>
    <mergeCell ref="G23:I23"/>
    <mergeCell ref="J23:L23"/>
    <mergeCell ref="M23:O23"/>
    <mergeCell ref="P23:R23"/>
    <mergeCell ref="A27:A29"/>
    <mergeCell ref="B27:F29"/>
    <mergeCell ref="G27:I27"/>
    <mergeCell ref="J27:L27"/>
    <mergeCell ref="M27:O27"/>
    <mergeCell ref="P27:R27"/>
    <mergeCell ref="A24:A26"/>
    <mergeCell ref="B24:F26"/>
    <mergeCell ref="A21:A23"/>
    <mergeCell ref="B21:F23"/>
    <mergeCell ref="G21:I21"/>
    <mergeCell ref="J21:L21"/>
    <mergeCell ref="M21:O21"/>
    <mergeCell ref="P21:R21"/>
    <mergeCell ref="S24:U26"/>
    <mergeCell ref="G25:I25"/>
    <mergeCell ref="J25:L25"/>
    <mergeCell ref="M25:O25"/>
    <mergeCell ref="P25:R25"/>
    <mergeCell ref="G26:I26"/>
    <mergeCell ref="J26:L26"/>
    <mergeCell ref="M26:O26"/>
    <mergeCell ref="P26:R26"/>
    <mergeCell ref="G24:I24"/>
    <mergeCell ref="J24:L24"/>
    <mergeCell ref="M24:O24"/>
    <mergeCell ref="P24:R24"/>
    <mergeCell ref="S27:U29"/>
    <mergeCell ref="G28:I28"/>
    <mergeCell ref="J28:L28"/>
    <mergeCell ref="M28:O28"/>
    <mergeCell ref="P28:R28"/>
    <mergeCell ref="G29:I29"/>
    <mergeCell ref="J29:L29"/>
    <mergeCell ref="M29:O29"/>
    <mergeCell ref="P29:R29"/>
    <mergeCell ref="A30:A32"/>
    <mergeCell ref="B30:F32"/>
    <mergeCell ref="G30:I30"/>
    <mergeCell ref="J30:L30"/>
    <mergeCell ref="M30:O30"/>
    <mergeCell ref="P30:R30"/>
    <mergeCell ref="S33:U35"/>
    <mergeCell ref="G34:I34"/>
    <mergeCell ref="J34:L34"/>
    <mergeCell ref="S30:U32"/>
    <mergeCell ref="G31:I31"/>
    <mergeCell ref="J31:L31"/>
    <mergeCell ref="M31:O31"/>
    <mergeCell ref="P31:R31"/>
    <mergeCell ref="G32:I32"/>
    <mergeCell ref="J32:L32"/>
    <mergeCell ref="M32:O32"/>
    <mergeCell ref="P32:R32"/>
    <mergeCell ref="M34:O34"/>
    <mergeCell ref="P34:R34"/>
    <mergeCell ref="G35:I35"/>
    <mergeCell ref="J35:L35"/>
    <mergeCell ref="M35:O35"/>
    <mergeCell ref="P35:R35"/>
    <mergeCell ref="A39:A41"/>
    <mergeCell ref="B39:F41"/>
    <mergeCell ref="G39:I39"/>
    <mergeCell ref="J39:L39"/>
    <mergeCell ref="M39:O39"/>
    <mergeCell ref="P39:R39"/>
    <mergeCell ref="A36:A38"/>
    <mergeCell ref="B36:F38"/>
    <mergeCell ref="A33:A35"/>
    <mergeCell ref="B33:F35"/>
    <mergeCell ref="G33:I33"/>
    <mergeCell ref="J33:L33"/>
    <mergeCell ref="M33:O33"/>
    <mergeCell ref="P33:R33"/>
    <mergeCell ref="S36:U38"/>
    <mergeCell ref="G37:I37"/>
    <mergeCell ref="J37:L37"/>
    <mergeCell ref="M37:O37"/>
    <mergeCell ref="P37:R37"/>
    <mergeCell ref="G38:I38"/>
    <mergeCell ref="J38:L38"/>
    <mergeCell ref="M38:O38"/>
    <mergeCell ref="P38:R38"/>
    <mergeCell ref="G36:I36"/>
    <mergeCell ref="J36:L36"/>
    <mergeCell ref="M36:O36"/>
    <mergeCell ref="P36:R36"/>
    <mergeCell ref="S39:U41"/>
    <mergeCell ref="G40:I40"/>
    <mergeCell ref="J40:L40"/>
    <mergeCell ref="M40:O40"/>
    <mergeCell ref="P40:R40"/>
    <mergeCell ref="G41:I41"/>
    <mergeCell ref="J41:L41"/>
    <mergeCell ref="M41:O41"/>
    <mergeCell ref="P41:R41"/>
    <mergeCell ref="A42:A44"/>
    <mergeCell ref="B42:F44"/>
    <mergeCell ref="G42:I42"/>
    <mergeCell ref="J42:L42"/>
    <mergeCell ref="M42:O42"/>
    <mergeCell ref="P42:R42"/>
    <mergeCell ref="S45:U47"/>
    <mergeCell ref="G46:I46"/>
    <mergeCell ref="J46:L46"/>
    <mergeCell ref="S42:U44"/>
    <mergeCell ref="G43:I43"/>
    <mergeCell ref="J43:L43"/>
    <mergeCell ref="M43:O43"/>
    <mergeCell ref="P43:R43"/>
    <mergeCell ref="G44:I44"/>
    <mergeCell ref="J44:L44"/>
    <mergeCell ref="M44:O44"/>
    <mergeCell ref="P44:R44"/>
    <mergeCell ref="M46:O46"/>
    <mergeCell ref="P46:R46"/>
    <mergeCell ref="G47:I47"/>
    <mergeCell ref="J47:L47"/>
    <mergeCell ref="M47:O47"/>
    <mergeCell ref="P47:R47"/>
    <mergeCell ref="A51:A53"/>
    <mergeCell ref="B51:F53"/>
    <mergeCell ref="G51:I51"/>
    <mergeCell ref="J51:L51"/>
    <mergeCell ref="M51:O51"/>
    <mergeCell ref="P51:R51"/>
    <mergeCell ref="A48:A50"/>
    <mergeCell ref="B48:F50"/>
    <mergeCell ref="A45:A47"/>
    <mergeCell ref="B45:F47"/>
    <mergeCell ref="G45:I45"/>
    <mergeCell ref="J45:L45"/>
    <mergeCell ref="M45:O45"/>
    <mergeCell ref="P45:R45"/>
    <mergeCell ref="S48:U50"/>
    <mergeCell ref="G49:I49"/>
    <mergeCell ref="J49:L49"/>
    <mergeCell ref="M49:O49"/>
    <mergeCell ref="P49:R49"/>
    <mergeCell ref="G50:I50"/>
    <mergeCell ref="J50:L50"/>
    <mergeCell ref="M50:O50"/>
    <mergeCell ref="P50:R50"/>
    <mergeCell ref="G48:I48"/>
    <mergeCell ref="J48:L48"/>
    <mergeCell ref="M48:O48"/>
    <mergeCell ref="P48:R48"/>
    <mergeCell ref="S51:U53"/>
    <mergeCell ref="G52:I52"/>
    <mergeCell ref="J52:L52"/>
    <mergeCell ref="M52:O52"/>
    <mergeCell ref="P52:R52"/>
    <mergeCell ref="G53:I53"/>
    <mergeCell ref="J53:L53"/>
    <mergeCell ref="M53:O53"/>
    <mergeCell ref="P53:R53"/>
    <mergeCell ref="A54:A56"/>
    <mergeCell ref="B54:F56"/>
    <mergeCell ref="G54:I54"/>
    <mergeCell ref="J54:L54"/>
    <mergeCell ref="M54:O54"/>
    <mergeCell ref="P54:R54"/>
    <mergeCell ref="S57:U59"/>
    <mergeCell ref="G58:I58"/>
    <mergeCell ref="J58:L58"/>
    <mergeCell ref="S54:U56"/>
    <mergeCell ref="G55:I55"/>
    <mergeCell ref="J55:L55"/>
    <mergeCell ref="M55:O55"/>
    <mergeCell ref="P55:R55"/>
    <mergeCell ref="G56:I56"/>
    <mergeCell ref="J56:L56"/>
    <mergeCell ref="M56:O56"/>
    <mergeCell ref="P56:R56"/>
    <mergeCell ref="M58:O58"/>
    <mergeCell ref="P58:R58"/>
    <mergeCell ref="G59:I59"/>
    <mergeCell ref="J59:L59"/>
    <mergeCell ref="M59:O59"/>
    <mergeCell ref="P59:R59"/>
    <mergeCell ref="A63:A65"/>
    <mergeCell ref="B63:F65"/>
    <mergeCell ref="G63:I63"/>
    <mergeCell ref="J63:L63"/>
    <mergeCell ref="M63:O63"/>
    <mergeCell ref="P63:R63"/>
    <mergeCell ref="A60:A62"/>
    <mergeCell ref="B60:F62"/>
    <mergeCell ref="A57:A59"/>
    <mergeCell ref="B57:F59"/>
    <mergeCell ref="G57:I57"/>
    <mergeCell ref="J57:L57"/>
    <mergeCell ref="M57:O57"/>
    <mergeCell ref="P57:R57"/>
    <mergeCell ref="S60:U62"/>
    <mergeCell ref="G61:I61"/>
    <mergeCell ref="J61:L61"/>
    <mergeCell ref="M61:O61"/>
    <mergeCell ref="P61:R61"/>
    <mergeCell ref="G62:I62"/>
    <mergeCell ref="J62:L62"/>
    <mergeCell ref="M62:O62"/>
    <mergeCell ref="P62:R62"/>
    <mergeCell ref="G60:I60"/>
    <mergeCell ref="J60:L60"/>
    <mergeCell ref="M60:O60"/>
    <mergeCell ref="P60:R60"/>
    <mergeCell ref="S63:U65"/>
    <mergeCell ref="G64:I64"/>
    <mergeCell ref="J64:L64"/>
    <mergeCell ref="M64:O64"/>
    <mergeCell ref="P64:R64"/>
    <mergeCell ref="G65:I65"/>
    <mergeCell ref="J65:L65"/>
    <mergeCell ref="M65:O65"/>
    <mergeCell ref="P65:R65"/>
    <mergeCell ref="A69:U69"/>
    <mergeCell ref="A70:G70"/>
    <mergeCell ref="H70:N70"/>
    <mergeCell ref="O70:U70"/>
    <mergeCell ref="A71:G71"/>
    <mergeCell ref="H71:N71"/>
    <mergeCell ref="O71:U71"/>
    <mergeCell ref="S66:U68"/>
    <mergeCell ref="G67:I67"/>
    <mergeCell ref="J67:L67"/>
    <mergeCell ref="M67:O67"/>
    <mergeCell ref="P67:R67"/>
    <mergeCell ref="G68:I68"/>
    <mergeCell ref="J68:L68"/>
    <mergeCell ref="M68:O68"/>
    <mergeCell ref="P68:R68"/>
    <mergeCell ref="A66:A68"/>
    <mergeCell ref="B66:F68"/>
    <mergeCell ref="G66:I66"/>
    <mergeCell ref="J66:L66"/>
    <mergeCell ref="M66:O66"/>
    <mergeCell ref="P66:R66"/>
    <mergeCell ref="G75:I75"/>
    <mergeCell ref="J75:L75"/>
    <mergeCell ref="M75:O75"/>
    <mergeCell ref="G76:I76"/>
    <mergeCell ref="J76:L76"/>
    <mergeCell ref="M76:O76"/>
    <mergeCell ref="G73:I73"/>
    <mergeCell ref="J73:L73"/>
    <mergeCell ref="M73:O73"/>
    <mergeCell ref="G74:I74"/>
    <mergeCell ref="J74:L74"/>
    <mergeCell ref="M74:O74"/>
    <mergeCell ref="G79:I79"/>
    <mergeCell ref="J79:L79"/>
    <mergeCell ref="M79:O79"/>
    <mergeCell ref="G80:I80"/>
    <mergeCell ref="J80:L80"/>
    <mergeCell ref="M80:O80"/>
    <mergeCell ref="G77:I77"/>
    <mergeCell ref="J77:L77"/>
    <mergeCell ref="M77:O77"/>
    <mergeCell ref="G78:I78"/>
    <mergeCell ref="J78:L78"/>
    <mergeCell ref="M78:O78"/>
    <mergeCell ref="G83:I83"/>
    <mergeCell ref="J83:L83"/>
    <mergeCell ref="M83:O83"/>
    <mergeCell ref="G84:I84"/>
    <mergeCell ref="J84:L84"/>
    <mergeCell ref="M84:O84"/>
    <mergeCell ref="G81:I81"/>
    <mergeCell ref="J81:L81"/>
    <mergeCell ref="M81:O81"/>
    <mergeCell ref="G82:I82"/>
    <mergeCell ref="J82:L82"/>
    <mergeCell ref="M82:O82"/>
    <mergeCell ref="G87:I87"/>
    <mergeCell ref="J87:L87"/>
    <mergeCell ref="M87:O87"/>
    <mergeCell ref="G88:I88"/>
    <mergeCell ref="J88:L88"/>
    <mergeCell ref="M88:O88"/>
    <mergeCell ref="G85:I85"/>
    <mergeCell ref="J85:L85"/>
    <mergeCell ref="M85:O85"/>
    <mergeCell ref="G86:I86"/>
    <mergeCell ref="J86:L86"/>
    <mergeCell ref="M86:O86"/>
  </mergeCells>
  <printOptions horizontalCentered="1"/>
  <pageMargins left="0" right="0" top="0.1" bottom="0.1" header="0" footer="0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J39"/>
  <sheetViews>
    <sheetView rightToLeft="1" view="pageBreakPreview" zoomScale="70" zoomScaleNormal="70" zoomScaleSheetLayoutView="70" workbookViewId="0">
      <selection activeCell="G4" sqref="G4:H5"/>
    </sheetView>
  </sheetViews>
  <sheetFormatPr defaultColWidth="9" defaultRowHeight="16.899999999999999"/>
  <cols>
    <col min="1" max="1" width="4.125" style="1" customWidth="1"/>
    <col min="2" max="2" width="8.125" style="1" customWidth="1"/>
    <col min="3" max="3" width="21.5625" style="1" customWidth="1"/>
    <col min="4" max="4" width="17.4375" style="1" customWidth="1"/>
    <col min="5" max="5" width="40.3125" style="1" customWidth="1"/>
    <col min="6" max="6" width="31" style="61" customWidth="1"/>
    <col min="7" max="7" width="29.5625" style="61" bestFit="1" customWidth="1"/>
    <col min="8" max="8" width="15.875" style="61" customWidth="1"/>
    <col min="9" max="9" width="21.4375" style="1" bestFit="1" customWidth="1"/>
    <col min="10" max="10" width="20.3125" style="1" bestFit="1" customWidth="1"/>
    <col min="11" max="16384" width="9" style="1"/>
  </cols>
  <sheetData>
    <row r="1" spans="1:10" ht="20.100000000000001" customHeight="1">
      <c r="A1" s="126"/>
      <c r="B1" s="126"/>
      <c r="C1" s="126"/>
      <c r="D1" s="135" t="s">
        <v>13</v>
      </c>
      <c r="E1" s="137" t="s">
        <v>435</v>
      </c>
      <c r="F1" s="1000" t="s">
        <v>8</v>
      </c>
      <c r="G1" s="999" t="s">
        <v>439</v>
      </c>
      <c r="H1" s="999"/>
    </row>
    <row r="2" spans="1:10" ht="20.100000000000001" customHeight="1">
      <c r="A2" s="126"/>
      <c r="B2" s="126"/>
      <c r="C2" s="126"/>
      <c r="D2" s="135" t="s">
        <v>14</v>
      </c>
      <c r="E2" s="137" t="s">
        <v>17</v>
      </c>
      <c r="F2" s="1000"/>
      <c r="G2" s="999"/>
      <c r="H2" s="999"/>
    </row>
    <row r="3" spans="1:10" ht="39.950000000000003" customHeight="1">
      <c r="A3" s="126"/>
      <c r="B3" s="126"/>
      <c r="C3" s="126"/>
      <c r="D3" s="135" t="s">
        <v>195</v>
      </c>
      <c r="E3" s="247" t="s">
        <v>443</v>
      </c>
      <c r="F3" s="248" t="s">
        <v>441</v>
      </c>
      <c r="G3" s="999" t="s">
        <v>442</v>
      </c>
      <c r="H3" s="999"/>
    </row>
    <row r="4" spans="1:10" ht="24.95" customHeight="1">
      <c r="A4" s="126"/>
      <c r="B4" s="126"/>
      <c r="C4" s="126"/>
      <c r="D4" s="135" t="s">
        <v>437</v>
      </c>
      <c r="E4" s="138" t="s">
        <v>850</v>
      </c>
      <c r="F4" s="1000" t="s">
        <v>440</v>
      </c>
      <c r="G4" s="1002">
        <v>1197477151532</v>
      </c>
      <c r="H4" s="1002"/>
    </row>
    <row r="5" spans="1:10" ht="53.25" customHeight="1">
      <c r="A5" s="139"/>
      <c r="B5" s="139"/>
      <c r="C5" s="139"/>
      <c r="D5" s="141" t="s">
        <v>438</v>
      </c>
      <c r="E5" s="140" t="s">
        <v>856</v>
      </c>
      <c r="F5" s="1001"/>
      <c r="G5" s="1003"/>
      <c r="H5" s="1003"/>
    </row>
    <row r="6" spans="1:10" ht="24" customHeight="1">
      <c r="A6" s="1008" t="s">
        <v>0</v>
      </c>
      <c r="B6" s="1010" t="s">
        <v>1</v>
      </c>
      <c r="C6" s="1004" t="s">
        <v>18</v>
      </c>
      <c r="D6" s="1004"/>
      <c r="E6" s="1004"/>
      <c r="F6" s="997" t="s">
        <v>3</v>
      </c>
      <c r="G6" s="406"/>
      <c r="H6" s="407"/>
    </row>
    <row r="7" spans="1:10" ht="24" customHeight="1">
      <c r="A7" s="1009"/>
      <c r="B7" s="1011"/>
      <c r="C7" s="1005"/>
      <c r="D7" s="1005"/>
      <c r="E7" s="1005"/>
      <c r="F7" s="998"/>
      <c r="G7" s="400" t="s">
        <v>4</v>
      </c>
      <c r="H7" s="401" t="s">
        <v>5</v>
      </c>
    </row>
    <row r="8" spans="1:10" s="329" customFormat="1" ht="27.95" customHeight="1">
      <c r="A8" s="148">
        <v>1</v>
      </c>
      <c r="B8" s="328">
        <v>1</v>
      </c>
      <c r="C8" s="1006" t="s">
        <v>436</v>
      </c>
      <c r="D8" s="1006"/>
      <c r="E8" s="1006"/>
      <c r="F8" s="330">
        <f>SUM(F9,F14,F17,F22,F30)</f>
        <v>849126161415.91675</v>
      </c>
      <c r="G8" s="331">
        <f>SUM(G9,G14,G17,G22,G30)</f>
        <v>447812039495.19043</v>
      </c>
      <c r="H8" s="332"/>
      <c r="I8" s="504">
        <f>G8-'summary-2'!M79</f>
        <v>0</v>
      </c>
      <c r="J8" s="503"/>
    </row>
    <row r="9" spans="1:10" s="122" customFormat="1" ht="27.95" customHeight="1">
      <c r="A9" s="148">
        <v>2</v>
      </c>
      <c r="B9" s="128">
        <v>1.3</v>
      </c>
      <c r="C9" s="1012" t="s">
        <v>455</v>
      </c>
      <c r="D9" s="1012"/>
      <c r="E9" s="1012"/>
      <c r="F9" s="333">
        <f>SUM(F10:F13)</f>
        <v>61064149865.282799</v>
      </c>
      <c r="G9" s="334">
        <f>SUM(G10:G13)</f>
        <v>40662132896.555</v>
      </c>
      <c r="H9" s="335"/>
    </row>
    <row r="10" spans="1:10" s="160" customFormat="1" ht="27.95" customHeight="1">
      <c r="A10" s="148">
        <v>3</v>
      </c>
      <c r="B10" s="127" t="s">
        <v>21</v>
      </c>
      <c r="C10" s="1007" t="s">
        <v>736</v>
      </c>
      <c r="D10" s="1007"/>
      <c r="E10" s="1007"/>
      <c r="F10" s="336">
        <f>'سازمان دهی و برنامه ریزی پروژه'!I8</f>
        <v>5980200895.0908079</v>
      </c>
      <c r="G10" s="337">
        <f>'سازمان دهی و برنامه ریزی پروژه'!L8</f>
        <v>5987385758</v>
      </c>
      <c r="H10" s="338"/>
    </row>
    <row r="11" spans="1:10" s="160" customFormat="1" ht="27.95" customHeight="1">
      <c r="A11" s="148">
        <v>4</v>
      </c>
      <c r="B11" s="127" t="s">
        <v>38</v>
      </c>
      <c r="C11" s="1013" t="s">
        <v>37</v>
      </c>
      <c r="D11" s="1013"/>
      <c r="E11" s="1013"/>
      <c r="F11" s="336">
        <f>'بیمه نامه ها'!I8</f>
        <v>7184862909.1920004</v>
      </c>
      <c r="G11" s="337">
        <f>'بیمه نامه ها'!L8</f>
        <v>5295842703</v>
      </c>
      <c r="H11" s="338"/>
    </row>
    <row r="12" spans="1:10" s="160" customFormat="1" ht="27.95" customHeight="1">
      <c r="A12" s="148">
        <v>5</v>
      </c>
      <c r="B12" s="127" t="s">
        <v>44</v>
      </c>
      <c r="C12" s="1013" t="s">
        <v>57</v>
      </c>
      <c r="D12" s="1013"/>
      <c r="E12" s="1013"/>
      <c r="F12" s="336">
        <f>'تجهیز کارگاه اولیه'!I8</f>
        <v>20357111576</v>
      </c>
      <c r="G12" s="337">
        <f>'تجهیز کارگاه اولیه'!L8</f>
        <v>18830328207.800003</v>
      </c>
      <c r="H12" s="338"/>
    </row>
    <row r="13" spans="1:10" s="160" customFormat="1" ht="27.95" customHeight="1">
      <c r="A13" s="148">
        <v>6</v>
      </c>
      <c r="B13" s="127" t="s">
        <v>75</v>
      </c>
      <c r="C13" s="1013" t="s">
        <v>444</v>
      </c>
      <c r="D13" s="1013"/>
      <c r="E13" s="1013"/>
      <c r="F13" s="336">
        <f>'تجهیز کارگاه مستمر'!I8</f>
        <v>27541974484.999992</v>
      </c>
      <c r="G13" s="337">
        <f>'تجهیز کارگاه مستمر'!L8</f>
        <v>10548576227.754995</v>
      </c>
      <c r="H13" s="338"/>
    </row>
    <row r="14" spans="1:10" s="122" customFormat="1" ht="27.95" customHeight="1">
      <c r="A14" s="148">
        <v>7</v>
      </c>
      <c r="B14" s="128">
        <v>1.4</v>
      </c>
      <c r="C14" s="1012" t="s">
        <v>445</v>
      </c>
      <c r="D14" s="1012"/>
      <c r="E14" s="1012"/>
      <c r="F14" s="333">
        <f>SUM(F15:F16)</f>
        <v>55622813689.061401</v>
      </c>
      <c r="G14" s="334">
        <f>SUM(G15:G16)</f>
        <v>34233297186.694519</v>
      </c>
      <c r="H14" s="335"/>
    </row>
    <row r="15" spans="1:10" s="160" customFormat="1" ht="27.95" customHeight="1">
      <c r="A15" s="148">
        <v>8</v>
      </c>
      <c r="B15" s="127" t="s">
        <v>87</v>
      </c>
      <c r="C15" s="1013" t="s">
        <v>86</v>
      </c>
      <c r="D15" s="1013"/>
      <c r="E15" s="1013"/>
      <c r="F15" s="336">
        <f>'خدمات طراحي  مهندسي پیش از اجرا'!I8</f>
        <v>20955850152.000004</v>
      </c>
      <c r="G15" s="337">
        <f>'خدمات طراحي  مهندسي پیش از اجرا'!L8</f>
        <v>20955850152.000004</v>
      </c>
      <c r="H15" s="338"/>
    </row>
    <row r="16" spans="1:10" s="160" customFormat="1" ht="27.95" customHeight="1">
      <c r="A16" s="148">
        <v>9</v>
      </c>
      <c r="B16" s="127" t="s">
        <v>174</v>
      </c>
      <c r="C16" s="1013" t="s">
        <v>158</v>
      </c>
      <c r="D16" s="1013"/>
      <c r="E16" s="1013"/>
      <c r="F16" s="336">
        <f>'خدمات طراحي و مهندسي حین اجرا'!I8</f>
        <v>34666963537.061394</v>
      </c>
      <c r="G16" s="337">
        <f>'خدمات طراحي و مهندسي حین اجرا'!L8</f>
        <v>13277447034.694515</v>
      </c>
      <c r="H16" s="338"/>
    </row>
    <row r="17" spans="1:8" s="122" customFormat="1" ht="27.95" customHeight="1">
      <c r="A17" s="148">
        <v>10</v>
      </c>
      <c r="B17" s="128">
        <v>1.5</v>
      </c>
      <c r="C17" s="1012" t="s">
        <v>162</v>
      </c>
      <c r="D17" s="1012"/>
      <c r="E17" s="1012"/>
      <c r="F17" s="333">
        <f>F18+F19+F20+F21</f>
        <v>267896068927.80859</v>
      </c>
      <c r="G17" s="334">
        <f>G18+G19+G20+G21</f>
        <v>14929968653.741856</v>
      </c>
      <c r="H17" s="335"/>
    </row>
    <row r="18" spans="1:8" s="160" customFormat="1" ht="27.95" customHeight="1">
      <c r="A18" s="148">
        <v>11</v>
      </c>
      <c r="B18" s="127" t="s">
        <v>210</v>
      </c>
      <c r="C18" s="1013" t="s">
        <v>446</v>
      </c>
      <c r="D18" s="1013"/>
      <c r="E18" s="1013"/>
      <c r="F18" s="336">
        <f>'خدمات تامین'!I9</f>
        <v>107771683892.00006</v>
      </c>
      <c r="G18" s="337">
        <f>'خدمات تامین'!L9+فصل13ریل!J5</f>
        <v>0</v>
      </c>
      <c r="H18" s="338"/>
    </row>
    <row r="19" spans="1:8" s="160" customFormat="1" ht="27.95" customHeight="1">
      <c r="A19" s="148">
        <v>12</v>
      </c>
      <c r="B19" s="127" t="s">
        <v>211</v>
      </c>
      <c r="C19" s="1013" t="s">
        <v>105</v>
      </c>
      <c r="D19" s="1013"/>
      <c r="E19" s="1013"/>
      <c r="F19" s="336">
        <f>'خدمات تامین'!I16</f>
        <v>61073232010.650002</v>
      </c>
      <c r="G19" s="337">
        <f>'خدمات تامین'!L16</f>
        <v>0</v>
      </c>
      <c r="H19" s="338"/>
    </row>
    <row r="20" spans="1:8" s="160" customFormat="1" ht="27.95" customHeight="1">
      <c r="A20" s="148">
        <v>13</v>
      </c>
      <c r="B20" s="127" t="s">
        <v>212</v>
      </c>
      <c r="C20" s="1013" t="s">
        <v>447</v>
      </c>
      <c r="D20" s="1013"/>
      <c r="E20" s="1013"/>
      <c r="F20" s="336">
        <f>'خدمات تامین'!I21</f>
        <v>79269011540.458527</v>
      </c>
      <c r="G20" s="337">
        <f>'خدمات تامین'!L21</f>
        <v>14929968653.741856</v>
      </c>
      <c r="H20" s="338"/>
    </row>
    <row r="21" spans="1:8" s="160" customFormat="1" ht="27.95" customHeight="1">
      <c r="A21" s="148">
        <v>14</v>
      </c>
      <c r="B21" s="127" t="s">
        <v>213</v>
      </c>
      <c r="C21" s="1013" t="s">
        <v>448</v>
      </c>
      <c r="D21" s="1013"/>
      <c r="E21" s="1013"/>
      <c r="F21" s="336">
        <f>'خدمات تامین'!I27</f>
        <v>19782141484.700001</v>
      </c>
      <c r="G21" s="337">
        <f>'خدمات تامین'!L27</f>
        <v>0</v>
      </c>
      <c r="H21" s="338"/>
    </row>
    <row r="22" spans="1:8" s="122" customFormat="1" ht="27.95" customHeight="1">
      <c r="A22" s="148">
        <v>15</v>
      </c>
      <c r="B22" s="128">
        <v>1.6</v>
      </c>
      <c r="C22" s="1012" t="s">
        <v>449</v>
      </c>
      <c r="D22" s="1012"/>
      <c r="E22" s="1012"/>
      <c r="F22" s="374">
        <f>F23+F24+F25+F26+F27+F28+F29</f>
        <v>464543128933.76385</v>
      </c>
      <c r="G22" s="334">
        <f>G23+G24+G25+G26+G27+G28+G29</f>
        <v>357986640758.19904</v>
      </c>
      <c r="H22" s="335"/>
    </row>
    <row r="23" spans="1:8" s="160" customFormat="1" ht="27.95" customHeight="1">
      <c r="A23" s="148">
        <v>16</v>
      </c>
      <c r="B23" s="127" t="s">
        <v>206</v>
      </c>
      <c r="C23" s="1013" t="s">
        <v>450</v>
      </c>
      <c r="D23" s="1013"/>
      <c r="E23" s="1013"/>
      <c r="F23" s="336">
        <f>'خدمات اجرایی '!I9</f>
        <v>131900577506.27185</v>
      </c>
      <c r="G23" s="337">
        <f>'خدمات اجرایی '!L9</f>
        <v>105570924427.27304</v>
      </c>
      <c r="H23" s="338"/>
    </row>
    <row r="24" spans="1:8" s="160" customFormat="1" ht="27.95" customHeight="1">
      <c r="A24" s="148">
        <v>17</v>
      </c>
      <c r="B24" s="127" t="s">
        <v>207</v>
      </c>
      <c r="C24" s="1013" t="s">
        <v>451</v>
      </c>
      <c r="D24" s="1013"/>
      <c r="E24" s="1013"/>
      <c r="F24" s="336">
        <f>'خدمات اجرایی '!I51</f>
        <v>20019605601.315727</v>
      </c>
      <c r="G24" s="337">
        <f>'خدمات اجرایی '!L51</f>
        <v>16315826813.328009</v>
      </c>
      <c r="H24" s="338"/>
    </row>
    <row r="25" spans="1:8" s="160" customFormat="1" ht="27.95" customHeight="1">
      <c r="A25" s="148">
        <v>18</v>
      </c>
      <c r="B25" s="127" t="s">
        <v>208</v>
      </c>
      <c r="C25" s="1013" t="s">
        <v>457</v>
      </c>
      <c r="D25" s="1013"/>
      <c r="E25" s="1013"/>
      <c r="F25" s="336">
        <f>'خدمات اجرایی '!I78</f>
        <v>127105234389.29308</v>
      </c>
      <c r="G25" s="337">
        <f>'خدمات اجرایی '!L78</f>
        <v>101817619219.21742</v>
      </c>
      <c r="H25" s="338"/>
    </row>
    <row r="26" spans="1:8" s="160" customFormat="1" ht="27.95" customHeight="1">
      <c r="A26" s="148">
        <v>19</v>
      </c>
      <c r="B26" s="127" t="s">
        <v>209</v>
      </c>
      <c r="C26" s="1013" t="s">
        <v>452</v>
      </c>
      <c r="D26" s="1013"/>
      <c r="E26" s="1013"/>
      <c r="F26" s="336">
        <f>'خدمات اجرایی '!I120</f>
        <v>20055378460.653996</v>
      </c>
      <c r="G26" s="337">
        <f>'خدمات اجرایی '!L120</f>
        <v>14424119172.238052</v>
      </c>
      <c r="H26" s="338"/>
    </row>
    <row r="27" spans="1:8" s="160" customFormat="1" ht="27.95" customHeight="1">
      <c r="A27" s="148">
        <v>20</v>
      </c>
      <c r="B27" s="127" t="s">
        <v>214</v>
      </c>
      <c r="C27" s="1013" t="s">
        <v>458</v>
      </c>
      <c r="D27" s="1013"/>
      <c r="E27" s="1013"/>
      <c r="F27" s="336">
        <f>'خدمات اجرایی '!I147</f>
        <v>116900216914.28061</v>
      </c>
      <c r="G27" s="337">
        <f>'خدمات اجرایی '!L147</f>
        <v>104577231962.57353</v>
      </c>
      <c r="H27" s="338"/>
    </row>
    <row r="28" spans="1:8" s="160" customFormat="1" ht="27.95" customHeight="1">
      <c r="A28" s="148">
        <v>21</v>
      </c>
      <c r="B28" s="127" t="s">
        <v>397</v>
      </c>
      <c r="C28" s="1013" t="s">
        <v>453</v>
      </c>
      <c r="D28" s="1013"/>
      <c r="E28" s="1013"/>
      <c r="F28" s="336">
        <f>'خدمات اجرایی '!I189</f>
        <v>20075825142.748512</v>
      </c>
      <c r="G28" s="337">
        <f>'خدمات اجرایی '!L189</f>
        <v>15280919163.568949</v>
      </c>
      <c r="H28" s="338"/>
    </row>
    <row r="29" spans="1:8" s="160" customFormat="1" ht="27.95" customHeight="1">
      <c r="A29" s="148">
        <v>22</v>
      </c>
      <c r="B29" s="127" t="s">
        <v>698</v>
      </c>
      <c r="C29" s="1013" t="s">
        <v>568</v>
      </c>
      <c r="D29" s="1013"/>
      <c r="E29" s="1013"/>
      <c r="F29" s="336">
        <f>'خدمات اجرایی '!I216</f>
        <v>28486290919.200001</v>
      </c>
      <c r="G29" s="337">
        <v>0</v>
      </c>
      <c r="H29" s="338"/>
    </row>
    <row r="30" spans="1:8" s="122" customFormat="1" ht="27.95" customHeight="1">
      <c r="A30" s="148">
        <v>23</v>
      </c>
      <c r="B30" s="128">
        <v>1.7</v>
      </c>
      <c r="C30" s="1012" t="s">
        <v>454</v>
      </c>
      <c r="D30" s="1012"/>
      <c r="E30" s="1012"/>
      <c r="F30" s="345">
        <f>SUM(F31:F33)</f>
        <v>0</v>
      </c>
      <c r="G30" s="334">
        <f>SUM(G31:G33)</f>
        <v>0</v>
      </c>
      <c r="H30" s="335"/>
    </row>
    <row r="31" spans="1:8" s="160" customFormat="1" ht="27.95" customHeight="1">
      <c r="A31" s="148">
        <v>24</v>
      </c>
      <c r="B31" s="127" t="s">
        <v>165</v>
      </c>
      <c r="C31" s="1013" t="s">
        <v>166</v>
      </c>
      <c r="D31" s="1013"/>
      <c r="E31" s="1013"/>
      <c r="F31" s="336">
        <f>اختتامیه!I9</f>
        <v>0</v>
      </c>
      <c r="G31" s="337">
        <f>اختتامیه!L9</f>
        <v>0</v>
      </c>
      <c r="H31" s="338"/>
    </row>
    <row r="32" spans="1:8" s="160" customFormat="1" ht="27.95" customHeight="1">
      <c r="A32" s="148">
        <v>25</v>
      </c>
      <c r="B32" s="127" t="s">
        <v>167</v>
      </c>
      <c r="C32" s="1013" t="s">
        <v>168</v>
      </c>
      <c r="D32" s="1013"/>
      <c r="E32" s="1013"/>
      <c r="F32" s="336">
        <f>اختتامیه!I10</f>
        <v>0</v>
      </c>
      <c r="G32" s="337">
        <f>اختتامیه!L10</f>
        <v>0</v>
      </c>
      <c r="H32" s="338"/>
    </row>
    <row r="33" spans="1:8" s="160" customFormat="1" ht="27.95" customHeight="1">
      <c r="A33" s="148">
        <v>26</v>
      </c>
      <c r="B33" s="127" t="s">
        <v>169</v>
      </c>
      <c r="C33" s="1013" t="s">
        <v>170</v>
      </c>
      <c r="D33" s="1013"/>
      <c r="E33" s="1013"/>
      <c r="F33" s="336">
        <f>اختتامیه!I11</f>
        <v>0</v>
      </c>
      <c r="G33" s="337">
        <f>اختتامیه!L11</f>
        <v>0</v>
      </c>
      <c r="H33" s="338"/>
    </row>
    <row r="34" spans="1:8">
      <c r="A34" s="73"/>
      <c r="B34" s="73"/>
      <c r="C34" s="73"/>
      <c r="D34" s="84"/>
      <c r="E34" s="84"/>
      <c r="F34" s="91"/>
      <c r="G34" s="91"/>
      <c r="H34" s="92"/>
    </row>
    <row r="36" spans="1:8" ht="27.4">
      <c r="F36" s="412">
        <v>1197477151532</v>
      </c>
      <c r="G36" s="61" t="s">
        <v>853</v>
      </c>
    </row>
    <row r="37" spans="1:8" ht="27.4">
      <c r="F37" s="412">
        <v>47477151532</v>
      </c>
      <c r="G37" s="61" t="s">
        <v>854</v>
      </c>
    </row>
    <row r="38" spans="1:8" ht="27.4">
      <c r="F38" s="412">
        <f>F36-F37</f>
        <v>1150000000000</v>
      </c>
    </row>
    <row r="39" spans="1:8" ht="24.75" hidden="1">
      <c r="F39" s="413">
        <f>F8/F38*F37</f>
        <v>35055731682.894753</v>
      </c>
      <c r="G39" s="61" t="s">
        <v>855</v>
      </c>
    </row>
  </sheetData>
  <mergeCells count="35">
    <mergeCell ref="C33:E33"/>
    <mergeCell ref="C22:E22"/>
    <mergeCell ref="C23:E23"/>
    <mergeCell ref="C24:E24"/>
    <mergeCell ref="C25:E25"/>
    <mergeCell ref="C26:E26"/>
    <mergeCell ref="C27:E27"/>
    <mergeCell ref="C28:E28"/>
    <mergeCell ref="C30:E30"/>
    <mergeCell ref="C31:E31"/>
    <mergeCell ref="C32:E32"/>
    <mergeCell ref="C29:E29"/>
    <mergeCell ref="C17:E17"/>
    <mergeCell ref="C19:E19"/>
    <mergeCell ref="C18:E18"/>
    <mergeCell ref="C20:E20"/>
    <mergeCell ref="C21:E21"/>
    <mergeCell ref="C11:E11"/>
    <mergeCell ref="C12:E12"/>
    <mergeCell ref="C13:E13"/>
    <mergeCell ref="C15:E15"/>
    <mergeCell ref="C16:E16"/>
    <mergeCell ref="C14:E14"/>
    <mergeCell ref="C6:E7"/>
    <mergeCell ref="C8:E8"/>
    <mergeCell ref="C10:E10"/>
    <mergeCell ref="A6:A7"/>
    <mergeCell ref="B6:B7"/>
    <mergeCell ref="C9:E9"/>
    <mergeCell ref="F6:F7"/>
    <mergeCell ref="G1:H2"/>
    <mergeCell ref="G3:H3"/>
    <mergeCell ref="F4:F5"/>
    <mergeCell ref="F1:F2"/>
    <mergeCell ref="G4:H5"/>
  </mergeCells>
  <printOptions horizontalCentered="1"/>
  <pageMargins left="0" right="0" top="0.59055118110236204" bottom="0.98425196850393704" header="0" footer="0.39370078740157499"/>
  <pageSetup paperSize="9" scale="58" orientation="portrait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rowBreaks count="1" manualBreakCount="1">
    <brk id="2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"/>
  <sheetViews>
    <sheetView rightToLeft="1" view="pageBreakPreview" zoomScale="90" zoomScaleNormal="100" zoomScaleSheetLayoutView="90" workbookViewId="0">
      <selection activeCell="B19" sqref="B19"/>
    </sheetView>
  </sheetViews>
  <sheetFormatPr defaultColWidth="9" defaultRowHeight="16.899999999999999"/>
  <cols>
    <col min="1" max="1" width="4" style="1" bestFit="1" customWidth="1"/>
    <col min="2" max="2" width="9" style="1"/>
    <col min="3" max="3" width="35.6875" style="1" customWidth="1"/>
    <col min="4" max="4" width="24.125" style="1" bestFit="1" customWidth="1"/>
    <col min="5" max="6" width="6.4375" style="1" customWidth="1"/>
    <col min="7" max="7" width="9.3125" style="1" bestFit="1" customWidth="1"/>
    <col min="8" max="8" width="9" style="1"/>
    <col min="9" max="9" width="24.4375" style="1" bestFit="1" customWidth="1"/>
    <col min="10" max="11" width="9" style="1"/>
    <col min="12" max="12" width="24.3125" style="1" bestFit="1" customWidth="1"/>
    <col min="13" max="14" width="9" style="1"/>
    <col min="15" max="15" width="22.3125" style="1" bestFit="1" customWidth="1"/>
    <col min="16" max="16384" width="9" style="1"/>
  </cols>
  <sheetData>
    <row r="1" spans="1:15" ht="18.75" thickTop="1">
      <c r="A1" s="1062"/>
      <c r="B1" s="1052"/>
      <c r="C1" s="1063"/>
      <c r="D1" s="58"/>
      <c r="E1" s="1052"/>
      <c r="F1" s="1052"/>
      <c r="G1" s="1052"/>
      <c r="H1" s="95" t="s">
        <v>13</v>
      </c>
      <c r="I1" s="85" t="s">
        <v>16</v>
      </c>
      <c r="J1" s="58"/>
      <c r="K1" s="31"/>
      <c r="L1" s="1014" t="s">
        <v>8</v>
      </c>
      <c r="M1" s="1017" t="s">
        <v>199</v>
      </c>
      <c r="N1" s="1018"/>
      <c r="O1" s="1019"/>
    </row>
    <row r="2" spans="1:15" ht="18.399999999999999">
      <c r="A2" s="1064"/>
      <c r="B2" s="1053"/>
      <c r="C2" s="1065"/>
      <c r="E2" s="1053"/>
      <c r="F2" s="1053"/>
      <c r="G2" s="1053"/>
      <c r="H2" s="93" t="s">
        <v>14</v>
      </c>
      <c r="I2" s="86" t="s">
        <v>17</v>
      </c>
      <c r="L2" s="1015"/>
      <c r="M2" s="1020"/>
      <c r="N2" s="1021"/>
      <c r="O2" s="1022"/>
    </row>
    <row r="3" spans="1:15" ht="39" customHeight="1">
      <c r="A3" s="1064"/>
      <c r="B3" s="1053"/>
      <c r="C3" s="1065"/>
      <c r="E3" s="1053"/>
      <c r="F3" s="1053"/>
      <c r="G3" s="1053"/>
      <c r="H3" s="93" t="s">
        <v>195</v>
      </c>
      <c r="I3" s="87" t="s">
        <v>197</v>
      </c>
      <c r="L3" s="88" t="s">
        <v>200</v>
      </c>
      <c r="M3" s="1023" t="s">
        <v>196</v>
      </c>
      <c r="N3" s="1024"/>
      <c r="O3" s="1025"/>
    </row>
    <row r="4" spans="1:15" ht="18" customHeight="1">
      <c r="A4" s="1064"/>
      <c r="B4" s="1053"/>
      <c r="C4" s="1065"/>
      <c r="H4" s="93" t="s">
        <v>11</v>
      </c>
      <c r="I4" s="89">
        <v>2</v>
      </c>
      <c r="L4" s="1015" t="s">
        <v>36</v>
      </c>
      <c r="M4" s="1026">
        <v>768000000000</v>
      </c>
      <c r="N4" s="1027"/>
      <c r="O4" s="1028"/>
    </row>
    <row r="5" spans="1:15" ht="18" customHeight="1" thickBot="1">
      <c r="A5" s="1066"/>
      <c r="B5" s="1067"/>
      <c r="C5" s="1068"/>
      <c r="D5" s="35"/>
      <c r="E5" s="35"/>
      <c r="F5" s="35"/>
      <c r="G5" s="35"/>
      <c r="H5" s="94" t="s">
        <v>12</v>
      </c>
      <c r="I5" s="90" t="s">
        <v>198</v>
      </c>
      <c r="J5" s="35"/>
      <c r="K5" s="35"/>
      <c r="L5" s="1016"/>
      <c r="M5" s="1029"/>
      <c r="N5" s="1030"/>
      <c r="O5" s="1031"/>
    </row>
    <row r="6" spans="1:15" ht="17.649999999999999" thickTop="1" thickBot="1">
      <c r="A6" s="1054" t="s">
        <v>0</v>
      </c>
      <c r="B6" s="1056" t="s">
        <v>1</v>
      </c>
      <c r="C6" s="1056" t="s">
        <v>18</v>
      </c>
      <c r="D6" s="1058" t="s">
        <v>2</v>
      </c>
      <c r="E6" s="1058" t="s">
        <v>19</v>
      </c>
      <c r="F6" s="1050" t="s">
        <v>20</v>
      </c>
      <c r="G6" s="1059" t="s">
        <v>3</v>
      </c>
      <c r="H6" s="1060"/>
      <c r="I6" s="1061"/>
      <c r="J6" s="1032" t="s">
        <v>4</v>
      </c>
      <c r="K6" s="1033"/>
      <c r="L6" s="1034"/>
      <c r="M6" s="1035" t="s">
        <v>5</v>
      </c>
      <c r="N6" s="1036"/>
      <c r="O6" s="1037"/>
    </row>
    <row r="7" spans="1:15" ht="51.4" thickTop="1" thickBot="1">
      <c r="A7" s="1055"/>
      <c r="B7" s="1057"/>
      <c r="C7" s="1057"/>
      <c r="D7" s="1057"/>
      <c r="E7" s="1057"/>
      <c r="F7" s="1051"/>
      <c r="G7" s="102" t="s">
        <v>189</v>
      </c>
      <c r="H7" s="103" t="s">
        <v>33</v>
      </c>
      <c r="I7" s="109" t="s">
        <v>187</v>
      </c>
      <c r="J7" s="110" t="s">
        <v>188</v>
      </c>
      <c r="K7" s="104" t="s">
        <v>33</v>
      </c>
      <c r="L7" s="107" t="s">
        <v>187</v>
      </c>
      <c r="M7" s="108" t="s">
        <v>188</v>
      </c>
      <c r="N7" s="105" t="s">
        <v>33</v>
      </c>
      <c r="O7" s="106" t="s">
        <v>187</v>
      </c>
    </row>
    <row r="8" spans="1:15" ht="39.75">
      <c r="A8" s="21">
        <v>1</v>
      </c>
      <c r="B8" s="46">
        <v>1</v>
      </c>
      <c r="C8" s="47" t="s">
        <v>171</v>
      </c>
      <c r="D8" s="111">
        <f>D11+D16+D19+D20+D21</f>
        <v>768000000000</v>
      </c>
      <c r="E8" s="114">
        <f>E11+E16+E19+E20+E21</f>
        <v>100</v>
      </c>
      <c r="F8" s="17"/>
      <c r="G8" s="50"/>
      <c r="H8" s="50"/>
      <c r="I8" s="67" t="e">
        <f>SUM(I11,I16,I19,I20,I21)</f>
        <v>#REF!</v>
      </c>
      <c r="J8" s="6"/>
      <c r="K8" s="6"/>
      <c r="L8" s="83" t="e">
        <f>SUM(L11,L16,L19,L20,L21)</f>
        <v>#REF!</v>
      </c>
      <c r="M8" s="10"/>
      <c r="N8" s="10"/>
      <c r="O8" s="71" t="e">
        <f>SUM(O11,O16,O19,O20,O21)</f>
        <v>#REF!</v>
      </c>
    </row>
    <row r="9" spans="1:15" ht="19.899999999999999">
      <c r="A9" s="116">
        <v>2</v>
      </c>
      <c r="B9" s="48">
        <v>1.1000000000000001</v>
      </c>
      <c r="C9" s="45" t="s">
        <v>172</v>
      </c>
      <c r="D9" s="112">
        <v>0</v>
      </c>
      <c r="E9" s="115">
        <v>0</v>
      </c>
      <c r="F9" s="18"/>
      <c r="G9" s="49"/>
      <c r="H9" s="50"/>
      <c r="I9" s="67"/>
      <c r="J9" s="5"/>
      <c r="K9" s="6"/>
      <c r="L9" s="68"/>
      <c r="M9" s="9"/>
      <c r="N9" s="10"/>
      <c r="O9" s="70"/>
    </row>
    <row r="10" spans="1:15" ht="19.899999999999999">
      <c r="A10" s="117">
        <v>3</v>
      </c>
      <c r="B10" s="48">
        <v>1.2</v>
      </c>
      <c r="C10" s="45" t="s">
        <v>173</v>
      </c>
      <c r="D10" s="80">
        <v>0</v>
      </c>
      <c r="E10" s="113">
        <v>0</v>
      </c>
      <c r="F10" s="18"/>
      <c r="G10" s="49"/>
      <c r="H10" s="50"/>
      <c r="I10" s="67"/>
      <c r="J10" s="5"/>
      <c r="K10" s="6"/>
      <c r="L10" s="68"/>
      <c r="M10" s="9"/>
      <c r="N10" s="10"/>
      <c r="O10" s="70"/>
    </row>
    <row r="11" spans="1:15" ht="18">
      <c r="A11" s="118">
        <v>4</v>
      </c>
      <c r="B11" s="48">
        <v>1.3</v>
      </c>
      <c r="C11" s="48" t="s">
        <v>175</v>
      </c>
      <c r="D11" s="81">
        <f>E11*$M$4/100</f>
        <v>36095999999.999992</v>
      </c>
      <c r="E11" s="57">
        <f>SUM(E12:E15)</f>
        <v>4.6999999999999993</v>
      </c>
      <c r="F11" s="18"/>
      <c r="G11" s="96">
        <f>(G12*$E$12+G13*$E$13+G14*$E$14+G15*$E$15)/$E$11</f>
        <v>0</v>
      </c>
      <c r="H11" s="14">
        <f>G11*E11</f>
        <v>0</v>
      </c>
      <c r="I11" s="67">
        <f>G11*D11</f>
        <v>0</v>
      </c>
      <c r="J11" s="97">
        <f>(J12*$E$12+J13*$E$13+J14*$E$14+J15*$E$15)/$E$11</f>
        <v>0.63222340426153312</v>
      </c>
      <c r="K11" s="6">
        <f>J11*E11</f>
        <v>2.971450000029205</v>
      </c>
      <c r="L11" s="65">
        <f>J11*D11</f>
        <v>22820736000.224293</v>
      </c>
      <c r="M11" s="52">
        <f>(M12*$E$12+M13*$E$13+M14*$E$14+M15*$E$15)/$E$11</f>
        <v>0</v>
      </c>
      <c r="N11" s="10">
        <f>M11*E11</f>
        <v>0</v>
      </c>
      <c r="O11" s="71">
        <f>M11*D11</f>
        <v>0</v>
      </c>
    </row>
    <row r="12" spans="1:15" ht="18">
      <c r="A12" s="117">
        <v>5</v>
      </c>
      <c r="B12" s="18" t="s">
        <v>21</v>
      </c>
      <c r="C12" s="29" t="s">
        <v>186</v>
      </c>
      <c r="D12" s="81">
        <f t="shared" ref="D12:D25" si="0">E12*$M$4/100</f>
        <v>3840000000</v>
      </c>
      <c r="E12" s="56">
        <v>0.5</v>
      </c>
      <c r="F12" s="18"/>
      <c r="G12" s="96">
        <f>'سازمان دهی و برنامه ریزی پروژه'!G8</f>
        <v>0</v>
      </c>
      <c r="H12" s="13">
        <f>'سازمان دهی و برنامه ریزی پروژه'!H8</f>
        <v>4.9940000002839302E-3</v>
      </c>
      <c r="I12" s="82">
        <f>'سازمان دهی و برنامه ریزی پروژه'!I8</f>
        <v>5980200895.0908079</v>
      </c>
      <c r="J12" s="98">
        <f>'سازمان دهی و برنامه ریزی پروژه'!J8</f>
        <v>1</v>
      </c>
      <c r="K12" s="6">
        <f>'سازمان دهی و برنامه ریزی پروژه'!K8</f>
        <v>5.0000000002839301E-3</v>
      </c>
      <c r="L12" s="68">
        <f>'سازمان دهی و برنامه ریزی پروژه'!L8</f>
        <v>5987385758</v>
      </c>
      <c r="M12" s="52">
        <f>'سازمان دهی و برنامه ریزی پروژه'!M8</f>
        <v>0</v>
      </c>
      <c r="N12" s="9">
        <f>'سازمان دهی و برنامه ریزی پروژه'!N8</f>
        <v>0</v>
      </c>
      <c r="O12" s="100">
        <f>'سازمان دهی و برنامه ریزی پروژه'!O8</f>
        <v>0</v>
      </c>
    </row>
    <row r="13" spans="1:15" ht="18">
      <c r="A13" s="99">
        <v>6</v>
      </c>
      <c r="B13" s="18" t="s">
        <v>38</v>
      </c>
      <c r="C13" s="29" t="s">
        <v>176</v>
      </c>
      <c r="D13" s="81">
        <f t="shared" si="0"/>
        <v>4608000000</v>
      </c>
      <c r="E13" s="56">
        <v>0.6</v>
      </c>
      <c r="F13" s="18"/>
      <c r="G13" s="96">
        <f>'بیمه نامه ها'!G$8</f>
        <v>0</v>
      </c>
      <c r="H13" s="13">
        <f>'بیمه نامه ها'!H8</f>
        <v>6.0000000000000001E-3</v>
      </c>
      <c r="I13" s="64">
        <f>'بیمه نامه ها'!I8</f>
        <v>7184862909.1920004</v>
      </c>
      <c r="J13" s="98">
        <f>'بیمه نامه ها'!J$8</f>
        <v>0.73708333338200926</v>
      </c>
      <c r="K13" s="6">
        <f>'بیمه نامه ها'!K$8</f>
        <v>4.4225000002920557E-3</v>
      </c>
      <c r="L13" s="65">
        <f>'بیمه نامه ها'!L$8</f>
        <v>5295842703</v>
      </c>
      <c r="M13" s="52">
        <f>'بیمه نامه ها'!M$8</f>
        <v>0</v>
      </c>
      <c r="N13" s="9">
        <f>'بیمه نامه ها'!N$8</f>
        <v>0</v>
      </c>
      <c r="O13" s="66">
        <f>'بیمه نامه ها'!O$8</f>
        <v>0</v>
      </c>
    </row>
    <row r="14" spans="1:15" ht="18">
      <c r="A14" s="99">
        <v>7</v>
      </c>
      <c r="B14" s="18" t="s">
        <v>44</v>
      </c>
      <c r="C14" s="29" t="s">
        <v>177</v>
      </c>
      <c r="D14" s="81">
        <f t="shared" si="0"/>
        <v>9216000000</v>
      </c>
      <c r="E14" s="56">
        <v>1.2</v>
      </c>
      <c r="F14" s="18"/>
      <c r="G14" s="96">
        <f>'تجهیز کارگاه اولیه'!G8</f>
        <v>0</v>
      </c>
      <c r="H14" s="13">
        <f>'تجهیز کارگاه اولیه'!H8</f>
        <v>1.6999999999963256E-2</v>
      </c>
      <c r="I14" s="82">
        <f>'تجهیز کارگاه اولیه'!I8</f>
        <v>20357111576</v>
      </c>
      <c r="J14" s="98">
        <f>'تجهیز کارگاه اولیه'!J8</f>
        <v>0.92500000000000016</v>
      </c>
      <c r="K14" s="6">
        <f>'تجهیز کارگاه اولیه'!K8</f>
        <v>1.5724999999966013E-2</v>
      </c>
      <c r="L14" s="79">
        <f>'تجهیز کارگاه اولیه'!L8</f>
        <v>18830328207.800003</v>
      </c>
      <c r="M14" s="52">
        <f>'تجهیز کارگاه اولیه'!M8</f>
        <v>0</v>
      </c>
      <c r="N14" s="9">
        <f>'تجهیز کارگاه اولیه'!N8</f>
        <v>0</v>
      </c>
      <c r="O14" s="100">
        <f>'تجهیز کارگاه اولیه'!O8</f>
        <v>0</v>
      </c>
    </row>
    <row r="15" spans="1:15" ht="18">
      <c r="A15" s="116">
        <v>8</v>
      </c>
      <c r="B15" s="18" t="s">
        <v>75</v>
      </c>
      <c r="C15" s="29" t="s">
        <v>178</v>
      </c>
      <c r="D15" s="81">
        <f t="shared" si="0"/>
        <v>18432000000</v>
      </c>
      <c r="E15" s="56">
        <v>2.4</v>
      </c>
      <c r="F15" s="18"/>
      <c r="G15" s="96">
        <f>'تجهیز کارگاه مستمر'!G8</f>
        <v>0</v>
      </c>
      <c r="H15" s="13">
        <f>'تجهیز کارگاه مستمر'!H8</f>
        <v>2.2999999999802918E-2</v>
      </c>
      <c r="I15" s="64">
        <f>'تجهیز کارگاه مستمر'!I8</f>
        <v>27541974484.999992</v>
      </c>
      <c r="J15" s="98">
        <f>'تجهیز کارگاه مستمر'!J$8</f>
        <v>0.38299999999999984</v>
      </c>
      <c r="K15" s="6">
        <f>'تجهیز کارگاه مستمر'!K$8</f>
        <v>8.8089999999245144E-3</v>
      </c>
      <c r="L15" s="65">
        <f>'تجهیز کارگاه مستمر'!L$8</f>
        <v>10548576227.754995</v>
      </c>
      <c r="M15" s="52">
        <f>'تجهیز کارگاه مستمر'!M$8</f>
        <v>0</v>
      </c>
      <c r="N15" s="9">
        <f>'تجهیز کارگاه مستمر'!N$8</f>
        <v>0</v>
      </c>
      <c r="O15" s="66">
        <f>'تجهیز کارگاه مستمر'!O$8</f>
        <v>0</v>
      </c>
    </row>
    <row r="16" spans="1:15" ht="18">
      <c r="A16" s="99">
        <v>9</v>
      </c>
      <c r="B16" s="48">
        <v>1.4</v>
      </c>
      <c r="C16" s="48" t="s">
        <v>179</v>
      </c>
      <c r="D16" s="81">
        <f t="shared" si="0"/>
        <v>81403491022.000015</v>
      </c>
      <c r="E16" s="57">
        <f>E17+E18</f>
        <v>10.599412893489585</v>
      </c>
      <c r="F16" s="18"/>
      <c r="G16" s="96">
        <f>(G17*$E$17+G18*$E$18)/$E$16</f>
        <v>0</v>
      </c>
      <c r="H16" s="76">
        <f>G16*E16</f>
        <v>0</v>
      </c>
      <c r="I16" s="67">
        <f>G16*D16</f>
        <v>0</v>
      </c>
      <c r="J16" s="97">
        <f>(J17*$E$17+J18*$E$18)/$E$16</f>
        <v>0.57175700000014673</v>
      </c>
      <c r="K16" s="77">
        <f>J16*E16</f>
        <v>6.0602885177444801</v>
      </c>
      <c r="L16" s="69">
        <f>J16*D16</f>
        <v>46543015816.277611</v>
      </c>
      <c r="M16" s="52" t="e">
        <f>(M17*$E$17+M18*$E$18)/$E$16</f>
        <v>#REF!</v>
      </c>
      <c r="N16" s="78" t="e">
        <f>M16*E16</f>
        <v>#REF!</v>
      </c>
      <c r="O16" s="66" t="e">
        <f>M16*D16</f>
        <v>#REF!</v>
      </c>
    </row>
    <row r="17" spans="1:15" ht="18">
      <c r="A17" s="116">
        <v>10</v>
      </c>
      <c r="B17" s="18" t="s">
        <v>87</v>
      </c>
      <c r="C17" s="29" t="s">
        <v>180</v>
      </c>
      <c r="D17" s="81">
        <f t="shared" si="0"/>
        <v>28491221857.700001</v>
      </c>
      <c r="E17" s="56">
        <v>3.7097945127213539</v>
      </c>
      <c r="F17" s="18"/>
      <c r="G17" s="96">
        <f>'خدمات طراحي  مهندسي پیش از اجرا'!G8</f>
        <v>0</v>
      </c>
      <c r="H17" s="13">
        <f>'خدمات طراحي  مهندسي پیش از اجرا'!H8</f>
        <v>1.750000000015867E-2</v>
      </c>
      <c r="I17" s="82">
        <f>'خدمات طراحي  مهندسي پیش از اجرا'!I8</f>
        <v>20955850152.000004</v>
      </c>
      <c r="J17" s="98">
        <f>'خدمات طراحي  مهندسي پیش از اجرا'!J8</f>
        <v>1</v>
      </c>
      <c r="K17" s="6">
        <f>'خدمات طراحي  مهندسي پیش از اجرا'!K8</f>
        <v>1.750000000015867E-2</v>
      </c>
      <c r="L17" s="79">
        <f>'خدمات طراحي  مهندسي پیش از اجرا'!L8</f>
        <v>20955850152.000004</v>
      </c>
      <c r="M17" s="52" t="e">
        <f>'خدمات طراحي  مهندسي پیش از اجرا'!#REF!</f>
        <v>#REF!</v>
      </c>
      <c r="N17" s="9" t="e">
        <f>'خدمات طراحي  مهندسي پیش از اجرا'!#REF!</f>
        <v>#REF!</v>
      </c>
      <c r="O17" s="101" t="e">
        <f>'خدمات طراحي  مهندسي پیش از اجرا'!#REF!</f>
        <v>#REF!</v>
      </c>
    </row>
    <row r="18" spans="1:15" ht="18">
      <c r="A18" s="99">
        <v>11</v>
      </c>
      <c r="B18" s="18" t="s">
        <v>174</v>
      </c>
      <c r="C18" s="29" t="s">
        <v>181</v>
      </c>
      <c r="D18" s="81">
        <f t="shared" si="0"/>
        <v>52912269164.300018</v>
      </c>
      <c r="E18" s="56">
        <v>6.8896183807682316</v>
      </c>
      <c r="F18" s="18"/>
      <c r="G18" s="96">
        <f>'خدمات طراحي و مهندسي حین اجرا'!G$8</f>
        <v>0</v>
      </c>
      <c r="H18" s="13">
        <f>'خدمات طراحي و مهندسي حین اجرا'!H8</f>
        <v>2.8950000000175367E-2</v>
      </c>
      <c r="I18" s="64">
        <f>'خدمات طراحي و مهندسي حین اجرا'!I8</f>
        <v>34666963537.061394</v>
      </c>
      <c r="J18" s="98">
        <f>'خدمات طراحي و مهندسي حین اجرا'!J$8</f>
        <v>0.34116461538484122</v>
      </c>
      <c r="K18" s="6">
        <f>'خدمات طراحي و مهندسي حین اجرا'!K$8</f>
        <v>1.1087850000067167E-2</v>
      </c>
      <c r="L18" s="65">
        <f>'خدمات طراحي و مهندسي حین اجرا'!L$8</f>
        <v>13277447034.694515</v>
      </c>
      <c r="M18" s="52">
        <f>'خدمات طراحي و مهندسي حین اجرا'!M$8</f>
        <v>0</v>
      </c>
      <c r="N18" s="9">
        <f>'خدمات طراحي و مهندسي حین اجرا'!N$8</f>
        <v>0</v>
      </c>
      <c r="O18" s="66">
        <f>'خدمات طراحي و مهندسي حین اجرا'!O$8</f>
        <v>0</v>
      </c>
    </row>
    <row r="19" spans="1:15" ht="18">
      <c r="A19" s="116">
        <v>12</v>
      </c>
      <c r="B19" s="48">
        <v>1.5</v>
      </c>
      <c r="C19" s="48" t="s">
        <v>182</v>
      </c>
      <c r="D19" s="81">
        <f t="shared" si="0"/>
        <v>268804508978</v>
      </c>
      <c r="E19" s="57">
        <v>35.000587106510416</v>
      </c>
      <c r="F19" s="18"/>
      <c r="G19" s="96">
        <f>'خدمات تامین'!G$8</f>
        <v>0.58138529359983326</v>
      </c>
      <c r="H19" s="13">
        <f>'خدمات تامین'!H8</f>
        <v>0.22371706097696648</v>
      </c>
      <c r="I19" s="64">
        <f>'خدمات تامین'!I8</f>
        <v>267896068927.80859</v>
      </c>
      <c r="J19" s="98">
        <f>'خدمات تامین'!J$8</f>
        <v>3.2400864424520844E-2</v>
      </c>
      <c r="K19" s="6">
        <f>'خدمات تامین'!K$8</f>
        <v>1.2467852630541723E-2</v>
      </c>
      <c r="L19" s="65">
        <f>'خدمات تامین'!L$8</f>
        <v>14929968653.741856</v>
      </c>
      <c r="M19" s="52" t="e">
        <f>'خدمات تامین'!#REF!</f>
        <v>#REF!</v>
      </c>
      <c r="N19" s="9">
        <f>'خدمات تامین'!N$8</f>
        <v>0</v>
      </c>
      <c r="O19" s="66">
        <f>'خدمات تامین'!O$8</f>
        <v>0</v>
      </c>
    </row>
    <row r="20" spans="1:15" ht="18">
      <c r="A20" s="118">
        <v>13</v>
      </c>
      <c r="B20" s="48">
        <v>1.6</v>
      </c>
      <c r="C20" s="48" t="s">
        <v>183</v>
      </c>
      <c r="D20" s="81">
        <f t="shared" si="0"/>
        <v>369408000000</v>
      </c>
      <c r="E20" s="57">
        <v>48.1</v>
      </c>
      <c r="F20" s="18"/>
      <c r="G20" s="96" t="e">
        <f>#REF!</f>
        <v>#REF!</v>
      </c>
      <c r="H20" s="13" t="e">
        <f>#REF!</f>
        <v>#REF!</v>
      </c>
      <c r="I20" s="64" t="e">
        <f>#REF!</f>
        <v>#REF!</v>
      </c>
      <c r="J20" s="98" t="e">
        <f>#REF!</f>
        <v>#REF!</v>
      </c>
      <c r="K20" s="6" t="e">
        <f>#REF!</f>
        <v>#REF!</v>
      </c>
      <c r="L20" s="65" t="e">
        <f>#REF!</f>
        <v>#REF!</v>
      </c>
      <c r="M20" s="52" t="e">
        <f>#REF!</f>
        <v>#REF!</v>
      </c>
      <c r="N20" s="9" t="e">
        <f>#REF!</f>
        <v>#REF!</v>
      </c>
      <c r="O20" s="66" t="e">
        <f>#REF!</f>
        <v>#REF!</v>
      </c>
    </row>
    <row r="21" spans="1:15" ht="18">
      <c r="A21" s="118">
        <v>14</v>
      </c>
      <c r="B21" s="48">
        <v>1.7</v>
      </c>
      <c r="C21" s="48" t="s">
        <v>184</v>
      </c>
      <c r="D21" s="81">
        <f t="shared" si="0"/>
        <v>12288000000</v>
      </c>
      <c r="E21" s="57">
        <f>SUM(E22:E24)</f>
        <v>1.6</v>
      </c>
      <c r="F21" s="18"/>
      <c r="G21" s="96">
        <f>اختتامیه!G8</f>
        <v>0</v>
      </c>
      <c r="H21" s="13">
        <f>اختتامیه!H8</f>
        <v>0</v>
      </c>
      <c r="I21" s="64">
        <f>اختتامیه!I8</f>
        <v>0</v>
      </c>
      <c r="J21" s="98">
        <f>اختتامیه!J8</f>
        <v>0</v>
      </c>
      <c r="K21" s="6">
        <f>اختتامیه!K8</f>
        <v>0</v>
      </c>
      <c r="L21" s="65">
        <f>اختتامیه!L8</f>
        <v>0</v>
      </c>
      <c r="M21" s="52">
        <f>اختتامیه!M8</f>
        <v>0</v>
      </c>
      <c r="N21" s="9">
        <f>اختتامیه!N8</f>
        <v>0</v>
      </c>
      <c r="O21" s="66">
        <f>اختتامیه!O8</f>
        <v>0</v>
      </c>
    </row>
    <row r="22" spans="1:15" ht="18">
      <c r="A22" s="118">
        <v>15</v>
      </c>
      <c r="B22" s="18" t="s">
        <v>165</v>
      </c>
      <c r="C22" s="29" t="s">
        <v>190</v>
      </c>
      <c r="D22" s="81">
        <f t="shared" si="0"/>
        <v>6144000000</v>
      </c>
      <c r="E22" s="56">
        <v>0.8</v>
      </c>
      <c r="F22" s="18"/>
      <c r="G22" s="96">
        <f>اختتامیه!G9</f>
        <v>0</v>
      </c>
      <c r="H22" s="13">
        <f>اختتامیه!H9</f>
        <v>0</v>
      </c>
      <c r="I22" s="64">
        <f>اختتامیه!I9</f>
        <v>0</v>
      </c>
      <c r="J22" s="98">
        <f>اختتامیه!J9</f>
        <v>0</v>
      </c>
      <c r="K22" s="6">
        <f>اختتامیه!K9</f>
        <v>0</v>
      </c>
      <c r="L22" s="65">
        <f>اختتامیه!L9</f>
        <v>0</v>
      </c>
      <c r="M22" s="52">
        <f>اختتامیه!M9</f>
        <v>0</v>
      </c>
      <c r="N22" s="9">
        <f>اختتامیه!N9</f>
        <v>0</v>
      </c>
      <c r="O22" s="66">
        <f>اختتامیه!O9</f>
        <v>0</v>
      </c>
    </row>
    <row r="23" spans="1:15" ht="18">
      <c r="A23" s="118">
        <v>16</v>
      </c>
      <c r="B23" s="18" t="s">
        <v>167</v>
      </c>
      <c r="C23" s="29" t="s">
        <v>192</v>
      </c>
      <c r="D23" s="81">
        <f t="shared" si="0"/>
        <v>3072000000</v>
      </c>
      <c r="E23" s="56">
        <v>0.4</v>
      </c>
      <c r="F23" s="18"/>
      <c r="G23" s="49">
        <f>اختتامیه!G10</f>
        <v>0</v>
      </c>
      <c r="H23" s="13">
        <f>اختتامیه!H10</f>
        <v>0</v>
      </c>
      <c r="I23" s="64">
        <f>اختتامیه!I10</f>
        <v>0</v>
      </c>
      <c r="J23" s="98">
        <f>اختتامیه!J10</f>
        <v>0</v>
      </c>
      <c r="K23" s="6">
        <f>اختتامیه!K10</f>
        <v>0</v>
      </c>
      <c r="L23" s="65">
        <f>اختتامیه!L10</f>
        <v>0</v>
      </c>
      <c r="M23" s="52">
        <f>اختتامیه!M10</f>
        <v>0</v>
      </c>
      <c r="N23" s="9">
        <f>اختتامیه!N10</f>
        <v>0</v>
      </c>
      <c r="O23" s="66">
        <f>اختتامیه!O10</f>
        <v>0</v>
      </c>
    </row>
    <row r="24" spans="1:15" ht="18.399999999999999" thickBot="1">
      <c r="A24" s="118">
        <v>17</v>
      </c>
      <c r="B24" s="18" t="s">
        <v>169</v>
      </c>
      <c r="C24" s="29" t="s">
        <v>191</v>
      </c>
      <c r="D24" s="81">
        <f t="shared" si="0"/>
        <v>3072000000</v>
      </c>
      <c r="E24" s="56">
        <v>0.4</v>
      </c>
      <c r="F24" s="18"/>
      <c r="G24" s="49">
        <f>اختتامیه!G11</f>
        <v>0</v>
      </c>
      <c r="H24" s="13">
        <f>اختتامیه!H11</f>
        <v>0</v>
      </c>
      <c r="I24" s="64">
        <f>اختتامیه!I11</f>
        <v>0</v>
      </c>
      <c r="J24" s="98">
        <f>اختتامیه!J11</f>
        <v>0</v>
      </c>
      <c r="K24" s="6">
        <f>اختتامیه!K11</f>
        <v>0</v>
      </c>
      <c r="L24" s="65">
        <f>اختتامیه!L11</f>
        <v>0</v>
      </c>
      <c r="M24" s="52">
        <f>اختتامیه!M11</f>
        <v>0</v>
      </c>
      <c r="N24" s="9">
        <f>اختتامیه!N11</f>
        <v>0</v>
      </c>
      <c r="O24" s="66">
        <f>اختتامیه!O11</f>
        <v>0</v>
      </c>
    </row>
    <row r="25" spans="1:15" ht="18.75" thickBot="1">
      <c r="A25" s="99">
        <v>18</v>
      </c>
      <c r="B25" s="48">
        <v>1.8</v>
      </c>
      <c r="C25" s="48" t="s">
        <v>185</v>
      </c>
      <c r="D25" s="81">
        <f t="shared" si="0"/>
        <v>0</v>
      </c>
      <c r="E25" s="55">
        <v>0</v>
      </c>
      <c r="F25" s="18"/>
      <c r="G25" s="49"/>
      <c r="H25" s="14"/>
      <c r="I25" s="67"/>
      <c r="J25" s="98"/>
      <c r="K25" s="6"/>
      <c r="L25" s="65"/>
      <c r="M25" s="52"/>
      <c r="N25" s="9"/>
      <c r="O25" s="66"/>
    </row>
    <row r="26" spans="1:15" ht="18" customHeight="1">
      <c r="A26" s="33"/>
      <c r="G26" s="1038" t="s">
        <v>202</v>
      </c>
      <c r="H26" s="1039" t="s">
        <v>202</v>
      </c>
      <c r="I26" s="1040" t="s">
        <v>202</v>
      </c>
      <c r="J26" s="1038" t="s">
        <v>6</v>
      </c>
      <c r="K26" s="1039" t="s">
        <v>6</v>
      </c>
      <c r="L26" s="1040" t="s">
        <v>6</v>
      </c>
      <c r="M26" s="1038" t="s">
        <v>201</v>
      </c>
      <c r="N26" s="1039" t="s">
        <v>201</v>
      </c>
      <c r="O26" s="1047" t="s">
        <v>201</v>
      </c>
    </row>
    <row r="27" spans="1:15">
      <c r="A27" s="33"/>
      <c r="G27" s="1041"/>
      <c r="H27" s="1042"/>
      <c r="I27" s="1043"/>
      <c r="J27" s="1041"/>
      <c r="K27" s="1042"/>
      <c r="L27" s="1043"/>
      <c r="M27" s="1041"/>
      <c r="N27" s="1042"/>
      <c r="O27" s="1048"/>
    </row>
    <row r="28" spans="1:15">
      <c r="A28" s="33"/>
      <c r="G28" s="1041"/>
      <c r="H28" s="1042"/>
      <c r="I28" s="1043"/>
      <c r="J28" s="1041"/>
      <c r="K28" s="1042"/>
      <c r="L28" s="1043"/>
      <c r="M28" s="1041"/>
      <c r="N28" s="1042"/>
      <c r="O28" s="1048"/>
    </row>
    <row r="29" spans="1:15" ht="17.25" thickBot="1">
      <c r="A29" s="34"/>
      <c r="B29" s="35"/>
      <c r="C29" s="35"/>
      <c r="D29" s="35"/>
      <c r="E29" s="35"/>
      <c r="F29" s="35"/>
      <c r="G29" s="1044"/>
      <c r="H29" s="1045"/>
      <c r="I29" s="1046"/>
      <c r="J29" s="1044"/>
      <c r="K29" s="1045"/>
      <c r="L29" s="1046"/>
      <c r="M29" s="1044"/>
      <c r="N29" s="1045"/>
      <c r="O29" s="1049"/>
    </row>
    <row r="30" spans="1:15" ht="17.25" thickTop="1">
      <c r="G30" s="74"/>
      <c r="H30" s="74"/>
      <c r="I30" s="74"/>
      <c r="J30" s="74"/>
      <c r="K30" s="74"/>
      <c r="L30" s="75"/>
      <c r="M30" s="75"/>
      <c r="N30" s="75"/>
      <c r="O30" s="75"/>
    </row>
  </sheetData>
  <mergeCells count="21">
    <mergeCell ref="F6:F7"/>
    <mergeCell ref="E1:G1"/>
    <mergeCell ref="E2:G2"/>
    <mergeCell ref="E3:G3"/>
    <mergeCell ref="A6:A7"/>
    <mergeCell ref="B6:B7"/>
    <mergeCell ref="C6:C7"/>
    <mergeCell ref="D6:D7"/>
    <mergeCell ref="E6:E7"/>
    <mergeCell ref="G6:I6"/>
    <mergeCell ref="A1:C5"/>
    <mergeCell ref="J6:L6"/>
    <mergeCell ref="M6:O6"/>
    <mergeCell ref="G26:I29"/>
    <mergeCell ref="J26:L29"/>
    <mergeCell ref="M26:O29"/>
    <mergeCell ref="L1:L2"/>
    <mergeCell ref="L4:L5"/>
    <mergeCell ref="M1:O2"/>
    <mergeCell ref="M3:O3"/>
    <mergeCell ref="M4:O5"/>
  </mergeCells>
  <conditionalFormatting sqref="D8">
    <cfRule type="expression" dxfId="0" priority="1">
      <formula>$L$5</formula>
    </cfRule>
  </conditionalFormatting>
  <printOptions horizontalCentered="1"/>
  <pageMargins left="0" right="0" top="0" bottom="0" header="0" footer="0"/>
  <pageSetup paperSize="9" scale="68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193" r:id="rId4">
          <objectPr defaultSize="0" autoPict="0" r:id="rId5">
            <anchor moveWithCells="1" sizeWithCells="1">
              <from>
                <xdr:col>2</xdr:col>
                <xdr:colOff>1419225</xdr:colOff>
                <xdr:row>1</xdr:row>
                <xdr:rowOff>0</xdr:rowOff>
              </from>
              <to>
                <xdr:col>2</xdr:col>
                <xdr:colOff>1943100</xdr:colOff>
                <xdr:row>2</xdr:row>
                <xdr:rowOff>266700</xdr:rowOff>
              </to>
            </anchor>
          </objectPr>
        </oleObject>
      </mc:Choice>
      <mc:Fallback>
        <oleObject progId="PBrush" shapeId="8193" r:id="rId4"/>
      </mc:Fallback>
    </mc:AlternateContent>
    <mc:AlternateContent xmlns:mc="http://schemas.openxmlformats.org/markup-compatibility/2006">
      <mc:Choice Requires="x14">
        <oleObject progId="PBrush" shapeId="8194" r:id="rId6">
          <objectPr defaultSize="0" autoPict="0" r:id="rId7">
            <anchor moveWithCells="1" sizeWithCells="1">
              <from>
                <xdr:col>2</xdr:col>
                <xdr:colOff>2076450</xdr:colOff>
                <xdr:row>1</xdr:row>
                <xdr:rowOff>0</xdr:rowOff>
              </from>
              <to>
                <xdr:col>2</xdr:col>
                <xdr:colOff>2628900</xdr:colOff>
                <xdr:row>2</xdr:row>
                <xdr:rowOff>266700</xdr:rowOff>
              </to>
            </anchor>
          </objectPr>
        </oleObject>
      </mc:Choice>
      <mc:Fallback>
        <oleObject progId="PBrush" shapeId="8194" r:id="rId6"/>
      </mc:Fallback>
    </mc:AlternateContent>
    <mc:AlternateContent xmlns:mc="http://schemas.openxmlformats.org/markup-compatibility/2006">
      <mc:Choice Requires="x14">
        <oleObject progId="PBrush" shapeId="8195" r:id="rId8">
          <objectPr defaultSize="0" autoPict="0" r:id="rId9">
            <anchor moveWithCells="1" sizeWithCells="1">
              <from>
                <xdr:col>2</xdr:col>
                <xdr:colOff>1514475</xdr:colOff>
                <xdr:row>2</xdr:row>
                <xdr:rowOff>342900</xdr:rowOff>
              </from>
              <to>
                <xdr:col>2</xdr:col>
                <xdr:colOff>1914525</xdr:colOff>
                <xdr:row>3</xdr:row>
                <xdr:rowOff>180975</xdr:rowOff>
              </to>
            </anchor>
          </objectPr>
        </oleObject>
      </mc:Choice>
      <mc:Fallback>
        <oleObject progId="PBrush" shapeId="8195" r:id="rId8"/>
      </mc:Fallback>
    </mc:AlternateContent>
    <mc:AlternateContent xmlns:mc="http://schemas.openxmlformats.org/markup-compatibility/2006">
      <mc:Choice Requires="x14">
        <oleObject progId="PBrush" shapeId="8196" r:id="rId10">
          <objectPr defaultSize="0" autoPict="0" r:id="rId11">
            <anchor moveWithCells="1" sizeWithCells="1">
              <from>
                <xdr:col>2</xdr:col>
                <xdr:colOff>2095500</xdr:colOff>
                <xdr:row>2</xdr:row>
                <xdr:rowOff>342900</xdr:rowOff>
              </from>
              <to>
                <xdr:col>2</xdr:col>
                <xdr:colOff>2571750</xdr:colOff>
                <xdr:row>3</xdr:row>
                <xdr:rowOff>180975</xdr:rowOff>
              </to>
            </anchor>
          </objectPr>
        </oleObject>
      </mc:Choice>
      <mc:Fallback>
        <oleObject progId="PBrush" shapeId="8196" r:id="rId10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R17"/>
  <sheetViews>
    <sheetView rightToLeft="1" view="pageBreakPreview" zoomScale="55" zoomScaleNormal="100" zoomScaleSheetLayoutView="55" workbookViewId="0">
      <selection activeCell="R8" sqref="R8"/>
    </sheetView>
  </sheetViews>
  <sheetFormatPr defaultColWidth="9" defaultRowHeight="16.899999999999999"/>
  <cols>
    <col min="1" max="1" width="4.125" style="1" customWidth="1"/>
    <col min="2" max="2" width="6.875" style="1" customWidth="1"/>
    <col min="3" max="3" width="44" style="1" customWidth="1"/>
    <col min="4" max="4" width="18.6875" style="1" customWidth="1"/>
    <col min="5" max="5" width="9" style="1" customWidth="1"/>
    <col min="6" max="6" width="7.3125" style="1" customWidth="1"/>
    <col min="7" max="7" width="9.125" style="1" customWidth="1"/>
    <col min="8" max="8" width="9.875" style="1" customWidth="1"/>
    <col min="9" max="9" width="18.3125" style="1" customWidth="1"/>
    <col min="10" max="10" width="11.4375" style="1" bestFit="1" customWidth="1"/>
    <col min="11" max="11" width="9.6875" style="1" customWidth="1"/>
    <col min="12" max="12" width="18.6875" style="1" customWidth="1"/>
    <col min="13" max="14" width="7.875" style="1" customWidth="1"/>
    <col min="15" max="15" width="13" style="1" customWidth="1"/>
    <col min="16" max="16" width="26.6875" style="1" customWidth="1"/>
    <col min="17" max="17" width="9" style="1"/>
    <col min="18" max="18" width="20.875" style="1" bestFit="1" customWidth="1"/>
    <col min="19" max="16384" width="9" style="1"/>
  </cols>
  <sheetData>
    <row r="1" spans="1:18" ht="20.100000000000001" customHeight="1">
      <c r="A1" s="136"/>
      <c r="B1" s="136"/>
      <c r="C1" s="136"/>
      <c r="D1" s="135" t="s">
        <v>13</v>
      </c>
      <c r="E1" s="165" t="s">
        <v>435</v>
      </c>
      <c r="F1" s="137"/>
      <c r="G1" s="137"/>
      <c r="H1" s="137"/>
      <c r="I1" s="133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8" ht="20.100000000000001" customHeight="1">
      <c r="A2" s="136"/>
      <c r="B2" s="136"/>
      <c r="C2" s="136"/>
      <c r="D2" s="135" t="s">
        <v>14</v>
      </c>
      <c r="E2" s="165" t="s">
        <v>17</v>
      </c>
      <c r="F2" s="137"/>
      <c r="G2" s="137"/>
      <c r="H2" s="137"/>
      <c r="I2" s="133"/>
      <c r="J2" s="1079"/>
      <c r="K2" s="1079"/>
      <c r="L2" s="999"/>
      <c r="M2" s="999"/>
      <c r="N2" s="999"/>
      <c r="O2" s="999"/>
      <c r="P2" s="999"/>
    </row>
    <row r="3" spans="1:18" ht="39.950000000000003" customHeight="1">
      <c r="A3" s="136"/>
      <c r="B3" s="136"/>
      <c r="C3" s="136"/>
      <c r="D3" s="135" t="s">
        <v>195</v>
      </c>
      <c r="E3" s="165" t="s">
        <v>443</v>
      </c>
      <c r="F3" s="137"/>
      <c r="G3" s="137"/>
      <c r="H3" s="137"/>
      <c r="I3" s="133"/>
      <c r="J3" s="1079" t="s">
        <v>441</v>
      </c>
      <c r="K3" s="1079"/>
      <c r="L3" s="999" t="s">
        <v>442</v>
      </c>
      <c r="M3" s="999"/>
      <c r="N3" s="999"/>
      <c r="O3" s="999"/>
      <c r="P3" s="999"/>
    </row>
    <row r="4" spans="1:18" ht="24.95" customHeight="1">
      <c r="A4" s="136"/>
      <c r="B4" s="136"/>
      <c r="C4" s="136"/>
      <c r="D4" s="135" t="s">
        <v>437</v>
      </c>
      <c r="E4" s="1069" t="str">
        <f>'خلاصه مالي صورت وضعیت'!E4</f>
        <v>موقت 16</v>
      </c>
      <c r="F4" s="1069"/>
      <c r="G4" s="1069"/>
      <c r="H4" s="137"/>
      <c r="I4" s="133"/>
      <c r="J4" s="1079" t="s">
        <v>440</v>
      </c>
      <c r="K4" s="1079"/>
      <c r="L4" s="1077">
        <f>'خلاصه مالي صورت وضعیت'!G4:G5</f>
        <v>1197477151532</v>
      </c>
      <c r="M4" s="1077"/>
      <c r="N4" s="166"/>
      <c r="O4" s="166"/>
      <c r="P4" s="166"/>
    </row>
    <row r="5" spans="1:18" ht="24.95" customHeight="1">
      <c r="A5" s="143"/>
      <c r="B5" s="143"/>
      <c r="C5" s="143"/>
      <c r="D5" s="141" t="s">
        <v>438</v>
      </c>
      <c r="E5" s="1070" t="str">
        <f>'خلاصه مالي صورت وضعیت'!E5</f>
        <v>1403/06/10</v>
      </c>
      <c r="F5" s="1070"/>
      <c r="G5" s="1070"/>
      <c r="H5" s="144"/>
      <c r="I5" s="145"/>
      <c r="J5" s="1080"/>
      <c r="K5" s="1080"/>
      <c r="L5" s="1078"/>
      <c r="M5" s="1078"/>
      <c r="N5" s="167"/>
      <c r="O5" s="167"/>
      <c r="P5" s="167"/>
    </row>
    <row r="6" spans="1:18" ht="18" customHeight="1">
      <c r="A6" s="1009" t="s">
        <v>0</v>
      </c>
      <c r="B6" s="1073" t="s">
        <v>1</v>
      </c>
      <c r="C6" s="1074" t="s">
        <v>18</v>
      </c>
      <c r="D6" s="1074" t="s">
        <v>2</v>
      </c>
      <c r="E6" s="1074" t="s">
        <v>19</v>
      </c>
      <c r="F6" s="1074" t="s">
        <v>205</v>
      </c>
      <c r="G6" s="1075" t="s">
        <v>3</v>
      </c>
      <c r="H6" s="1075"/>
      <c r="I6" s="1075"/>
      <c r="J6" s="1076" t="s">
        <v>464</v>
      </c>
      <c r="K6" s="1076"/>
      <c r="L6" s="1076"/>
      <c r="M6" s="1071" t="s">
        <v>5</v>
      </c>
      <c r="N6" s="1071"/>
      <c r="O6" s="1071"/>
      <c r="P6" s="1072" t="s">
        <v>193</v>
      </c>
    </row>
    <row r="7" spans="1:18" ht="90" customHeight="1">
      <c r="A7" s="1009"/>
      <c r="B7" s="1073"/>
      <c r="C7" s="1074"/>
      <c r="D7" s="1074"/>
      <c r="E7" s="1074"/>
      <c r="F7" s="1074"/>
      <c r="G7" s="150" t="s">
        <v>203</v>
      </c>
      <c r="H7" s="150" t="s">
        <v>33</v>
      </c>
      <c r="I7" s="150" t="s">
        <v>34</v>
      </c>
      <c r="J7" s="151" t="s">
        <v>204</v>
      </c>
      <c r="K7" s="151" t="s">
        <v>33</v>
      </c>
      <c r="L7" s="151" t="s">
        <v>34</v>
      </c>
      <c r="M7" s="152" t="s">
        <v>204</v>
      </c>
      <c r="N7" s="152" t="s">
        <v>33</v>
      </c>
      <c r="O7" s="152" t="s">
        <v>34</v>
      </c>
      <c r="P7" s="1072"/>
    </row>
    <row r="8" spans="1:18" s="142" customFormat="1" ht="30" customHeight="1">
      <c r="A8" s="18">
        <v>1</v>
      </c>
      <c r="B8" s="146" t="s">
        <v>21</v>
      </c>
      <c r="C8" s="346" t="s">
        <v>736</v>
      </c>
      <c r="D8" s="272">
        <f>SUM(D9:D17)</f>
        <v>5987385758</v>
      </c>
      <c r="E8" s="246">
        <f>SUM(E9:E17)</f>
        <v>5.0000000002839301E-3</v>
      </c>
      <c r="F8" s="242"/>
      <c r="G8" s="324"/>
      <c r="H8" s="266">
        <f>SUM(H9:H17)</f>
        <v>4.9940000002839302E-3</v>
      </c>
      <c r="I8" s="326">
        <f>SUM(I9:I17)</f>
        <v>5980200895.0908079</v>
      </c>
      <c r="J8" s="267">
        <f>L8/D8</f>
        <v>1</v>
      </c>
      <c r="K8" s="340">
        <f>L8/L4</f>
        <v>5.0000000002839301E-3</v>
      </c>
      <c r="L8" s="268">
        <f>SUM(L9:L17)</f>
        <v>5987385758</v>
      </c>
      <c r="M8" s="269"/>
      <c r="N8" s="269"/>
      <c r="O8" s="270"/>
      <c r="P8" s="271"/>
      <c r="R8" s="188"/>
    </row>
    <row r="9" spans="1:18" s="160" customFormat="1" ht="51.75" customHeight="1">
      <c r="A9" s="18">
        <v>2</v>
      </c>
      <c r="B9" s="123" t="s">
        <v>22</v>
      </c>
      <c r="C9" s="300" t="s">
        <v>459</v>
      </c>
      <c r="D9" s="273">
        <f t="shared" ref="D9:D17" si="0">E9*$L$4</f>
        <v>0</v>
      </c>
      <c r="E9" s="245">
        <f>CBS!D11</f>
        <v>0</v>
      </c>
      <c r="F9" s="243"/>
      <c r="G9" s="392">
        <v>1</v>
      </c>
      <c r="H9" s="218">
        <f t="shared" ref="H9:H17" si="1">G9*E9</f>
        <v>0</v>
      </c>
      <c r="I9" s="327">
        <f>H9*$L$4</f>
        <v>0</v>
      </c>
      <c r="J9" s="415">
        <v>1</v>
      </c>
      <c r="K9" s="341">
        <f>J9*E9</f>
        <v>0</v>
      </c>
      <c r="L9" s="342">
        <f>K9*$L$4</f>
        <v>0</v>
      </c>
      <c r="M9" s="275"/>
      <c r="N9" s="275"/>
      <c r="O9" s="276"/>
      <c r="P9" s="277"/>
    </row>
    <row r="10" spans="1:18" s="160" customFormat="1" ht="30" customHeight="1">
      <c r="A10" s="18">
        <v>3</v>
      </c>
      <c r="B10" s="123" t="s">
        <v>23</v>
      </c>
      <c r="C10" s="300" t="s">
        <v>31</v>
      </c>
      <c r="D10" s="273">
        <f t="shared" si="0"/>
        <v>419117003.37619966</v>
      </c>
      <c r="E10" s="245">
        <f>CBS!D12</f>
        <v>3.5000000028392999E-4</v>
      </c>
      <c r="F10" s="243"/>
      <c r="G10" s="392">
        <v>1</v>
      </c>
      <c r="H10" s="218">
        <f t="shared" si="1"/>
        <v>3.5000000028392999E-4</v>
      </c>
      <c r="I10" s="327">
        <f t="shared" ref="I10:I17" si="2">H10*$L$4</f>
        <v>419117003.37619966</v>
      </c>
      <c r="J10" s="415">
        <v>1</v>
      </c>
      <c r="K10" s="341">
        <f t="shared" ref="K10:K16" si="3">J10*E10</f>
        <v>3.5000000028392999E-4</v>
      </c>
      <c r="L10" s="342">
        <f t="shared" ref="L10:L17" si="4">K10*$L$4</f>
        <v>419117003.37619966</v>
      </c>
      <c r="M10" s="275"/>
      <c r="N10" s="275"/>
      <c r="O10" s="276"/>
      <c r="P10" s="277"/>
    </row>
    <row r="11" spans="1:18" s="160" customFormat="1" ht="42.75">
      <c r="A11" s="18">
        <v>4</v>
      </c>
      <c r="B11" s="123" t="s">
        <v>24</v>
      </c>
      <c r="C11" s="300" t="s">
        <v>460</v>
      </c>
      <c r="D11" s="273">
        <f t="shared" si="0"/>
        <v>898107863.64900005</v>
      </c>
      <c r="E11" s="245">
        <f>CBS!D13</f>
        <v>7.5000000000000002E-4</v>
      </c>
      <c r="F11" s="243"/>
      <c r="G11" s="392">
        <v>1</v>
      </c>
      <c r="H11" s="218">
        <f t="shared" si="1"/>
        <v>7.5000000000000002E-4</v>
      </c>
      <c r="I11" s="327">
        <f t="shared" si="2"/>
        <v>898107863.64900005</v>
      </c>
      <c r="J11" s="415">
        <v>1</v>
      </c>
      <c r="K11" s="341">
        <f t="shared" si="3"/>
        <v>7.5000000000000002E-4</v>
      </c>
      <c r="L11" s="342">
        <f t="shared" si="4"/>
        <v>898107863.64900005</v>
      </c>
      <c r="M11" s="275"/>
      <c r="N11" s="275"/>
      <c r="O11" s="276"/>
      <c r="P11" s="277"/>
    </row>
    <row r="12" spans="1:18" s="160" customFormat="1" ht="93" customHeight="1">
      <c r="A12" s="18">
        <v>5</v>
      </c>
      <c r="B12" s="123" t="s">
        <v>25</v>
      </c>
      <c r="C12" s="300" t="s">
        <v>461</v>
      </c>
      <c r="D12" s="273">
        <f t="shared" si="0"/>
        <v>1556720296.9916</v>
      </c>
      <c r="E12" s="245">
        <f>CBS!D14</f>
        <v>1.2999999999999999E-3</v>
      </c>
      <c r="F12" s="243"/>
      <c r="G12" s="392">
        <v>1</v>
      </c>
      <c r="H12" s="218">
        <f t="shared" si="1"/>
        <v>1.2999999999999999E-3</v>
      </c>
      <c r="I12" s="327">
        <f t="shared" si="2"/>
        <v>1556720296.9916</v>
      </c>
      <c r="J12" s="415">
        <v>1</v>
      </c>
      <c r="K12" s="341">
        <f t="shared" si="3"/>
        <v>1.2999999999999999E-3</v>
      </c>
      <c r="L12" s="342">
        <f t="shared" si="4"/>
        <v>1556720296.9916</v>
      </c>
      <c r="M12" s="275"/>
      <c r="N12" s="275"/>
      <c r="O12" s="276"/>
      <c r="P12" s="277"/>
    </row>
    <row r="13" spans="1:18" s="160" customFormat="1" ht="42.75">
      <c r="A13" s="18">
        <v>6</v>
      </c>
      <c r="B13" s="123" t="s">
        <v>26</v>
      </c>
      <c r="C13" s="300" t="s">
        <v>463</v>
      </c>
      <c r="D13" s="273">
        <f t="shared" si="0"/>
        <v>598738575.76600003</v>
      </c>
      <c r="E13" s="245">
        <f>CBS!D15</f>
        <v>5.0000000000000001E-4</v>
      </c>
      <c r="F13" s="243"/>
      <c r="G13" s="392">
        <v>1</v>
      </c>
      <c r="H13" s="218">
        <f t="shared" si="1"/>
        <v>5.0000000000000001E-4</v>
      </c>
      <c r="I13" s="327">
        <f t="shared" si="2"/>
        <v>598738575.76600003</v>
      </c>
      <c r="J13" s="415">
        <v>1</v>
      </c>
      <c r="K13" s="341">
        <f t="shared" si="3"/>
        <v>5.0000000000000001E-4</v>
      </c>
      <c r="L13" s="342">
        <f t="shared" si="4"/>
        <v>598738575.76600003</v>
      </c>
      <c r="M13" s="275"/>
      <c r="N13" s="275"/>
      <c r="O13" s="276"/>
      <c r="P13" s="277"/>
    </row>
    <row r="14" spans="1:18" s="160" customFormat="1" ht="59.65">
      <c r="A14" s="18">
        <v>7</v>
      </c>
      <c r="B14" s="123" t="s">
        <v>27</v>
      </c>
      <c r="C14" s="300" t="s">
        <v>732</v>
      </c>
      <c r="D14" s="273">
        <f t="shared" si="0"/>
        <v>359243145.45959997</v>
      </c>
      <c r="E14" s="245">
        <f>CBS!D16</f>
        <v>2.9999999999999997E-4</v>
      </c>
      <c r="F14" s="243"/>
      <c r="G14" s="392">
        <v>1</v>
      </c>
      <c r="H14" s="218">
        <f t="shared" si="1"/>
        <v>2.9999999999999997E-4</v>
      </c>
      <c r="I14" s="327">
        <f t="shared" si="2"/>
        <v>359243145.45959997</v>
      </c>
      <c r="J14" s="415">
        <v>1</v>
      </c>
      <c r="K14" s="341">
        <f t="shared" si="3"/>
        <v>2.9999999999999997E-4</v>
      </c>
      <c r="L14" s="342">
        <f t="shared" si="4"/>
        <v>359243145.45959997</v>
      </c>
      <c r="M14" s="275"/>
      <c r="N14" s="275"/>
      <c r="O14" s="276"/>
      <c r="P14" s="277"/>
    </row>
    <row r="15" spans="1:18" s="160" customFormat="1" ht="69.75" customHeight="1">
      <c r="A15" s="18">
        <v>8</v>
      </c>
      <c r="B15" s="123" t="s">
        <v>28</v>
      </c>
      <c r="C15" s="300" t="s">
        <v>735</v>
      </c>
      <c r="D15" s="273">
        <f t="shared" si="0"/>
        <v>1796215727.2980001</v>
      </c>
      <c r="E15" s="245">
        <f>CBS!D17</f>
        <v>1.5E-3</v>
      </c>
      <c r="F15" s="243"/>
      <c r="G15" s="392">
        <v>1</v>
      </c>
      <c r="H15" s="218">
        <f t="shared" si="1"/>
        <v>1.5E-3</v>
      </c>
      <c r="I15" s="327">
        <f t="shared" si="2"/>
        <v>1796215727.2980001</v>
      </c>
      <c r="J15" s="415">
        <v>1</v>
      </c>
      <c r="K15" s="341">
        <f t="shared" si="3"/>
        <v>1.5E-3</v>
      </c>
      <c r="L15" s="342">
        <f t="shared" si="4"/>
        <v>1796215727.2980001</v>
      </c>
      <c r="M15" s="275"/>
      <c r="N15" s="275"/>
      <c r="O15" s="276"/>
      <c r="P15" s="277"/>
    </row>
    <row r="16" spans="1:18" s="160" customFormat="1" ht="30" customHeight="1">
      <c r="A16" s="18">
        <v>9</v>
      </c>
      <c r="B16" s="123" t="s">
        <v>29</v>
      </c>
      <c r="C16" s="300" t="s">
        <v>35</v>
      </c>
      <c r="D16" s="273">
        <f t="shared" si="0"/>
        <v>359243145.45959997</v>
      </c>
      <c r="E16" s="245">
        <f>CBS!D18</f>
        <v>2.9999999999999997E-4</v>
      </c>
      <c r="F16" s="243"/>
      <c r="G16" s="392">
        <v>0.98</v>
      </c>
      <c r="H16" s="218">
        <f t="shared" si="1"/>
        <v>2.9399999999999999E-4</v>
      </c>
      <c r="I16" s="327">
        <f t="shared" si="2"/>
        <v>352058282.55040801</v>
      </c>
      <c r="J16" s="415">
        <v>1</v>
      </c>
      <c r="K16" s="341">
        <f t="shared" si="3"/>
        <v>2.9999999999999997E-4</v>
      </c>
      <c r="L16" s="342">
        <f t="shared" si="4"/>
        <v>359243145.45959997</v>
      </c>
      <c r="M16" s="275"/>
      <c r="N16" s="275"/>
      <c r="O16" s="276"/>
      <c r="P16" s="277"/>
    </row>
    <row r="17" spans="1:16" s="160" customFormat="1" ht="57" customHeight="1">
      <c r="A17" s="18">
        <v>10</v>
      </c>
      <c r="B17" s="123" t="s">
        <v>30</v>
      </c>
      <c r="C17" s="300" t="s">
        <v>462</v>
      </c>
      <c r="D17" s="273">
        <f t="shared" si="0"/>
        <v>0</v>
      </c>
      <c r="E17" s="245">
        <f>CBS!D19</f>
        <v>0</v>
      </c>
      <c r="F17" s="243"/>
      <c r="G17" s="392"/>
      <c r="H17" s="218">
        <f t="shared" si="1"/>
        <v>0</v>
      </c>
      <c r="I17" s="327">
        <f t="shared" si="2"/>
        <v>0</v>
      </c>
      <c r="J17" s="415"/>
      <c r="K17" s="341">
        <f>J17*E17</f>
        <v>0</v>
      </c>
      <c r="L17" s="342">
        <f t="shared" si="4"/>
        <v>0</v>
      </c>
      <c r="M17" s="275"/>
      <c r="N17" s="275"/>
      <c r="O17" s="276"/>
      <c r="P17" s="277"/>
    </row>
  </sheetData>
  <mergeCells count="18">
    <mergeCell ref="J1:K2"/>
    <mergeCell ref="J3:K3"/>
    <mergeCell ref="J4:K5"/>
    <mergeCell ref="L3:P3"/>
    <mergeCell ref="L1:P2"/>
    <mergeCell ref="E4:G4"/>
    <mergeCell ref="E5:G5"/>
    <mergeCell ref="M6:O6"/>
    <mergeCell ref="P6:P7"/>
    <mergeCell ref="A6:A7"/>
    <mergeCell ref="B6:B7"/>
    <mergeCell ref="C6:C7"/>
    <mergeCell ref="D6:D7"/>
    <mergeCell ref="E6:E7"/>
    <mergeCell ref="F6:F7"/>
    <mergeCell ref="G6:I6"/>
    <mergeCell ref="J6:L6"/>
    <mergeCell ref="L4:M5"/>
  </mergeCells>
  <printOptions horizontalCentered="1"/>
  <pageMargins left="0.39370078740157483" right="0.39370078740157483" top="0.59055118110236227" bottom="0.98425196850393704" header="0" footer="0.39370078740157483"/>
  <pageSetup paperSize="9" scale="62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P12"/>
  <sheetViews>
    <sheetView rightToLeft="1" view="pageBreakPreview" zoomScale="55" zoomScaleNormal="100" zoomScaleSheetLayoutView="55" workbookViewId="0">
      <selection activeCell="I8" sqref="I8"/>
    </sheetView>
  </sheetViews>
  <sheetFormatPr defaultColWidth="9" defaultRowHeight="16.899999999999999"/>
  <cols>
    <col min="1" max="1" width="4.125" style="1" bestFit="1" customWidth="1"/>
    <col min="2" max="2" width="7.3125" style="1" customWidth="1"/>
    <col min="3" max="3" width="38.875" style="1" customWidth="1"/>
    <col min="4" max="4" width="19.4375" style="1" customWidth="1"/>
    <col min="5" max="5" width="8.875" style="1" customWidth="1"/>
    <col min="6" max="6" width="7.875" style="1" customWidth="1"/>
    <col min="7" max="7" width="7.6875" style="1" customWidth="1"/>
    <col min="8" max="8" width="10.125" style="1" customWidth="1"/>
    <col min="9" max="9" width="20.3125" style="1" customWidth="1"/>
    <col min="10" max="10" width="9.125" style="1" bestFit="1" customWidth="1"/>
    <col min="11" max="11" width="10" style="1" customWidth="1"/>
    <col min="12" max="12" width="20.3125" style="1" customWidth="1"/>
    <col min="13" max="14" width="7.6875" style="1" customWidth="1"/>
    <col min="15" max="15" width="15.4375" style="1" customWidth="1"/>
    <col min="16" max="16" width="8.4375" style="1" customWidth="1"/>
    <col min="17" max="16384" width="9" style="1"/>
  </cols>
  <sheetData>
    <row r="1" spans="1:16" ht="20.100000000000001" customHeight="1">
      <c r="A1" s="27"/>
      <c r="B1" s="27"/>
      <c r="C1" s="27"/>
      <c r="D1" s="135" t="s">
        <v>13</v>
      </c>
      <c r="E1" s="137" t="s">
        <v>435</v>
      </c>
      <c r="F1" s="137"/>
      <c r="G1" s="137"/>
      <c r="H1" s="130"/>
      <c r="I1" s="131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6" ht="20.100000000000001" customHeight="1">
      <c r="A2" s="27"/>
      <c r="B2" s="27"/>
      <c r="C2" s="27"/>
      <c r="D2" s="135" t="s">
        <v>14</v>
      </c>
      <c r="E2" s="137" t="s">
        <v>17</v>
      </c>
      <c r="F2" s="137"/>
      <c r="G2" s="137"/>
      <c r="H2" s="130"/>
      <c r="I2" s="131"/>
      <c r="J2" s="1079"/>
      <c r="K2" s="1079"/>
      <c r="L2" s="999"/>
      <c r="M2" s="999"/>
      <c r="N2" s="999"/>
      <c r="O2" s="999"/>
      <c r="P2" s="999"/>
    </row>
    <row r="3" spans="1:16" ht="39.950000000000003" customHeight="1">
      <c r="A3" s="27"/>
      <c r="B3" s="27"/>
      <c r="C3" s="27"/>
      <c r="D3" s="135" t="s">
        <v>195</v>
      </c>
      <c r="E3" s="137" t="s">
        <v>443</v>
      </c>
      <c r="F3" s="137"/>
      <c r="G3" s="137"/>
      <c r="H3" s="130"/>
      <c r="I3" s="132"/>
      <c r="J3" s="1079" t="s">
        <v>441</v>
      </c>
      <c r="K3" s="1079"/>
      <c r="L3" s="999" t="s">
        <v>442</v>
      </c>
      <c r="M3" s="999"/>
      <c r="N3" s="999"/>
      <c r="O3" s="999"/>
      <c r="P3" s="999"/>
    </row>
    <row r="4" spans="1:16" ht="24.95" customHeight="1">
      <c r="A4" s="27"/>
      <c r="B4" s="27"/>
      <c r="C4" s="27"/>
      <c r="D4" s="135" t="s">
        <v>437</v>
      </c>
      <c r="E4" s="1106" t="str">
        <f>'خلاصه مالي صورت وضعیت'!E4</f>
        <v>موقت 16</v>
      </c>
      <c r="F4" s="1106"/>
      <c r="G4" s="1106"/>
      <c r="H4" s="129"/>
      <c r="I4" s="154"/>
      <c r="J4" s="1079" t="s">
        <v>440</v>
      </c>
      <c r="K4" s="1079"/>
      <c r="L4" s="1104">
        <f>'خلاصه مالي صورت وضعیت'!G4:G5</f>
        <v>1197477151532</v>
      </c>
      <c r="M4" s="1104"/>
      <c r="N4" s="168"/>
      <c r="O4" s="168"/>
      <c r="P4" s="168"/>
    </row>
    <row r="5" spans="1:16" ht="24.95" customHeight="1">
      <c r="A5" s="155"/>
      <c r="B5" s="155"/>
      <c r="C5" s="155"/>
      <c r="D5" s="141" t="s">
        <v>438</v>
      </c>
      <c r="E5" s="1107" t="str">
        <f>'خلاصه مالي صورت وضعیت'!E5</f>
        <v>1403/06/10</v>
      </c>
      <c r="F5" s="1107"/>
      <c r="G5" s="1107"/>
      <c r="H5" s="156"/>
      <c r="I5" s="157"/>
      <c r="J5" s="1080"/>
      <c r="K5" s="1080"/>
      <c r="L5" s="1105"/>
      <c r="M5" s="1105"/>
      <c r="N5" s="169"/>
      <c r="O5" s="169"/>
      <c r="P5" s="169"/>
    </row>
    <row r="6" spans="1:16" ht="18" customHeight="1">
      <c r="A6" s="1081" t="s">
        <v>0</v>
      </c>
      <c r="B6" s="1082" t="s">
        <v>1</v>
      </c>
      <c r="C6" s="1084" t="s">
        <v>18</v>
      </c>
      <c r="D6" s="1084" t="s">
        <v>2</v>
      </c>
      <c r="E6" s="1084" t="s">
        <v>19</v>
      </c>
      <c r="F6" s="1084" t="s">
        <v>205</v>
      </c>
      <c r="G6" s="1089" t="s">
        <v>3</v>
      </c>
      <c r="H6" s="1090"/>
      <c r="I6" s="1091"/>
      <c r="J6" s="1092" t="s">
        <v>464</v>
      </c>
      <c r="K6" s="1093"/>
      <c r="L6" s="1094"/>
      <c r="M6" s="1086" t="s">
        <v>5</v>
      </c>
      <c r="N6" s="1087"/>
      <c r="O6" s="1088"/>
      <c r="P6" s="1108" t="s">
        <v>193</v>
      </c>
    </row>
    <row r="7" spans="1:16" ht="99.95" customHeight="1">
      <c r="A7" s="1008"/>
      <c r="B7" s="1083"/>
      <c r="C7" s="1085"/>
      <c r="D7" s="1085"/>
      <c r="E7" s="1085"/>
      <c r="F7" s="1085"/>
      <c r="G7" s="150" t="s">
        <v>203</v>
      </c>
      <c r="H7" s="150" t="s">
        <v>33</v>
      </c>
      <c r="I7" s="150" t="s">
        <v>34</v>
      </c>
      <c r="J7" s="151" t="s">
        <v>204</v>
      </c>
      <c r="K7" s="151" t="s">
        <v>33</v>
      </c>
      <c r="L7" s="151" t="s">
        <v>34</v>
      </c>
      <c r="M7" s="152" t="s">
        <v>204</v>
      </c>
      <c r="N7" s="152" t="s">
        <v>33</v>
      </c>
      <c r="O7" s="152" t="s">
        <v>34</v>
      </c>
      <c r="P7" s="1109"/>
    </row>
    <row r="8" spans="1:16" s="142" customFormat="1" ht="27.95" customHeight="1">
      <c r="A8" s="18">
        <v>1</v>
      </c>
      <c r="B8" s="146" t="s">
        <v>38</v>
      </c>
      <c r="C8" s="299" t="s">
        <v>37</v>
      </c>
      <c r="D8" s="280">
        <f t="shared" ref="D8:D12" si="0">E8*$L$4</f>
        <v>7184862909.1920004</v>
      </c>
      <c r="E8" s="281">
        <f>SUM(E9:E12)</f>
        <v>6.0000000000000001E-3</v>
      </c>
      <c r="F8" s="282"/>
      <c r="G8" s="322"/>
      <c r="H8" s="279">
        <f>SUM(H9:H12)</f>
        <v>6.0000000000000001E-3</v>
      </c>
      <c r="I8" s="325">
        <f>SUM(I9:I12)</f>
        <v>7184862909.1920004</v>
      </c>
      <c r="J8" s="267">
        <f>(J9*$E$9+J10*$E$10+J11*$E$11+J12*$E$12)/E8</f>
        <v>0.73708333338200926</v>
      </c>
      <c r="K8" s="340">
        <f>SUM(K9:K12)</f>
        <v>4.4225000002920557E-3</v>
      </c>
      <c r="L8" s="268">
        <f>SUM(L9:L12)</f>
        <v>5295842703</v>
      </c>
      <c r="M8" s="269"/>
      <c r="N8" s="269"/>
      <c r="O8" s="270"/>
      <c r="P8" s="271"/>
    </row>
    <row r="9" spans="1:16" s="160" customFormat="1" ht="50.1" customHeight="1">
      <c r="A9" s="18">
        <v>2</v>
      </c>
      <c r="B9" s="123" t="s">
        <v>39</v>
      </c>
      <c r="C9" s="300" t="s">
        <v>465</v>
      </c>
      <c r="D9" s="283">
        <f t="shared" si="0"/>
        <v>1197477151.5320001</v>
      </c>
      <c r="E9" s="284">
        <f>CBS!F21</f>
        <v>1E-3</v>
      </c>
      <c r="F9" s="285"/>
      <c r="G9" s="393">
        <v>1</v>
      </c>
      <c r="H9" s="286">
        <f t="shared" ref="H9:H12" si="1">G9*E9</f>
        <v>1E-3</v>
      </c>
      <c r="I9" s="313">
        <f>H9*$L$4</f>
        <v>1197477151.5320001</v>
      </c>
      <c r="J9" s="509">
        <v>0.56000000000000005</v>
      </c>
      <c r="K9" s="341">
        <f>J9*E9</f>
        <v>5.6000000000000006E-4</v>
      </c>
      <c r="L9" s="274">
        <f t="shared" ref="L9:L12" si="2">J9*D9</f>
        <v>670587204.85792005</v>
      </c>
      <c r="M9" s="1095" t="s">
        <v>876</v>
      </c>
      <c r="N9" s="1096"/>
      <c r="O9" s="1097"/>
      <c r="P9" s="277"/>
    </row>
    <row r="10" spans="1:16" s="160" customFormat="1" ht="50.1" customHeight="1">
      <c r="A10" s="18">
        <v>3</v>
      </c>
      <c r="B10" s="123" t="s">
        <v>40</v>
      </c>
      <c r="C10" s="300" t="s">
        <v>466</v>
      </c>
      <c r="D10" s="283">
        <f t="shared" si="0"/>
        <v>1197477151.5320001</v>
      </c>
      <c r="E10" s="284">
        <f>CBS!F22</f>
        <v>1E-3</v>
      </c>
      <c r="F10" s="285"/>
      <c r="G10" s="393">
        <v>1</v>
      </c>
      <c r="H10" s="286">
        <f t="shared" si="1"/>
        <v>1E-3</v>
      </c>
      <c r="I10" s="313">
        <f>H10*$L$4</f>
        <v>1197477151.5320001</v>
      </c>
      <c r="J10" s="509">
        <v>0.7</v>
      </c>
      <c r="K10" s="341">
        <f t="shared" ref="K10:K12" si="3">J10*E10</f>
        <v>6.9999999999999999E-4</v>
      </c>
      <c r="L10" s="274">
        <f t="shared" si="2"/>
        <v>838234006.07239997</v>
      </c>
      <c r="M10" s="1098"/>
      <c r="N10" s="1099"/>
      <c r="O10" s="1100"/>
      <c r="P10" s="277"/>
    </row>
    <row r="11" spans="1:16" s="160" customFormat="1" ht="50.1" customHeight="1">
      <c r="A11" s="18">
        <v>4</v>
      </c>
      <c r="B11" s="123" t="s">
        <v>41</v>
      </c>
      <c r="C11" s="300" t="s">
        <v>467</v>
      </c>
      <c r="D11" s="283">
        <f t="shared" si="0"/>
        <v>1197477151.5320001</v>
      </c>
      <c r="E11" s="284">
        <f>CBS!F23</f>
        <v>1E-3</v>
      </c>
      <c r="F11" s="285"/>
      <c r="G11" s="393">
        <v>1</v>
      </c>
      <c r="H11" s="286">
        <f t="shared" si="1"/>
        <v>1E-3</v>
      </c>
      <c r="I11" s="313">
        <f>H11*$L$4</f>
        <v>1197477151.5320001</v>
      </c>
      <c r="J11" s="509">
        <v>0.6125000002920552</v>
      </c>
      <c r="K11" s="341">
        <f t="shared" si="3"/>
        <v>6.1250000029205521E-4</v>
      </c>
      <c r="L11" s="274">
        <f t="shared" si="2"/>
        <v>733454755.6630795</v>
      </c>
      <c r="M11" s="1098"/>
      <c r="N11" s="1099"/>
      <c r="O11" s="1100"/>
      <c r="P11" s="277"/>
    </row>
    <row r="12" spans="1:16" s="160" customFormat="1" ht="50.1" customHeight="1">
      <c r="A12" s="18">
        <v>5</v>
      </c>
      <c r="B12" s="123" t="s">
        <v>42</v>
      </c>
      <c r="C12" s="300" t="s">
        <v>43</v>
      </c>
      <c r="D12" s="283">
        <f t="shared" si="0"/>
        <v>3592431454.5960002</v>
      </c>
      <c r="E12" s="284">
        <f>CBS!F24</f>
        <v>3.0000000000000001E-3</v>
      </c>
      <c r="F12" s="285"/>
      <c r="G12" s="393">
        <v>1</v>
      </c>
      <c r="H12" s="286">
        <f t="shared" si="1"/>
        <v>3.0000000000000001E-3</v>
      </c>
      <c r="I12" s="313">
        <f>H12*$L$4</f>
        <v>3592431454.5960002</v>
      </c>
      <c r="J12" s="509">
        <v>0.85</v>
      </c>
      <c r="K12" s="341">
        <f t="shared" si="3"/>
        <v>2.5500000000000002E-3</v>
      </c>
      <c r="L12" s="274">
        <f t="shared" si="2"/>
        <v>3053566736.4066</v>
      </c>
      <c r="M12" s="1101"/>
      <c r="N12" s="1102"/>
      <c r="O12" s="1103"/>
      <c r="P12" s="277"/>
    </row>
  </sheetData>
  <mergeCells count="19">
    <mergeCell ref="M9:O12"/>
    <mergeCell ref="L1:P2"/>
    <mergeCell ref="L3:P3"/>
    <mergeCell ref="L4:M5"/>
    <mergeCell ref="E4:G4"/>
    <mergeCell ref="E5:G5"/>
    <mergeCell ref="J1:K2"/>
    <mergeCell ref="J3:K3"/>
    <mergeCell ref="J4:K5"/>
    <mergeCell ref="P6:P7"/>
    <mergeCell ref="A6:A7"/>
    <mergeCell ref="B6:B7"/>
    <mergeCell ref="C6:C7"/>
    <mergeCell ref="M6:O6"/>
    <mergeCell ref="D6:D7"/>
    <mergeCell ref="E6:E7"/>
    <mergeCell ref="F6:F7"/>
    <mergeCell ref="G6:I6"/>
    <mergeCell ref="J6:L6"/>
  </mergeCells>
  <printOptions horizontalCentered="1"/>
  <pageMargins left="0.39370078740157483" right="0.39370078740157483" top="0.59055118110236227" bottom="0.98425196850393704" header="0" footer="0.39370078740157483"/>
  <pageSetup paperSize="9" scale="63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Q20"/>
  <sheetViews>
    <sheetView rightToLeft="1" view="pageBreakPreview" zoomScale="55" zoomScaleNormal="100" zoomScaleSheetLayoutView="55" workbookViewId="0">
      <selection activeCell="E4" sqref="E4:G4"/>
    </sheetView>
  </sheetViews>
  <sheetFormatPr defaultColWidth="9" defaultRowHeight="16.899999999999999"/>
  <cols>
    <col min="1" max="1" width="4" style="1" bestFit="1" customWidth="1"/>
    <col min="2" max="2" width="9" style="1"/>
    <col min="3" max="3" width="42" style="1" customWidth="1"/>
    <col min="4" max="4" width="18" style="1" customWidth="1"/>
    <col min="5" max="5" width="14.125" style="1" customWidth="1"/>
    <col min="6" max="7" width="8.3125" style="1" customWidth="1"/>
    <col min="8" max="8" width="9.4375" style="1" bestFit="1" customWidth="1"/>
    <col min="9" max="9" width="17.6875" style="1" customWidth="1"/>
    <col min="10" max="10" width="8.6875" style="1" customWidth="1"/>
    <col min="11" max="11" width="10" style="1" customWidth="1"/>
    <col min="12" max="12" width="18.6875" style="1" customWidth="1"/>
    <col min="13" max="14" width="8.6875" style="1" customWidth="1"/>
    <col min="15" max="15" width="12.6875" style="1" customWidth="1"/>
    <col min="16" max="16" width="8.125" style="1" customWidth="1"/>
    <col min="17" max="17" width="18.3125" style="1" bestFit="1" customWidth="1"/>
    <col min="18" max="16384" width="9" style="1"/>
  </cols>
  <sheetData>
    <row r="1" spans="1:17" ht="20.100000000000001" customHeight="1">
      <c r="A1" s="27"/>
      <c r="B1" s="27"/>
      <c r="C1" s="27"/>
      <c r="D1" s="135" t="s">
        <v>13</v>
      </c>
      <c r="E1" s="137" t="s">
        <v>435</v>
      </c>
      <c r="F1" s="137"/>
      <c r="G1" s="137"/>
      <c r="H1" s="130"/>
      <c r="I1" s="131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7" ht="20.100000000000001" customHeight="1">
      <c r="A2" s="27"/>
      <c r="B2" s="27"/>
      <c r="C2" s="27"/>
      <c r="D2" s="135" t="s">
        <v>14</v>
      </c>
      <c r="E2" s="137" t="s">
        <v>17</v>
      </c>
      <c r="F2" s="137"/>
      <c r="G2" s="137"/>
      <c r="H2" s="130"/>
      <c r="I2" s="131"/>
      <c r="J2" s="1079"/>
      <c r="K2" s="1079"/>
      <c r="L2" s="999"/>
      <c r="M2" s="999"/>
      <c r="N2" s="999"/>
      <c r="O2" s="999"/>
      <c r="P2" s="999"/>
    </row>
    <row r="3" spans="1:17" ht="39.950000000000003" customHeight="1">
      <c r="A3" s="27"/>
      <c r="B3" s="27"/>
      <c r="C3" s="27"/>
      <c r="D3" s="135" t="s">
        <v>195</v>
      </c>
      <c r="E3" s="137" t="s">
        <v>443</v>
      </c>
      <c r="F3" s="137"/>
      <c r="G3" s="137"/>
      <c r="H3" s="130"/>
      <c r="I3" s="132"/>
      <c r="J3" s="1079" t="s">
        <v>498</v>
      </c>
      <c r="K3" s="1079"/>
      <c r="L3" s="999" t="s">
        <v>442</v>
      </c>
      <c r="M3" s="999"/>
      <c r="N3" s="999"/>
      <c r="O3" s="999"/>
      <c r="P3" s="999"/>
    </row>
    <row r="4" spans="1:17" ht="24.95" customHeight="1">
      <c r="A4" s="27"/>
      <c r="B4" s="27"/>
      <c r="C4" s="27"/>
      <c r="D4" s="135" t="s">
        <v>437</v>
      </c>
      <c r="E4" s="1106" t="str">
        <f>'خلاصه مالي صورت وضعیت'!E4</f>
        <v>موقت 16</v>
      </c>
      <c r="F4" s="1106"/>
      <c r="G4" s="1106"/>
      <c r="H4" s="129"/>
      <c r="I4" s="154"/>
      <c r="J4" s="1079" t="s">
        <v>440</v>
      </c>
      <c r="K4" s="1079"/>
      <c r="L4" s="1113">
        <f>'خلاصه مالي صورت وضعیت'!G4:G5</f>
        <v>1197477151532</v>
      </c>
      <c r="M4" s="1113"/>
      <c r="N4" s="168"/>
      <c r="O4" s="168"/>
      <c r="P4" s="168"/>
    </row>
    <row r="5" spans="1:17" ht="24.95" customHeight="1">
      <c r="A5" s="155"/>
      <c r="B5" s="155"/>
      <c r="C5" s="155"/>
      <c r="D5" s="141" t="s">
        <v>438</v>
      </c>
      <c r="E5" s="1107" t="str">
        <f>'خلاصه مالي صورت وضعیت'!E5</f>
        <v>1403/06/10</v>
      </c>
      <c r="F5" s="1107"/>
      <c r="G5" s="1107"/>
      <c r="H5" s="156"/>
      <c r="I5" s="157"/>
      <c r="J5" s="1080"/>
      <c r="K5" s="1080"/>
      <c r="L5" s="1114"/>
      <c r="M5" s="1114"/>
      <c r="N5" s="169"/>
      <c r="O5" s="169"/>
      <c r="P5" s="169"/>
    </row>
    <row r="6" spans="1:17" ht="18" customHeight="1">
      <c r="A6" s="1081" t="s">
        <v>0</v>
      </c>
      <c r="B6" s="1082" t="s">
        <v>1</v>
      </c>
      <c r="C6" s="1084" t="s">
        <v>18</v>
      </c>
      <c r="D6" s="1084" t="s">
        <v>2</v>
      </c>
      <c r="E6" s="1084" t="s">
        <v>19</v>
      </c>
      <c r="F6" s="1084" t="s">
        <v>205</v>
      </c>
      <c r="G6" s="1089" t="s">
        <v>3</v>
      </c>
      <c r="H6" s="1090"/>
      <c r="I6" s="1091"/>
      <c r="J6" s="1092" t="s">
        <v>464</v>
      </c>
      <c r="K6" s="1093"/>
      <c r="L6" s="1094"/>
      <c r="M6" s="1086" t="s">
        <v>5</v>
      </c>
      <c r="N6" s="1087"/>
      <c r="O6" s="1088"/>
      <c r="P6" s="1108" t="s">
        <v>193</v>
      </c>
    </row>
    <row r="7" spans="1:17" ht="99.95" customHeight="1">
      <c r="A7" s="1008"/>
      <c r="B7" s="1083"/>
      <c r="C7" s="1085"/>
      <c r="D7" s="1085"/>
      <c r="E7" s="1085"/>
      <c r="F7" s="1085"/>
      <c r="G7" s="150" t="s">
        <v>203</v>
      </c>
      <c r="H7" s="150" t="s">
        <v>33</v>
      </c>
      <c r="I7" s="150" t="s">
        <v>34</v>
      </c>
      <c r="J7" s="151" t="s">
        <v>204</v>
      </c>
      <c r="K7" s="151" t="s">
        <v>33</v>
      </c>
      <c r="L7" s="151" t="s">
        <v>34</v>
      </c>
      <c r="M7" s="152" t="s">
        <v>204</v>
      </c>
      <c r="N7" s="152" t="s">
        <v>33</v>
      </c>
      <c r="O7" s="152" t="s">
        <v>34</v>
      </c>
      <c r="P7" s="1109"/>
    </row>
    <row r="8" spans="1:17" s="142" customFormat="1" ht="22.5">
      <c r="A8" s="18">
        <v>1</v>
      </c>
      <c r="B8" s="146" t="s">
        <v>44</v>
      </c>
      <c r="C8" s="299" t="s">
        <v>57</v>
      </c>
      <c r="D8" s="280">
        <f t="shared" ref="D8:D20" si="0">E8*$L$4</f>
        <v>20357111576</v>
      </c>
      <c r="E8" s="281">
        <f>SUM(E9:E20)</f>
        <v>1.6999999999963256E-2</v>
      </c>
      <c r="F8" s="282"/>
      <c r="G8" s="322"/>
      <c r="H8" s="279">
        <f>SUM(H9:H20)</f>
        <v>1.6999999999963256E-2</v>
      </c>
      <c r="I8" s="325">
        <f>SUM(I9:I20)</f>
        <v>20357111576</v>
      </c>
      <c r="J8" s="267">
        <f>L8/D8</f>
        <v>0.92500000000000016</v>
      </c>
      <c r="K8" s="340">
        <f>L8/L4</f>
        <v>1.5724999999966013E-2</v>
      </c>
      <c r="L8" s="268">
        <f>SUM(L9:L20)</f>
        <v>18830328207.800003</v>
      </c>
      <c r="M8" s="269"/>
      <c r="N8" s="269"/>
      <c r="O8" s="270"/>
      <c r="P8" s="271"/>
      <c r="Q8" s="188"/>
    </row>
    <row r="9" spans="1:17" s="160" customFormat="1" ht="21.4">
      <c r="A9" s="18">
        <v>2</v>
      </c>
      <c r="B9" s="123" t="s">
        <v>45</v>
      </c>
      <c r="C9" s="300" t="s">
        <v>588</v>
      </c>
      <c r="D9" s="283">
        <f t="shared" si="0"/>
        <v>0</v>
      </c>
      <c r="E9" s="284">
        <f>CBS!F27</f>
        <v>0</v>
      </c>
      <c r="F9" s="285"/>
      <c r="G9" s="393">
        <v>1</v>
      </c>
      <c r="H9" s="286">
        <f>G9*E9</f>
        <v>0</v>
      </c>
      <c r="I9" s="313">
        <f>H9*$L$4</f>
        <v>0</v>
      </c>
      <c r="J9" s="415"/>
      <c r="K9" s="341">
        <f>J9*E9</f>
        <v>0</v>
      </c>
      <c r="L9" s="274">
        <f>$L$4*K9</f>
        <v>0</v>
      </c>
      <c r="M9" s="275"/>
      <c r="N9" s="275"/>
      <c r="O9" s="276"/>
      <c r="P9" s="277"/>
    </row>
    <row r="10" spans="1:17" s="160" customFormat="1" ht="42.75">
      <c r="A10" s="18">
        <v>3</v>
      </c>
      <c r="B10" s="123" t="s">
        <v>46</v>
      </c>
      <c r="C10" s="300" t="s">
        <v>468</v>
      </c>
      <c r="D10" s="283">
        <f t="shared" si="0"/>
        <v>3053566736.3999996</v>
      </c>
      <c r="E10" s="284">
        <f>CBS!F28</f>
        <v>2.5499999999944881E-3</v>
      </c>
      <c r="F10" s="285"/>
      <c r="G10" s="393">
        <v>1</v>
      </c>
      <c r="H10" s="286">
        <f t="shared" ref="H10:H20" si="1">G10*E10</f>
        <v>2.5499999999944881E-3</v>
      </c>
      <c r="I10" s="313">
        <f>H10*$L$4</f>
        <v>3053566736.3999996</v>
      </c>
      <c r="J10" s="415">
        <v>1</v>
      </c>
      <c r="K10" s="341">
        <f>J10*E10</f>
        <v>2.5499999999944881E-3</v>
      </c>
      <c r="L10" s="274">
        <f t="shared" ref="L10:L20" si="2">$L$4*K10</f>
        <v>3053566736.3999996</v>
      </c>
      <c r="M10" s="275"/>
      <c r="N10" s="275"/>
      <c r="O10" s="276"/>
      <c r="P10" s="277"/>
    </row>
    <row r="11" spans="1:17" s="160" customFormat="1" ht="42.75">
      <c r="A11" s="18">
        <v>4</v>
      </c>
      <c r="B11" s="123" t="s">
        <v>47</v>
      </c>
      <c r="C11" s="300" t="s">
        <v>61</v>
      </c>
      <c r="D11" s="283">
        <f t="shared" si="0"/>
        <v>1221426694.5600002</v>
      </c>
      <c r="E11" s="284">
        <f>CBS!F29</f>
        <v>1.0199999999977955E-3</v>
      </c>
      <c r="F11" s="285"/>
      <c r="G11" s="393">
        <v>1</v>
      </c>
      <c r="H11" s="286">
        <f t="shared" si="1"/>
        <v>1.0199999999977955E-3</v>
      </c>
      <c r="I11" s="313">
        <f>H11*$L$4</f>
        <v>1221426694.5600002</v>
      </c>
      <c r="J11" s="415">
        <v>1</v>
      </c>
      <c r="K11" s="341">
        <f t="shared" ref="K11:K20" si="3">J11*E11</f>
        <v>1.0199999999977955E-3</v>
      </c>
      <c r="L11" s="274">
        <f t="shared" si="2"/>
        <v>1221426694.5600002</v>
      </c>
      <c r="M11" s="275"/>
      <c r="N11" s="275"/>
      <c r="O11" s="276"/>
      <c r="P11" s="277"/>
    </row>
    <row r="12" spans="1:17" s="160" customFormat="1" ht="42.75">
      <c r="A12" s="18">
        <v>5</v>
      </c>
      <c r="B12" s="123" t="s">
        <v>48</v>
      </c>
      <c r="C12" s="300" t="s">
        <v>62</v>
      </c>
      <c r="D12" s="283">
        <f t="shared" si="0"/>
        <v>3053566736.3999996</v>
      </c>
      <c r="E12" s="284">
        <f>CBS!F30</f>
        <v>2.5499999999944881E-3</v>
      </c>
      <c r="F12" s="285"/>
      <c r="G12" s="393">
        <v>1</v>
      </c>
      <c r="H12" s="286">
        <f t="shared" si="1"/>
        <v>2.5499999999944881E-3</v>
      </c>
      <c r="I12" s="313">
        <f t="shared" ref="I12:I20" si="4">H12*$L$4</f>
        <v>3053566736.3999996</v>
      </c>
      <c r="J12" s="415">
        <v>1</v>
      </c>
      <c r="K12" s="341">
        <f t="shared" si="3"/>
        <v>2.5499999999944881E-3</v>
      </c>
      <c r="L12" s="274">
        <f t="shared" si="2"/>
        <v>3053566736.3999996</v>
      </c>
      <c r="M12" s="275"/>
      <c r="N12" s="275"/>
      <c r="O12" s="276"/>
      <c r="P12" s="277"/>
    </row>
    <row r="13" spans="1:17" s="160" customFormat="1" ht="39" customHeight="1">
      <c r="A13" s="18">
        <v>6</v>
      </c>
      <c r="B13" s="123" t="s">
        <v>49</v>
      </c>
      <c r="C13" s="300" t="s">
        <v>63</v>
      </c>
      <c r="D13" s="283">
        <f t="shared" si="0"/>
        <v>2035711157.5999997</v>
      </c>
      <c r="E13" s="284">
        <f>CBS!F31</f>
        <v>1.6999999999963253E-3</v>
      </c>
      <c r="F13" s="285"/>
      <c r="G13" s="393">
        <v>1</v>
      </c>
      <c r="H13" s="286">
        <f t="shared" si="1"/>
        <v>1.6999999999963253E-3</v>
      </c>
      <c r="I13" s="313">
        <f>H13*$L$4</f>
        <v>2035711157.5999997</v>
      </c>
      <c r="J13" s="415">
        <v>1</v>
      </c>
      <c r="K13" s="341">
        <f t="shared" si="3"/>
        <v>1.6999999999963253E-3</v>
      </c>
      <c r="L13" s="274">
        <f t="shared" si="2"/>
        <v>2035711157.5999997</v>
      </c>
      <c r="M13" s="275"/>
      <c r="N13" s="275"/>
      <c r="O13" s="276"/>
      <c r="P13" s="277"/>
    </row>
    <row r="14" spans="1:17" s="160" customFormat="1" ht="42.75">
      <c r="A14" s="18">
        <v>7</v>
      </c>
      <c r="B14" s="123" t="s">
        <v>50</v>
      </c>
      <c r="C14" s="300" t="s">
        <v>64</v>
      </c>
      <c r="D14" s="283">
        <f t="shared" si="0"/>
        <v>1832140041.8399997</v>
      </c>
      <c r="E14" s="284">
        <f>CBS!F32</f>
        <v>1.5299999999966929E-3</v>
      </c>
      <c r="F14" s="285"/>
      <c r="G14" s="393">
        <v>1</v>
      </c>
      <c r="H14" s="286">
        <f t="shared" si="1"/>
        <v>1.5299999999966929E-3</v>
      </c>
      <c r="I14" s="313">
        <f t="shared" si="4"/>
        <v>1832140041.8399997</v>
      </c>
      <c r="J14" s="415">
        <v>1</v>
      </c>
      <c r="K14" s="341">
        <f t="shared" si="3"/>
        <v>1.5299999999966929E-3</v>
      </c>
      <c r="L14" s="274">
        <f t="shared" si="2"/>
        <v>1832140041.8399997</v>
      </c>
      <c r="M14" s="275"/>
      <c r="N14" s="275"/>
      <c r="O14" s="276"/>
      <c r="P14" s="277"/>
    </row>
    <row r="15" spans="1:17" s="160" customFormat="1" ht="21.4">
      <c r="A15" s="18">
        <v>8</v>
      </c>
      <c r="B15" s="123" t="s">
        <v>51</v>
      </c>
      <c r="C15" s="300" t="s">
        <v>65</v>
      </c>
      <c r="D15" s="283">
        <f t="shared" si="0"/>
        <v>610713347.28000009</v>
      </c>
      <c r="E15" s="284">
        <f>CBS!F33</f>
        <v>5.0999999999889773E-4</v>
      </c>
      <c r="F15" s="285"/>
      <c r="G15" s="393">
        <v>1</v>
      </c>
      <c r="H15" s="286">
        <f t="shared" si="1"/>
        <v>5.0999999999889773E-4</v>
      </c>
      <c r="I15" s="313">
        <f>H15*$L$4</f>
        <v>610713347.28000009</v>
      </c>
      <c r="J15" s="415">
        <v>1</v>
      </c>
      <c r="K15" s="341">
        <f t="shared" si="3"/>
        <v>5.0999999999889773E-4</v>
      </c>
      <c r="L15" s="274">
        <f t="shared" si="2"/>
        <v>610713347.28000009</v>
      </c>
      <c r="M15" s="275"/>
      <c r="N15" s="275"/>
      <c r="O15" s="276"/>
      <c r="P15" s="277"/>
    </row>
    <row r="16" spans="1:17" s="160" customFormat="1" ht="21.4">
      <c r="A16" s="18">
        <v>9</v>
      </c>
      <c r="B16" s="123" t="s">
        <v>52</v>
      </c>
      <c r="C16" s="300" t="s">
        <v>58</v>
      </c>
      <c r="D16" s="283">
        <f t="shared" si="0"/>
        <v>2035711157.5999997</v>
      </c>
      <c r="E16" s="284">
        <f>CBS!F34</f>
        <v>1.6999999999963253E-3</v>
      </c>
      <c r="F16" s="285"/>
      <c r="G16" s="393">
        <v>1</v>
      </c>
      <c r="H16" s="286">
        <f t="shared" si="1"/>
        <v>1.6999999999963253E-3</v>
      </c>
      <c r="I16" s="313">
        <f t="shared" si="4"/>
        <v>2035711157.5999997</v>
      </c>
      <c r="J16" s="415">
        <v>1</v>
      </c>
      <c r="K16" s="341">
        <f t="shared" si="3"/>
        <v>1.6999999999963253E-3</v>
      </c>
      <c r="L16" s="274">
        <f t="shared" si="2"/>
        <v>2035711157.5999997</v>
      </c>
      <c r="M16" s="275"/>
      <c r="N16" s="275"/>
      <c r="O16" s="276"/>
      <c r="P16" s="277"/>
    </row>
    <row r="17" spans="1:16" s="160" customFormat="1" ht="42.75">
      <c r="A17" s="18">
        <v>10</v>
      </c>
      <c r="B17" s="123" t="s">
        <v>53</v>
      </c>
      <c r="C17" s="300" t="s">
        <v>59</v>
      </c>
      <c r="D17" s="283">
        <f t="shared" si="0"/>
        <v>3053566736.3999996</v>
      </c>
      <c r="E17" s="284">
        <f>CBS!F35</f>
        <v>2.5499999999944881E-3</v>
      </c>
      <c r="F17" s="285"/>
      <c r="G17" s="393">
        <v>1</v>
      </c>
      <c r="H17" s="286">
        <f t="shared" si="1"/>
        <v>2.5499999999944881E-3</v>
      </c>
      <c r="I17" s="313">
        <f>H17*$L$4</f>
        <v>3053566736.3999996</v>
      </c>
      <c r="J17" s="415">
        <v>1</v>
      </c>
      <c r="K17" s="341">
        <f t="shared" si="3"/>
        <v>2.5499999999944881E-3</v>
      </c>
      <c r="L17" s="274">
        <f t="shared" si="2"/>
        <v>3053566736.3999996</v>
      </c>
      <c r="M17" s="275"/>
      <c r="N17" s="275"/>
      <c r="O17" s="276"/>
      <c r="P17" s="277"/>
    </row>
    <row r="18" spans="1:16" s="160" customFormat="1" ht="42.75">
      <c r="A18" s="18">
        <v>11</v>
      </c>
      <c r="B18" s="123" t="s">
        <v>54</v>
      </c>
      <c r="C18" s="300" t="s">
        <v>66</v>
      </c>
      <c r="D18" s="283">
        <f t="shared" si="0"/>
        <v>1424997810.3199999</v>
      </c>
      <c r="E18" s="284">
        <f>CBS!F36</f>
        <v>1.1899999999974279E-3</v>
      </c>
      <c r="F18" s="285"/>
      <c r="G18" s="393">
        <v>1</v>
      </c>
      <c r="H18" s="286">
        <f t="shared" si="1"/>
        <v>1.1899999999974279E-3</v>
      </c>
      <c r="I18" s="313">
        <f t="shared" si="4"/>
        <v>1424997810.3199999</v>
      </c>
      <c r="J18" s="415">
        <v>1</v>
      </c>
      <c r="K18" s="341">
        <f t="shared" si="3"/>
        <v>1.1899999999974279E-3</v>
      </c>
      <c r="L18" s="274">
        <f t="shared" si="2"/>
        <v>1424997810.3199999</v>
      </c>
      <c r="M18" s="275"/>
      <c r="N18" s="275"/>
      <c r="O18" s="276"/>
      <c r="P18" s="277"/>
    </row>
    <row r="19" spans="1:16" s="160" customFormat="1" ht="61.5" customHeight="1">
      <c r="A19" s="18">
        <v>12</v>
      </c>
      <c r="B19" s="123" t="s">
        <v>55</v>
      </c>
      <c r="C19" s="300" t="s">
        <v>67</v>
      </c>
      <c r="D19" s="283">
        <f t="shared" si="0"/>
        <v>2035711157.5999997</v>
      </c>
      <c r="E19" s="284">
        <f>CBS!F25</f>
        <v>1.6999999999963253E-3</v>
      </c>
      <c r="F19" s="285"/>
      <c r="G19" s="393">
        <v>1</v>
      </c>
      <c r="H19" s="286">
        <f t="shared" si="1"/>
        <v>1.6999999999963253E-3</v>
      </c>
      <c r="I19" s="313">
        <f t="shared" si="4"/>
        <v>2035711157.5999997</v>
      </c>
      <c r="J19" s="422">
        <v>0.25</v>
      </c>
      <c r="K19" s="341">
        <f t="shared" si="3"/>
        <v>4.2499999999908133E-4</v>
      </c>
      <c r="L19" s="274">
        <f t="shared" si="2"/>
        <v>508927789.39999992</v>
      </c>
      <c r="M19" s="1110" t="s">
        <v>876</v>
      </c>
      <c r="N19" s="1111"/>
      <c r="O19" s="1111"/>
      <c r="P19" s="1112"/>
    </row>
    <row r="20" spans="1:16" s="160" customFormat="1" ht="36.75" customHeight="1">
      <c r="A20" s="18">
        <v>13</v>
      </c>
      <c r="B20" s="123" t="s">
        <v>56</v>
      </c>
      <c r="C20" s="300" t="s">
        <v>60</v>
      </c>
      <c r="D20" s="283">
        <f t="shared" si="0"/>
        <v>0</v>
      </c>
      <c r="E20" s="284">
        <f>CBS!F38</f>
        <v>0</v>
      </c>
      <c r="F20" s="285"/>
      <c r="G20" s="393">
        <v>1</v>
      </c>
      <c r="H20" s="286">
        <f t="shared" si="1"/>
        <v>0</v>
      </c>
      <c r="I20" s="313">
        <f t="shared" si="4"/>
        <v>0</v>
      </c>
      <c r="J20" s="415"/>
      <c r="K20" s="341">
        <f t="shared" si="3"/>
        <v>0</v>
      </c>
      <c r="L20" s="274">
        <f t="shared" si="2"/>
        <v>0</v>
      </c>
      <c r="M20" s="275"/>
      <c r="N20" s="275"/>
      <c r="O20" s="276"/>
      <c r="P20" s="277"/>
    </row>
  </sheetData>
  <mergeCells count="19">
    <mergeCell ref="L1:P2"/>
    <mergeCell ref="L3:P3"/>
    <mergeCell ref="L4:M5"/>
    <mergeCell ref="E4:G4"/>
    <mergeCell ref="E5:G5"/>
    <mergeCell ref="J1:K2"/>
    <mergeCell ref="J3:K3"/>
    <mergeCell ref="J4:K5"/>
    <mergeCell ref="M19:P19"/>
    <mergeCell ref="A6:A7"/>
    <mergeCell ref="B6:B7"/>
    <mergeCell ref="C6:C7"/>
    <mergeCell ref="M6:O6"/>
    <mergeCell ref="D6:D7"/>
    <mergeCell ref="E6:E7"/>
    <mergeCell ref="F6:F7"/>
    <mergeCell ref="G6:I6"/>
    <mergeCell ref="J6:L6"/>
    <mergeCell ref="P6:P7"/>
  </mergeCells>
  <printOptions horizontalCentered="1"/>
  <pageMargins left="0.39370078740157483" right="0.39370078740157483" top="0.59055118110236227" bottom="0.98425196850393704" header="0" footer="0.39370078740157483"/>
  <pageSetup paperSize="9" scale="60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colBreaks count="1" manualBreakCount="1">
    <brk id="16" max="19" man="1"/>
  </colBreaks>
  <drawing r:id="rId2"/>
  <legacyDrawing r:id="rId3"/>
  <oleObjects>
    <mc:AlternateContent xmlns:mc="http://schemas.openxmlformats.org/markup-compatibility/2006">
      <mc:Choice Requires="x14">
        <oleObject progId="PBrush" shapeId="2869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190500</xdr:rowOff>
              </from>
              <to>
                <xdr:col>0</xdr:col>
                <xdr:colOff>0</xdr:colOff>
                <xdr:row>1</xdr:row>
                <xdr:rowOff>238125</xdr:rowOff>
              </to>
            </anchor>
          </objectPr>
        </oleObject>
      </mc:Choice>
      <mc:Fallback>
        <oleObject progId="PBrush" shapeId="28697" r:id="rId4"/>
      </mc:Fallback>
    </mc:AlternateContent>
    <mc:AlternateContent xmlns:mc="http://schemas.openxmlformats.org/markup-compatibility/2006">
      <mc:Choice Requires="x14">
        <oleObject progId="PBrush" shapeId="28698" r:id="rId6">
          <objectPr defaultSize="0" autoPict="0" r:id="rId7">
            <anchor moveWithCells="1" sizeWithCells="1">
              <from>
                <xdr:col>0</xdr:col>
                <xdr:colOff>0</xdr:colOff>
                <xdr:row>0</xdr:row>
                <xdr:rowOff>180975</xdr:rowOff>
              </from>
              <to>
                <xdr:col>0</xdr:col>
                <xdr:colOff>0</xdr:colOff>
                <xdr:row>1</xdr:row>
                <xdr:rowOff>228600</xdr:rowOff>
              </to>
            </anchor>
          </objectPr>
        </oleObject>
      </mc:Choice>
      <mc:Fallback>
        <oleObject progId="PBrush" shapeId="28698" r:id="rId6"/>
      </mc:Fallback>
    </mc:AlternateContent>
    <mc:AlternateContent xmlns:mc="http://schemas.openxmlformats.org/markup-compatibility/2006">
      <mc:Choice Requires="x14">
        <oleObject progId="PBrush" shapeId="28699" r:id="rId8">
          <objectPr defaultSize="0" autoPict="0" r:id="rId9">
            <anchor moveWithCells="1" sizeWithCells="1">
              <from>
                <xdr:col>0</xdr:col>
                <xdr:colOff>0</xdr:colOff>
                <xdr:row>2</xdr:row>
                <xdr:rowOff>180975</xdr:rowOff>
              </from>
              <to>
                <xdr:col>0</xdr:col>
                <xdr:colOff>0</xdr:colOff>
                <xdr:row>2</xdr:row>
                <xdr:rowOff>476250</xdr:rowOff>
              </to>
            </anchor>
          </objectPr>
        </oleObject>
      </mc:Choice>
      <mc:Fallback>
        <oleObject progId="PBrush" shapeId="28699" r:id="rId8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R18"/>
  <sheetViews>
    <sheetView rightToLeft="1" view="pageBreakPreview" zoomScale="55" zoomScaleNormal="85" zoomScaleSheetLayoutView="55" workbookViewId="0">
      <selection activeCell="D8" sqref="D8"/>
    </sheetView>
  </sheetViews>
  <sheetFormatPr defaultColWidth="9" defaultRowHeight="16.899999999999999"/>
  <cols>
    <col min="1" max="1" width="4" style="1" bestFit="1" customWidth="1"/>
    <col min="2" max="2" width="7.5625" style="1" customWidth="1"/>
    <col min="3" max="3" width="44.875" style="1" customWidth="1"/>
    <col min="4" max="4" width="28.3125" style="1" customWidth="1"/>
    <col min="5" max="5" width="10.5625" style="1" customWidth="1"/>
    <col min="6" max="6" width="7.3125" style="1" customWidth="1"/>
    <col min="7" max="7" width="7.5625" style="1" customWidth="1"/>
    <col min="8" max="8" width="13.125" style="1" bestFit="1" customWidth="1"/>
    <col min="9" max="9" width="19.875" style="1" bestFit="1" customWidth="1"/>
    <col min="10" max="10" width="10.3125" style="1" bestFit="1" customWidth="1"/>
    <col min="11" max="11" width="13.125" style="1" bestFit="1" customWidth="1"/>
    <col min="12" max="12" width="18.875" style="1" customWidth="1"/>
    <col min="13" max="13" width="7.6875" style="1" customWidth="1"/>
    <col min="14" max="14" width="8.6875" style="1" customWidth="1"/>
    <col min="15" max="15" width="18.4375" style="1" bestFit="1" customWidth="1"/>
    <col min="16" max="16" width="8.6875" style="1" customWidth="1"/>
    <col min="17" max="17" width="9" style="1"/>
    <col min="18" max="18" width="17.875" style="1" bestFit="1" customWidth="1"/>
    <col min="19" max="16384" width="9" style="1"/>
  </cols>
  <sheetData>
    <row r="1" spans="1:18" ht="20.100000000000001" customHeight="1">
      <c r="A1" s="27"/>
      <c r="B1" s="27"/>
      <c r="C1" s="27"/>
      <c r="D1" s="135" t="s">
        <v>13</v>
      </c>
      <c r="E1" s="137" t="s">
        <v>435</v>
      </c>
      <c r="F1" s="166"/>
      <c r="G1" s="170"/>
      <c r="H1" s="170"/>
      <c r="I1" s="131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8" ht="20.100000000000001" customHeight="1">
      <c r="A2" s="27"/>
      <c r="B2" s="27"/>
      <c r="C2" s="27"/>
      <c r="D2" s="135" t="s">
        <v>14</v>
      </c>
      <c r="E2" s="137" t="s">
        <v>17</v>
      </c>
      <c r="F2" s="166"/>
      <c r="G2" s="170"/>
      <c r="H2" s="170"/>
      <c r="I2" s="131"/>
      <c r="J2" s="1079"/>
      <c r="K2" s="1079"/>
      <c r="L2" s="999"/>
      <c r="M2" s="999"/>
      <c r="N2" s="999"/>
      <c r="O2" s="999"/>
      <c r="P2" s="999"/>
    </row>
    <row r="3" spans="1:18" ht="39.950000000000003" customHeight="1">
      <c r="A3" s="27"/>
      <c r="B3" s="27"/>
      <c r="C3" s="27"/>
      <c r="D3" s="135" t="s">
        <v>195</v>
      </c>
      <c r="E3" s="137" t="s">
        <v>443</v>
      </c>
      <c r="F3" s="166"/>
      <c r="G3" s="170"/>
      <c r="H3" s="170"/>
      <c r="I3" s="132"/>
      <c r="J3" s="1079" t="s">
        <v>498</v>
      </c>
      <c r="K3" s="1079"/>
      <c r="L3" s="999" t="s">
        <v>442</v>
      </c>
      <c r="M3" s="999"/>
      <c r="N3" s="999"/>
      <c r="O3" s="999"/>
      <c r="P3" s="999"/>
    </row>
    <row r="4" spans="1:18" ht="24.95" customHeight="1">
      <c r="A4" s="27"/>
      <c r="B4" s="27"/>
      <c r="C4" s="27"/>
      <c r="D4" s="135" t="s">
        <v>437</v>
      </c>
      <c r="E4" s="1125" t="str">
        <f>'خلاصه مالي صورت وضعیت'!E4</f>
        <v>موقت 16</v>
      </c>
      <c r="F4" s="1125"/>
      <c r="G4" s="1125"/>
      <c r="H4" s="1125"/>
      <c r="I4" s="154"/>
      <c r="J4" s="1079" t="s">
        <v>440</v>
      </c>
      <c r="K4" s="1079"/>
      <c r="L4" s="1113">
        <f>'خلاصه مالي صورت وضعیت'!G4:G5</f>
        <v>1197477151532</v>
      </c>
      <c r="M4" s="1113"/>
      <c r="N4" s="168"/>
      <c r="O4" s="168"/>
      <c r="P4" s="168"/>
    </row>
    <row r="5" spans="1:18" ht="24.95" customHeight="1">
      <c r="A5" s="155"/>
      <c r="B5" s="155"/>
      <c r="C5" s="155"/>
      <c r="D5" s="141" t="s">
        <v>438</v>
      </c>
      <c r="E5" s="1124" t="str">
        <f>'خلاصه مالي صورت وضعیت'!E5</f>
        <v>1403/06/10</v>
      </c>
      <c r="F5" s="1124"/>
      <c r="G5" s="1124"/>
      <c r="H5" s="1124"/>
      <c r="I5" s="157"/>
      <c r="J5" s="1080"/>
      <c r="K5" s="1080"/>
      <c r="L5" s="1114"/>
      <c r="M5" s="1114"/>
      <c r="N5" s="169"/>
      <c r="O5" s="169"/>
      <c r="P5" s="169"/>
    </row>
    <row r="6" spans="1:18" ht="18" customHeight="1">
      <c r="A6" s="1081" t="s">
        <v>0</v>
      </c>
      <c r="B6" s="1082" t="s">
        <v>1</v>
      </c>
      <c r="C6" s="1084" t="s">
        <v>18</v>
      </c>
      <c r="D6" s="1084" t="s">
        <v>2</v>
      </c>
      <c r="E6" s="1084" t="s">
        <v>19</v>
      </c>
      <c r="F6" s="1084" t="s">
        <v>205</v>
      </c>
      <c r="G6" s="1089" t="s">
        <v>3</v>
      </c>
      <c r="H6" s="1090"/>
      <c r="I6" s="1091"/>
      <c r="J6" s="1092" t="s">
        <v>464</v>
      </c>
      <c r="K6" s="1093"/>
      <c r="L6" s="1094"/>
      <c r="M6" s="1086" t="s">
        <v>5</v>
      </c>
      <c r="N6" s="1087"/>
      <c r="O6" s="1088"/>
      <c r="P6" s="1108" t="s">
        <v>193</v>
      </c>
    </row>
    <row r="7" spans="1:18" ht="99.95" customHeight="1">
      <c r="A7" s="1008"/>
      <c r="B7" s="1083"/>
      <c r="C7" s="1085"/>
      <c r="D7" s="1085"/>
      <c r="E7" s="1085"/>
      <c r="F7" s="1085"/>
      <c r="G7" s="150" t="s">
        <v>203</v>
      </c>
      <c r="H7" s="150" t="s">
        <v>33</v>
      </c>
      <c r="I7" s="150" t="s">
        <v>34</v>
      </c>
      <c r="J7" s="151" t="s">
        <v>204</v>
      </c>
      <c r="K7" s="151" t="s">
        <v>33</v>
      </c>
      <c r="L7" s="151" t="s">
        <v>34</v>
      </c>
      <c r="M7" s="152" t="s">
        <v>204</v>
      </c>
      <c r="N7" s="152" t="s">
        <v>33</v>
      </c>
      <c r="O7" s="152" t="s">
        <v>34</v>
      </c>
      <c r="P7" s="1109"/>
    </row>
    <row r="8" spans="1:18" s="142" customFormat="1" ht="22.5">
      <c r="A8" s="18">
        <v>1</v>
      </c>
      <c r="B8" s="146" t="s">
        <v>75</v>
      </c>
      <c r="C8" s="299" t="s">
        <v>68</v>
      </c>
      <c r="D8" s="280">
        <f t="shared" ref="D8:D18" si="0">E8*$L$4</f>
        <v>27541974485</v>
      </c>
      <c r="E8" s="281">
        <f>SUM(E9:E18)</f>
        <v>2.2999999999802918E-2</v>
      </c>
      <c r="F8" s="282"/>
      <c r="G8" s="322"/>
      <c r="H8" s="279">
        <f>SUM(H9:H18)</f>
        <v>2.2999999999802918E-2</v>
      </c>
      <c r="I8" s="325">
        <f>SUM(I9:I18)</f>
        <v>27541974484.999992</v>
      </c>
      <c r="J8" s="417">
        <f>L8/D8</f>
        <v>0.38299999999999984</v>
      </c>
      <c r="K8" s="418">
        <f>SUM(K9:K18)</f>
        <v>8.8089999999245144E-3</v>
      </c>
      <c r="L8" s="419">
        <f>SUM(L9:L18)</f>
        <v>10548576227.754995</v>
      </c>
      <c r="M8" s="269"/>
      <c r="N8" s="269"/>
      <c r="O8" s="270"/>
      <c r="P8" s="271"/>
      <c r="R8" s="188"/>
    </row>
    <row r="9" spans="1:18" s="160" customFormat="1" ht="42.75">
      <c r="A9" s="18">
        <v>2</v>
      </c>
      <c r="B9" s="123" t="s">
        <v>76</v>
      </c>
      <c r="C9" s="300" t="s">
        <v>469</v>
      </c>
      <c r="D9" s="283">
        <f t="shared" si="0"/>
        <v>1377098724.2499998</v>
      </c>
      <c r="E9" s="284">
        <f>CBS!D39</f>
        <v>1.1499999999901457E-3</v>
      </c>
      <c r="F9" s="285"/>
      <c r="G9" s="393">
        <v>1</v>
      </c>
      <c r="H9" s="286">
        <f t="shared" ref="H9:H18" si="1">G9*E9</f>
        <v>1.1499999999901457E-3</v>
      </c>
      <c r="I9" s="313">
        <f t="shared" ref="I9:I18" si="2">H9*$L$4</f>
        <v>1377098724.2499998</v>
      </c>
      <c r="J9" s="493">
        <v>0.38300000000000001</v>
      </c>
      <c r="K9" s="420">
        <f>J9*E9</f>
        <v>4.4044999999622578E-4</v>
      </c>
      <c r="L9" s="421">
        <f>$L$4*K9</f>
        <v>527428811.38774985</v>
      </c>
      <c r="M9" s="1115" t="s">
        <v>885</v>
      </c>
      <c r="N9" s="1116"/>
      <c r="O9" s="1117"/>
      <c r="P9" s="277"/>
      <c r="R9" s="411"/>
    </row>
    <row r="10" spans="1:18" s="160" customFormat="1" ht="21.4">
      <c r="A10" s="18">
        <v>3</v>
      </c>
      <c r="B10" s="123" t="s">
        <v>77</v>
      </c>
      <c r="C10" s="300" t="s">
        <v>69</v>
      </c>
      <c r="D10" s="283">
        <f t="shared" si="0"/>
        <v>8262592345.4999981</v>
      </c>
      <c r="E10" s="284">
        <f>CBS!D40</f>
        <v>6.8999999999408744E-3</v>
      </c>
      <c r="F10" s="285"/>
      <c r="G10" s="393">
        <v>1</v>
      </c>
      <c r="H10" s="286">
        <f t="shared" si="1"/>
        <v>6.8999999999408744E-3</v>
      </c>
      <c r="I10" s="313">
        <f t="shared" si="2"/>
        <v>8262592345.4999981</v>
      </c>
      <c r="J10" s="493">
        <f>J9</f>
        <v>0.38300000000000001</v>
      </c>
      <c r="K10" s="420">
        <f t="shared" ref="K10:K18" si="3">J10*E10</f>
        <v>2.6426999999773549E-3</v>
      </c>
      <c r="L10" s="421">
        <f t="shared" ref="L10:L18" si="4">$L$4*K10</f>
        <v>3164572868.3264995</v>
      </c>
      <c r="M10" s="1118"/>
      <c r="N10" s="1119"/>
      <c r="O10" s="1120"/>
      <c r="P10" s="277"/>
      <c r="R10" s="411"/>
    </row>
    <row r="11" spans="1:18" s="160" customFormat="1" ht="21.4">
      <c r="A11" s="18">
        <v>4</v>
      </c>
      <c r="B11" s="123" t="s">
        <v>78</v>
      </c>
      <c r="C11" s="300" t="s">
        <v>70</v>
      </c>
      <c r="D11" s="283">
        <f t="shared" si="0"/>
        <v>6885493621.2499981</v>
      </c>
      <c r="E11" s="284">
        <f>CBS!D41</f>
        <v>5.7499999999507286E-3</v>
      </c>
      <c r="F11" s="285"/>
      <c r="G11" s="393">
        <v>1</v>
      </c>
      <c r="H11" s="286">
        <f t="shared" si="1"/>
        <v>5.7499999999507286E-3</v>
      </c>
      <c r="I11" s="313">
        <f t="shared" si="2"/>
        <v>6885493621.2499981</v>
      </c>
      <c r="J11" s="493">
        <f t="shared" ref="J11:J18" si="5">J10</f>
        <v>0.38300000000000001</v>
      </c>
      <c r="K11" s="420">
        <f t="shared" si="3"/>
        <v>2.202249999981129E-3</v>
      </c>
      <c r="L11" s="421">
        <f t="shared" si="4"/>
        <v>2637144056.9387493</v>
      </c>
      <c r="M11" s="1118"/>
      <c r="N11" s="1119"/>
      <c r="O11" s="1120"/>
      <c r="P11" s="277"/>
      <c r="R11" s="411"/>
    </row>
    <row r="12" spans="1:18" s="160" customFormat="1" ht="21.4">
      <c r="A12" s="18">
        <v>5</v>
      </c>
      <c r="B12" s="123" t="s">
        <v>79</v>
      </c>
      <c r="C12" s="300" t="s">
        <v>71</v>
      </c>
      <c r="D12" s="283">
        <f t="shared" si="0"/>
        <v>2754197448.4999995</v>
      </c>
      <c r="E12" s="284">
        <f>CBS!D42</f>
        <v>2.2999999999802913E-3</v>
      </c>
      <c r="F12" s="285"/>
      <c r="G12" s="393">
        <v>1</v>
      </c>
      <c r="H12" s="286">
        <f t="shared" si="1"/>
        <v>2.2999999999802913E-3</v>
      </c>
      <c r="I12" s="313">
        <f t="shared" si="2"/>
        <v>2754197448.4999995</v>
      </c>
      <c r="J12" s="493">
        <f t="shared" si="5"/>
        <v>0.38300000000000001</v>
      </c>
      <c r="K12" s="420">
        <f t="shared" si="3"/>
        <v>8.8089999999245157E-4</v>
      </c>
      <c r="L12" s="421">
        <f t="shared" si="4"/>
        <v>1054857622.7754997</v>
      </c>
      <c r="M12" s="1118"/>
      <c r="N12" s="1119"/>
      <c r="O12" s="1120"/>
      <c r="P12" s="277"/>
      <c r="R12" s="411"/>
    </row>
    <row r="13" spans="1:18" s="160" customFormat="1" ht="21.4">
      <c r="A13" s="18">
        <v>6</v>
      </c>
      <c r="B13" s="123" t="s">
        <v>80</v>
      </c>
      <c r="C13" s="300" t="s">
        <v>72</v>
      </c>
      <c r="D13" s="283">
        <f t="shared" si="0"/>
        <v>2754197448.4999995</v>
      </c>
      <c r="E13" s="284">
        <f>CBS!D43</f>
        <v>2.2999999999802913E-3</v>
      </c>
      <c r="F13" s="285"/>
      <c r="G13" s="393">
        <v>1</v>
      </c>
      <c r="H13" s="286">
        <f t="shared" si="1"/>
        <v>2.2999999999802913E-3</v>
      </c>
      <c r="I13" s="313">
        <f t="shared" si="2"/>
        <v>2754197448.4999995</v>
      </c>
      <c r="J13" s="493">
        <f t="shared" si="5"/>
        <v>0.38300000000000001</v>
      </c>
      <c r="K13" s="420">
        <f t="shared" si="3"/>
        <v>8.8089999999245157E-4</v>
      </c>
      <c r="L13" s="421">
        <f t="shared" si="4"/>
        <v>1054857622.7754997</v>
      </c>
      <c r="M13" s="1118"/>
      <c r="N13" s="1119"/>
      <c r="O13" s="1120"/>
      <c r="P13" s="277"/>
      <c r="R13" s="411"/>
    </row>
    <row r="14" spans="1:18" s="160" customFormat="1" ht="42.75">
      <c r="A14" s="18">
        <v>7</v>
      </c>
      <c r="B14" s="123" t="s">
        <v>81</v>
      </c>
      <c r="C14" s="300" t="s">
        <v>434</v>
      </c>
      <c r="D14" s="283">
        <f t="shared" si="0"/>
        <v>4131296172.749999</v>
      </c>
      <c r="E14" s="284">
        <f>CBS!D44</f>
        <v>3.4499999999704372E-3</v>
      </c>
      <c r="F14" s="285"/>
      <c r="G14" s="393">
        <v>1</v>
      </c>
      <c r="H14" s="286">
        <f t="shared" si="1"/>
        <v>3.4499999999704372E-3</v>
      </c>
      <c r="I14" s="313">
        <f t="shared" si="2"/>
        <v>4131296172.749999</v>
      </c>
      <c r="J14" s="493">
        <f t="shared" si="5"/>
        <v>0.38300000000000001</v>
      </c>
      <c r="K14" s="420">
        <f t="shared" si="3"/>
        <v>1.3213499999886775E-3</v>
      </c>
      <c r="L14" s="421">
        <f t="shared" si="4"/>
        <v>1582286434.1632497</v>
      </c>
      <c r="M14" s="1118"/>
      <c r="N14" s="1119"/>
      <c r="O14" s="1120"/>
      <c r="P14" s="277"/>
      <c r="R14" s="411"/>
    </row>
    <row r="15" spans="1:18" s="160" customFormat="1" ht="42.75">
      <c r="A15" s="18">
        <v>8</v>
      </c>
      <c r="B15" s="123" t="s">
        <v>82</v>
      </c>
      <c r="C15" s="300" t="s">
        <v>731</v>
      </c>
      <c r="D15" s="283">
        <f t="shared" si="0"/>
        <v>275419744.84999996</v>
      </c>
      <c r="E15" s="284">
        <f>CBS!D45</f>
        <v>2.2999999999802914E-4</v>
      </c>
      <c r="F15" s="285"/>
      <c r="G15" s="393">
        <v>1</v>
      </c>
      <c r="H15" s="286">
        <f t="shared" si="1"/>
        <v>2.2999999999802914E-4</v>
      </c>
      <c r="I15" s="313">
        <f t="shared" si="2"/>
        <v>275419744.84999996</v>
      </c>
      <c r="J15" s="493">
        <f t="shared" si="5"/>
        <v>0.38300000000000001</v>
      </c>
      <c r="K15" s="420">
        <f t="shared" si="3"/>
        <v>8.808999999924517E-5</v>
      </c>
      <c r="L15" s="421">
        <f t="shared" si="4"/>
        <v>105485762.27754998</v>
      </c>
      <c r="M15" s="1118"/>
      <c r="N15" s="1119"/>
      <c r="O15" s="1120"/>
      <c r="P15" s="277"/>
    </row>
    <row r="16" spans="1:18" s="160" customFormat="1" ht="42.75">
      <c r="A16" s="18">
        <v>9</v>
      </c>
      <c r="B16" s="123" t="s">
        <v>83</v>
      </c>
      <c r="C16" s="300" t="s">
        <v>433</v>
      </c>
      <c r="D16" s="283">
        <f t="shared" si="0"/>
        <v>550839489.69999993</v>
      </c>
      <c r="E16" s="284">
        <f>CBS!D46</f>
        <v>4.5999999999605829E-4</v>
      </c>
      <c r="F16" s="285"/>
      <c r="G16" s="393">
        <v>1</v>
      </c>
      <c r="H16" s="286">
        <f t="shared" si="1"/>
        <v>4.5999999999605829E-4</v>
      </c>
      <c r="I16" s="313">
        <f t="shared" si="2"/>
        <v>550839489.69999993</v>
      </c>
      <c r="J16" s="493">
        <f t="shared" si="5"/>
        <v>0.38300000000000001</v>
      </c>
      <c r="K16" s="420">
        <f t="shared" si="3"/>
        <v>1.7617999999849034E-4</v>
      </c>
      <c r="L16" s="421">
        <f t="shared" si="4"/>
        <v>210971524.55509996</v>
      </c>
      <c r="M16" s="1118"/>
      <c r="N16" s="1119"/>
      <c r="O16" s="1120"/>
      <c r="P16" s="277"/>
    </row>
    <row r="17" spans="1:16" s="160" customFormat="1" ht="21.4">
      <c r="A17" s="18">
        <v>10</v>
      </c>
      <c r="B17" s="123" t="s">
        <v>84</v>
      </c>
      <c r="C17" s="300" t="s">
        <v>73</v>
      </c>
      <c r="D17" s="283">
        <f t="shared" si="0"/>
        <v>275419744.84999996</v>
      </c>
      <c r="E17" s="284">
        <f>CBS!D47</f>
        <v>2.2999999999802914E-4</v>
      </c>
      <c r="F17" s="285"/>
      <c r="G17" s="393">
        <v>1</v>
      </c>
      <c r="H17" s="286">
        <f t="shared" si="1"/>
        <v>2.2999999999802914E-4</v>
      </c>
      <c r="I17" s="313">
        <f t="shared" si="2"/>
        <v>275419744.84999996</v>
      </c>
      <c r="J17" s="493">
        <f t="shared" si="5"/>
        <v>0.38300000000000001</v>
      </c>
      <c r="K17" s="420">
        <f t="shared" si="3"/>
        <v>8.808999999924517E-5</v>
      </c>
      <c r="L17" s="421">
        <f t="shared" si="4"/>
        <v>105485762.27754998</v>
      </c>
      <c r="M17" s="1118"/>
      <c r="N17" s="1119"/>
      <c r="O17" s="1120"/>
      <c r="P17" s="277"/>
    </row>
    <row r="18" spans="1:16" s="160" customFormat="1" ht="42.75">
      <c r="A18" s="18">
        <v>11</v>
      </c>
      <c r="B18" s="123" t="s">
        <v>85</v>
      </c>
      <c r="C18" s="300" t="s">
        <v>74</v>
      </c>
      <c r="D18" s="283">
        <f t="shared" si="0"/>
        <v>275419744.84999996</v>
      </c>
      <c r="E18" s="284">
        <f>CBS!D48</f>
        <v>2.2999999999802914E-4</v>
      </c>
      <c r="F18" s="285"/>
      <c r="G18" s="393">
        <v>1</v>
      </c>
      <c r="H18" s="286">
        <f t="shared" si="1"/>
        <v>2.2999999999802914E-4</v>
      </c>
      <c r="I18" s="313">
        <f t="shared" si="2"/>
        <v>275419744.84999996</v>
      </c>
      <c r="J18" s="493">
        <f t="shared" si="5"/>
        <v>0.38300000000000001</v>
      </c>
      <c r="K18" s="420">
        <f t="shared" si="3"/>
        <v>8.808999999924517E-5</v>
      </c>
      <c r="L18" s="421">
        <f t="shared" si="4"/>
        <v>105485762.27754998</v>
      </c>
      <c r="M18" s="1121"/>
      <c r="N18" s="1122"/>
      <c r="O18" s="1123"/>
      <c r="P18" s="277"/>
    </row>
  </sheetData>
  <mergeCells count="19">
    <mergeCell ref="M9:O18"/>
    <mergeCell ref="E5:H5"/>
    <mergeCell ref="J1:K2"/>
    <mergeCell ref="J3:K3"/>
    <mergeCell ref="J4:K5"/>
    <mergeCell ref="L1:P2"/>
    <mergeCell ref="L3:P3"/>
    <mergeCell ref="L4:M5"/>
    <mergeCell ref="E4:H4"/>
    <mergeCell ref="A6:A7"/>
    <mergeCell ref="B6:B7"/>
    <mergeCell ref="C6:C7"/>
    <mergeCell ref="D6:D7"/>
    <mergeCell ref="P6:P7"/>
    <mergeCell ref="E6:E7"/>
    <mergeCell ref="F6:F7"/>
    <mergeCell ref="G6:I6"/>
    <mergeCell ref="J6:L6"/>
    <mergeCell ref="M6:O6"/>
  </mergeCells>
  <printOptions horizontalCentered="1"/>
  <pageMargins left="0.39370078740157483" right="0.39370078740157483" top="0.59055118110236227" bottom="0.98425196850393704" header="0" footer="0.39370078740157483"/>
  <pageSetup paperSize="9" scale="55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51"/>
  <sheetViews>
    <sheetView rightToLeft="1" view="pageBreakPreview" topLeftCell="A10" zoomScale="55" zoomScaleNormal="55" zoomScaleSheetLayoutView="55" workbookViewId="0">
      <selection activeCell="I8" sqref="I8"/>
    </sheetView>
  </sheetViews>
  <sheetFormatPr defaultColWidth="9" defaultRowHeight="21.4"/>
  <cols>
    <col min="1" max="1" width="4.125" style="1" bestFit="1" customWidth="1"/>
    <col min="2" max="2" width="9.5625" style="1" bestFit="1" customWidth="1"/>
    <col min="3" max="3" width="41.3125" style="1" customWidth="1"/>
    <col min="4" max="4" width="18.4375" style="122" bestFit="1" customWidth="1"/>
    <col min="5" max="5" width="11.3125" style="1" customWidth="1"/>
    <col min="6" max="6" width="8.3125" style="1" customWidth="1"/>
    <col min="7" max="7" width="7.5625" style="119" customWidth="1"/>
    <col min="8" max="8" width="9.5625" style="1" customWidth="1"/>
    <col min="9" max="9" width="19.3125" style="122" bestFit="1" customWidth="1"/>
    <col min="10" max="10" width="9.125" style="1" bestFit="1" customWidth="1"/>
    <col min="11" max="11" width="9.125" style="1" customWidth="1"/>
    <col min="12" max="12" width="18.125" style="1" customWidth="1"/>
    <col min="13" max="14" width="8.3125" style="1" customWidth="1"/>
    <col min="15" max="15" width="16.4375" style="1" customWidth="1"/>
    <col min="16" max="16" width="8" style="1" customWidth="1"/>
    <col min="17" max="17" width="10.5625" style="1" bestFit="1" customWidth="1"/>
    <col min="18" max="16384" width="9" style="1"/>
  </cols>
  <sheetData>
    <row r="1" spans="1:16" ht="20.100000000000001" customHeight="1">
      <c r="A1" s="27"/>
      <c r="B1" s="27"/>
      <c r="C1" s="27"/>
      <c r="D1" s="135" t="s">
        <v>13</v>
      </c>
      <c r="E1" s="137" t="s">
        <v>435</v>
      </c>
      <c r="F1" s="172"/>
      <c r="G1" s="173"/>
      <c r="H1" s="173"/>
      <c r="I1" s="142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6" ht="20.100000000000001" customHeight="1">
      <c r="A2" s="27"/>
      <c r="B2" s="27"/>
      <c r="C2" s="27"/>
      <c r="D2" s="135" t="s">
        <v>14</v>
      </c>
      <c r="E2" s="137" t="s">
        <v>17</v>
      </c>
      <c r="F2" s="172"/>
      <c r="G2" s="173"/>
      <c r="H2" s="173"/>
      <c r="I2" s="142"/>
      <c r="J2" s="1079"/>
      <c r="K2" s="1079"/>
      <c r="L2" s="999"/>
      <c r="M2" s="999"/>
      <c r="N2" s="999"/>
      <c r="O2" s="999"/>
      <c r="P2" s="999"/>
    </row>
    <row r="3" spans="1:16" ht="39.950000000000003" customHeight="1">
      <c r="A3" s="27"/>
      <c r="B3" s="27"/>
      <c r="C3" s="27"/>
      <c r="D3" s="135" t="s">
        <v>195</v>
      </c>
      <c r="E3" s="137" t="s">
        <v>443</v>
      </c>
      <c r="F3" s="172"/>
      <c r="G3" s="173"/>
      <c r="H3" s="173"/>
      <c r="I3" s="161"/>
      <c r="J3" s="1079" t="s">
        <v>498</v>
      </c>
      <c r="K3" s="1079"/>
      <c r="L3" s="1126" t="s">
        <v>442</v>
      </c>
      <c r="M3" s="1126"/>
      <c r="N3" s="1126"/>
      <c r="O3" s="1126"/>
      <c r="P3" s="1126"/>
    </row>
    <row r="4" spans="1:16" ht="24.95" customHeight="1">
      <c r="A4" s="27"/>
      <c r="B4" s="27"/>
      <c r="C4" s="27"/>
      <c r="D4" s="135" t="s">
        <v>437</v>
      </c>
      <c r="E4" s="1106" t="s">
        <v>850</v>
      </c>
      <c r="F4" s="1106"/>
      <c r="G4" s="1106"/>
      <c r="H4" s="1106"/>
      <c r="I4" s="142"/>
      <c r="J4" s="1079" t="s">
        <v>440</v>
      </c>
      <c r="K4" s="1079"/>
      <c r="L4" s="1127">
        <f>'خلاصه مالي صورت وضعیت'!G4:G5</f>
        <v>1197477151532</v>
      </c>
      <c r="M4" s="1127"/>
      <c r="N4" s="1127"/>
      <c r="O4" s="168"/>
      <c r="P4" s="168"/>
    </row>
    <row r="5" spans="1:16" ht="24.95" customHeight="1">
      <c r="A5" s="155"/>
      <c r="B5" s="155"/>
      <c r="C5" s="155"/>
      <c r="D5" s="141" t="s">
        <v>438</v>
      </c>
      <c r="E5" s="1107" t="str">
        <f>'خلاصه مالي صورت وضعیت'!E5</f>
        <v>1403/06/10</v>
      </c>
      <c r="F5" s="1107"/>
      <c r="G5" s="1107"/>
      <c r="H5" s="1107"/>
      <c r="I5" s="157"/>
      <c r="J5" s="1080"/>
      <c r="K5" s="1080"/>
      <c r="L5" s="1128"/>
      <c r="M5" s="1128"/>
      <c r="N5" s="1128"/>
      <c r="O5" s="169"/>
      <c r="P5" s="169"/>
    </row>
    <row r="6" spans="1:16" s="121" customFormat="1" ht="19.5" customHeight="1">
      <c r="A6" s="1009" t="s">
        <v>0</v>
      </c>
      <c r="B6" s="1073" t="s">
        <v>1</v>
      </c>
      <c r="C6" s="1074" t="s">
        <v>470</v>
      </c>
      <c r="D6" s="1074" t="s">
        <v>2</v>
      </c>
      <c r="E6" s="1074" t="s">
        <v>497</v>
      </c>
      <c r="F6" s="1074" t="s">
        <v>205</v>
      </c>
      <c r="G6" s="1075" t="s">
        <v>3</v>
      </c>
      <c r="H6" s="1075"/>
      <c r="I6" s="1075"/>
      <c r="J6" s="1076" t="s">
        <v>464</v>
      </c>
      <c r="K6" s="1076"/>
      <c r="L6" s="1076"/>
      <c r="M6" s="1071" t="s">
        <v>5</v>
      </c>
      <c r="N6" s="1071"/>
      <c r="O6" s="1071"/>
      <c r="P6" s="1072" t="s">
        <v>193</v>
      </c>
    </row>
    <row r="7" spans="1:16" s="121" customFormat="1" ht="99.95" customHeight="1">
      <c r="A7" s="1009"/>
      <c r="B7" s="1073"/>
      <c r="C7" s="1074"/>
      <c r="D7" s="1074"/>
      <c r="E7" s="1074"/>
      <c r="F7" s="1074"/>
      <c r="G7" s="150" t="s">
        <v>203</v>
      </c>
      <c r="H7" s="150" t="s">
        <v>33</v>
      </c>
      <c r="I7" s="150" t="s">
        <v>34</v>
      </c>
      <c r="J7" s="151" t="s">
        <v>204</v>
      </c>
      <c r="K7" s="151" t="s">
        <v>33</v>
      </c>
      <c r="L7" s="151" t="s">
        <v>34</v>
      </c>
      <c r="M7" s="152" t="s">
        <v>204</v>
      </c>
      <c r="N7" s="152" t="s">
        <v>33</v>
      </c>
      <c r="O7" s="152" t="s">
        <v>34</v>
      </c>
      <c r="P7" s="1072"/>
    </row>
    <row r="8" spans="1:16" s="142" customFormat="1" ht="30" customHeight="1">
      <c r="A8" s="18">
        <v>1</v>
      </c>
      <c r="B8" s="146" t="s">
        <v>87</v>
      </c>
      <c r="C8" s="299" t="s">
        <v>86</v>
      </c>
      <c r="D8" s="280">
        <f t="shared" ref="D8:D51" si="0">E8*$L$4</f>
        <v>20955850152.000004</v>
      </c>
      <c r="E8" s="410">
        <f>SUM(E9:E15,E21,E27:E33,E39,E45:E51)</f>
        <v>1.750000000015867E-2</v>
      </c>
      <c r="F8" s="282"/>
      <c r="G8" s="322"/>
      <c r="H8" s="279">
        <f>SUM(H9:H15,H21,H27:H33,H39,H45:H51)</f>
        <v>1.750000000015867E-2</v>
      </c>
      <c r="I8" s="325">
        <f>SUM(I9:I15,I21,I27:I33,I39,I45:I51)</f>
        <v>20955850152.000004</v>
      </c>
      <c r="J8" s="417">
        <f>L8/D8</f>
        <v>1</v>
      </c>
      <c r="K8" s="417">
        <f>J8*E8</f>
        <v>1.750000000015867E-2</v>
      </c>
      <c r="L8" s="419">
        <f>L9+L10+L11+L12+L13+L14+L15+L21+L28+L29+L30+L31+L32+L33+L39+L45+L46+L47+L48+L49+L50+L51+L27</f>
        <v>20955850152.000004</v>
      </c>
      <c r="M8" s="275"/>
      <c r="N8" s="275"/>
      <c r="O8" s="276"/>
      <c r="P8" s="277"/>
    </row>
    <row r="9" spans="1:16" s="160" customFormat="1" ht="30" customHeight="1">
      <c r="A9" s="18">
        <v>2</v>
      </c>
      <c r="B9" s="123" t="s">
        <v>88</v>
      </c>
      <c r="C9" s="300" t="s">
        <v>471</v>
      </c>
      <c r="D9" s="283">
        <f t="shared" si="0"/>
        <v>0</v>
      </c>
      <c r="E9" s="284">
        <f>CBS!D51</f>
        <v>0</v>
      </c>
      <c r="F9" s="285"/>
      <c r="G9" s="323">
        <v>1</v>
      </c>
      <c r="H9" s="286">
        <f>G9*E9</f>
        <v>0</v>
      </c>
      <c r="I9" s="313">
        <f>H9*$L$4</f>
        <v>0</v>
      </c>
      <c r="J9" s="496"/>
      <c r="K9" s="416">
        <f>J9*E9</f>
        <v>0</v>
      </c>
      <c r="L9" s="421">
        <f t="shared" ref="L9:L13" si="1">J9*D9</f>
        <v>0</v>
      </c>
      <c r="M9" s="275"/>
      <c r="N9" s="275"/>
      <c r="O9" s="276"/>
      <c r="P9" s="277"/>
    </row>
    <row r="10" spans="1:16" s="160" customFormat="1" ht="45" customHeight="1">
      <c r="A10" s="18">
        <v>3</v>
      </c>
      <c r="B10" s="123" t="s">
        <v>89</v>
      </c>
      <c r="C10" s="300" t="s">
        <v>486</v>
      </c>
      <c r="D10" s="283">
        <f t="shared" si="0"/>
        <v>4191170030.4000001</v>
      </c>
      <c r="E10" s="284">
        <f>CBS!D52</f>
        <v>3.5000000000317334E-3</v>
      </c>
      <c r="F10" s="285"/>
      <c r="G10" s="323">
        <v>1</v>
      </c>
      <c r="H10" s="286">
        <f t="shared" ref="H10:H14" si="2">G10*E10</f>
        <v>3.5000000000317334E-3</v>
      </c>
      <c r="I10" s="313">
        <f t="shared" ref="I10:I51" si="3">H10*$L$4</f>
        <v>4191170030.4000001</v>
      </c>
      <c r="J10" s="495">
        <v>1</v>
      </c>
      <c r="K10" s="416">
        <f t="shared" ref="K10:K51" si="4">J10*E10</f>
        <v>3.5000000000317334E-3</v>
      </c>
      <c r="L10" s="421">
        <f t="shared" si="1"/>
        <v>4191170030.4000001</v>
      </c>
      <c r="M10" s="275"/>
      <c r="N10" s="275"/>
      <c r="O10" s="276"/>
      <c r="P10" s="277"/>
    </row>
    <row r="11" spans="1:16" s="160" customFormat="1" ht="30" customHeight="1">
      <c r="A11" s="18">
        <v>4</v>
      </c>
      <c r="B11" s="123" t="s">
        <v>90</v>
      </c>
      <c r="C11" s="300" t="s">
        <v>472</v>
      </c>
      <c r="D11" s="283">
        <f t="shared" si="0"/>
        <v>838234006.08000016</v>
      </c>
      <c r="E11" s="284">
        <f>CBS!D53</f>
        <v>7.000000000063468E-4</v>
      </c>
      <c r="F11" s="285"/>
      <c r="G11" s="323">
        <v>1</v>
      </c>
      <c r="H11" s="286">
        <f t="shared" si="2"/>
        <v>7.000000000063468E-4</v>
      </c>
      <c r="I11" s="313">
        <f t="shared" si="3"/>
        <v>838234006.08000016</v>
      </c>
      <c r="J11" s="495">
        <v>1</v>
      </c>
      <c r="K11" s="416">
        <f t="shared" si="4"/>
        <v>7.000000000063468E-4</v>
      </c>
      <c r="L11" s="421">
        <f t="shared" si="1"/>
        <v>838234006.08000016</v>
      </c>
      <c r="M11" s="275"/>
      <c r="N11" s="275"/>
      <c r="O11" s="276"/>
      <c r="P11" s="277"/>
    </row>
    <row r="12" spans="1:16" s="160" customFormat="1" ht="60" customHeight="1">
      <c r="A12" s="18">
        <v>5</v>
      </c>
      <c r="B12" s="123" t="s">
        <v>91</v>
      </c>
      <c r="C12" s="300" t="s">
        <v>432</v>
      </c>
      <c r="D12" s="283">
        <f t="shared" si="0"/>
        <v>1197477151.5428572</v>
      </c>
      <c r="E12" s="284">
        <f>CBS!D54</f>
        <v>1.0000000000090668E-3</v>
      </c>
      <c r="F12" s="285"/>
      <c r="G12" s="323">
        <v>1</v>
      </c>
      <c r="H12" s="286">
        <f t="shared" si="2"/>
        <v>1.0000000000090668E-3</v>
      </c>
      <c r="I12" s="313">
        <f t="shared" si="3"/>
        <v>1197477151.5428572</v>
      </c>
      <c r="J12" s="495">
        <v>1</v>
      </c>
      <c r="K12" s="416">
        <f t="shared" si="4"/>
        <v>1.0000000000090668E-3</v>
      </c>
      <c r="L12" s="421">
        <f t="shared" si="1"/>
        <v>1197477151.5428572</v>
      </c>
      <c r="M12" s="275"/>
      <c r="N12" s="275"/>
      <c r="O12" s="276"/>
      <c r="P12" s="277"/>
    </row>
    <row r="13" spans="1:16" s="160" customFormat="1" ht="45" customHeight="1">
      <c r="A13" s="18">
        <v>6</v>
      </c>
      <c r="B13" s="123" t="s">
        <v>92</v>
      </c>
      <c r="C13" s="300" t="s">
        <v>473</v>
      </c>
      <c r="D13" s="283">
        <f t="shared" si="0"/>
        <v>419117003.04000008</v>
      </c>
      <c r="E13" s="284">
        <f>CBS!D55</f>
        <v>3.500000000031734E-4</v>
      </c>
      <c r="F13" s="285"/>
      <c r="G13" s="323">
        <v>1</v>
      </c>
      <c r="H13" s="286">
        <f t="shared" si="2"/>
        <v>3.500000000031734E-4</v>
      </c>
      <c r="I13" s="313">
        <f t="shared" si="3"/>
        <v>419117003.04000008</v>
      </c>
      <c r="J13" s="495">
        <v>1</v>
      </c>
      <c r="K13" s="416">
        <f t="shared" si="4"/>
        <v>3.500000000031734E-4</v>
      </c>
      <c r="L13" s="421">
        <f t="shared" si="1"/>
        <v>419117003.04000008</v>
      </c>
      <c r="M13" s="275"/>
      <c r="N13" s="275"/>
      <c r="O13" s="276"/>
      <c r="P13" s="277"/>
    </row>
    <row r="14" spans="1:16" s="160" customFormat="1" ht="45" customHeight="1">
      <c r="A14" s="18">
        <v>7</v>
      </c>
      <c r="B14" s="123" t="s">
        <v>93</v>
      </c>
      <c r="C14" s="300" t="s">
        <v>474</v>
      </c>
      <c r="D14" s="283">
        <f t="shared" si="0"/>
        <v>419117003.04000008</v>
      </c>
      <c r="E14" s="284">
        <f>CBS!D56</f>
        <v>3.500000000031734E-4</v>
      </c>
      <c r="F14" s="285"/>
      <c r="G14" s="323">
        <v>1</v>
      </c>
      <c r="H14" s="286">
        <f t="shared" si="2"/>
        <v>3.500000000031734E-4</v>
      </c>
      <c r="I14" s="313">
        <f t="shared" si="3"/>
        <v>419117003.04000008</v>
      </c>
      <c r="J14" s="495">
        <v>1</v>
      </c>
      <c r="K14" s="416">
        <f t="shared" si="4"/>
        <v>3.500000000031734E-4</v>
      </c>
      <c r="L14" s="421">
        <f>J14*D14</f>
        <v>419117003.04000008</v>
      </c>
      <c r="M14" s="275"/>
      <c r="N14" s="275"/>
      <c r="O14" s="276"/>
      <c r="P14" s="277"/>
    </row>
    <row r="15" spans="1:16" s="160" customFormat="1" ht="27" customHeight="1">
      <c r="A15" s="18">
        <v>8</v>
      </c>
      <c r="B15" s="123" t="s">
        <v>94</v>
      </c>
      <c r="C15" s="300" t="s">
        <v>475</v>
      </c>
      <c r="D15" s="283">
        <f t="shared" si="0"/>
        <v>1197477151.5428572</v>
      </c>
      <c r="E15" s="284">
        <f>SUM(E16:E20)</f>
        <v>1.0000000000090668E-3</v>
      </c>
      <c r="F15" s="285"/>
      <c r="G15" s="323"/>
      <c r="H15" s="286">
        <f>SUM(H16:H20)</f>
        <v>1.0000000000090668E-3</v>
      </c>
      <c r="I15" s="313">
        <f>SUM(I16:I20)</f>
        <v>1197477151.5428572</v>
      </c>
      <c r="J15" s="495">
        <v>1</v>
      </c>
      <c r="K15" s="416">
        <f t="shared" si="4"/>
        <v>1.0000000000090668E-3</v>
      </c>
      <c r="L15" s="421">
        <f>J15*D15</f>
        <v>1197477151.5428572</v>
      </c>
      <c r="M15" s="275"/>
      <c r="N15" s="275"/>
      <c r="O15" s="276"/>
      <c r="P15" s="277"/>
    </row>
    <row r="16" spans="1:16" s="312" customFormat="1" ht="27" customHeight="1">
      <c r="A16" s="18">
        <v>9</v>
      </c>
      <c r="B16" s="301" t="s">
        <v>100</v>
      </c>
      <c r="C16" s="302" t="s">
        <v>476</v>
      </c>
      <c r="D16" s="303">
        <f t="shared" si="0"/>
        <v>239495430.30857146</v>
      </c>
      <c r="E16" s="304">
        <f>CBS!D58</f>
        <v>2.0000000000181336E-4</v>
      </c>
      <c r="F16" s="305"/>
      <c r="G16" s="323">
        <v>1</v>
      </c>
      <c r="H16" s="306">
        <f>G16*E16</f>
        <v>2.0000000000181336E-4</v>
      </c>
      <c r="I16" s="307">
        <f t="shared" si="3"/>
        <v>239495430.30857146</v>
      </c>
      <c r="J16" s="496"/>
      <c r="K16" s="416">
        <f t="shared" si="4"/>
        <v>0</v>
      </c>
      <c r="L16" s="421">
        <f t="shared" ref="L16:L20" si="5">J16*D16</f>
        <v>0</v>
      </c>
      <c r="M16" s="275"/>
      <c r="N16" s="275"/>
      <c r="O16" s="276"/>
      <c r="P16" s="277"/>
    </row>
    <row r="17" spans="1:16" s="312" customFormat="1" ht="27" customHeight="1">
      <c r="A17" s="18">
        <v>10</v>
      </c>
      <c r="B17" s="301" t="s">
        <v>101</v>
      </c>
      <c r="C17" s="302" t="s">
        <v>447</v>
      </c>
      <c r="D17" s="303">
        <f t="shared" si="0"/>
        <v>239495430.30857146</v>
      </c>
      <c r="E17" s="304">
        <f>CBS!D59</f>
        <v>2.0000000000181336E-4</v>
      </c>
      <c r="F17" s="305"/>
      <c r="G17" s="323">
        <v>1</v>
      </c>
      <c r="H17" s="306">
        <f>G17*E17</f>
        <v>2.0000000000181336E-4</v>
      </c>
      <c r="I17" s="307">
        <f t="shared" si="3"/>
        <v>239495430.30857146</v>
      </c>
      <c r="J17" s="496"/>
      <c r="K17" s="416">
        <f t="shared" si="4"/>
        <v>0</v>
      </c>
      <c r="L17" s="421">
        <f t="shared" si="5"/>
        <v>0</v>
      </c>
      <c r="M17" s="275"/>
      <c r="N17" s="275"/>
      <c r="O17" s="276"/>
      <c r="P17" s="277"/>
    </row>
    <row r="18" spans="1:16" s="312" customFormat="1" ht="27" customHeight="1">
      <c r="A18" s="18">
        <v>11</v>
      </c>
      <c r="B18" s="301" t="s">
        <v>102</v>
      </c>
      <c r="C18" s="302" t="s">
        <v>477</v>
      </c>
      <c r="D18" s="303">
        <f t="shared" si="0"/>
        <v>239495430.30857146</v>
      </c>
      <c r="E18" s="304">
        <f>CBS!D60</f>
        <v>2.0000000000181336E-4</v>
      </c>
      <c r="F18" s="305"/>
      <c r="G18" s="323">
        <v>1</v>
      </c>
      <c r="H18" s="306">
        <f>G18*E18</f>
        <v>2.0000000000181336E-4</v>
      </c>
      <c r="I18" s="307">
        <f t="shared" si="3"/>
        <v>239495430.30857146</v>
      </c>
      <c r="J18" s="496"/>
      <c r="K18" s="416">
        <f t="shared" si="4"/>
        <v>0</v>
      </c>
      <c r="L18" s="421">
        <f t="shared" si="5"/>
        <v>0</v>
      </c>
      <c r="M18" s="275"/>
      <c r="N18" s="275"/>
      <c r="O18" s="276"/>
      <c r="P18" s="277"/>
    </row>
    <row r="19" spans="1:16" s="312" customFormat="1" ht="27" customHeight="1">
      <c r="A19" s="18">
        <v>12</v>
      </c>
      <c r="B19" s="301" t="s">
        <v>103</v>
      </c>
      <c r="C19" s="302" t="s">
        <v>478</v>
      </c>
      <c r="D19" s="303">
        <f t="shared" si="0"/>
        <v>239495430.30857146</v>
      </c>
      <c r="E19" s="304">
        <f>CBS!D61</f>
        <v>2.0000000000181336E-4</v>
      </c>
      <c r="F19" s="305"/>
      <c r="G19" s="323">
        <v>1</v>
      </c>
      <c r="H19" s="306">
        <f>G19*E19</f>
        <v>2.0000000000181336E-4</v>
      </c>
      <c r="I19" s="307">
        <f t="shared" si="3"/>
        <v>239495430.30857146</v>
      </c>
      <c r="J19" s="496"/>
      <c r="K19" s="416">
        <f t="shared" si="4"/>
        <v>0</v>
      </c>
      <c r="L19" s="421">
        <f t="shared" si="5"/>
        <v>0</v>
      </c>
      <c r="M19" s="275"/>
      <c r="N19" s="275"/>
      <c r="O19" s="276"/>
      <c r="P19" s="277"/>
    </row>
    <row r="20" spans="1:16" s="312" customFormat="1" ht="27" customHeight="1">
      <c r="A20" s="18">
        <v>13</v>
      </c>
      <c r="B20" s="301" t="s">
        <v>104</v>
      </c>
      <c r="C20" s="302" t="s">
        <v>105</v>
      </c>
      <c r="D20" s="303">
        <f t="shared" si="0"/>
        <v>239495430.30857146</v>
      </c>
      <c r="E20" s="304">
        <f>CBS!D62</f>
        <v>2.0000000000181336E-4</v>
      </c>
      <c r="F20" s="305"/>
      <c r="G20" s="323">
        <v>1</v>
      </c>
      <c r="H20" s="306">
        <f>G20*E20</f>
        <v>2.0000000000181336E-4</v>
      </c>
      <c r="I20" s="307">
        <f t="shared" si="3"/>
        <v>239495430.30857146</v>
      </c>
      <c r="J20" s="496"/>
      <c r="K20" s="416">
        <f t="shared" si="4"/>
        <v>0</v>
      </c>
      <c r="L20" s="421">
        <f t="shared" si="5"/>
        <v>0</v>
      </c>
      <c r="M20" s="275"/>
      <c r="N20" s="275"/>
      <c r="O20" s="276"/>
      <c r="P20" s="277"/>
    </row>
    <row r="21" spans="1:16" s="160" customFormat="1" ht="27" customHeight="1">
      <c r="A21" s="18">
        <v>14</v>
      </c>
      <c r="B21" s="123" t="s">
        <v>95</v>
      </c>
      <c r="C21" s="300" t="s">
        <v>487</v>
      </c>
      <c r="D21" s="283">
        <f t="shared" si="0"/>
        <v>1197477151.5428572</v>
      </c>
      <c r="E21" s="284">
        <f>SUM(E22:E26)</f>
        <v>1.0000000000090668E-3</v>
      </c>
      <c r="F21" s="285"/>
      <c r="G21" s="323"/>
      <c r="H21" s="286">
        <f>SUM(H22:H26)</f>
        <v>1.0000000000090668E-3</v>
      </c>
      <c r="I21" s="313">
        <f>SUM(I22:I26)</f>
        <v>1197477151.5428572</v>
      </c>
      <c r="J21" s="495">
        <v>1</v>
      </c>
      <c r="K21" s="416"/>
      <c r="L21" s="421">
        <f>J21*D21</f>
        <v>1197477151.5428572</v>
      </c>
      <c r="M21" s="275"/>
      <c r="N21" s="275"/>
      <c r="O21" s="276"/>
      <c r="P21" s="277"/>
    </row>
    <row r="22" spans="1:16" s="312" customFormat="1" ht="27" customHeight="1">
      <c r="A22" s="18">
        <v>15</v>
      </c>
      <c r="B22" s="301" t="s">
        <v>106</v>
      </c>
      <c r="C22" s="302" t="s">
        <v>476</v>
      </c>
      <c r="D22" s="303">
        <f t="shared" si="0"/>
        <v>239495430.30857146</v>
      </c>
      <c r="E22" s="304">
        <f>CBS!D64</f>
        <v>2.0000000000181336E-4</v>
      </c>
      <c r="F22" s="305"/>
      <c r="G22" s="323">
        <v>1</v>
      </c>
      <c r="H22" s="306">
        <f t="shared" ref="H22:H32" si="6">G22*E22</f>
        <v>2.0000000000181336E-4</v>
      </c>
      <c r="I22" s="307">
        <f t="shared" si="3"/>
        <v>239495430.30857146</v>
      </c>
      <c r="J22" s="496"/>
      <c r="K22" s="416">
        <f t="shared" si="4"/>
        <v>0</v>
      </c>
      <c r="L22" s="421">
        <f t="shared" ref="L22:L38" si="7">J22*D22</f>
        <v>0</v>
      </c>
      <c r="M22" s="275"/>
      <c r="N22" s="275"/>
      <c r="O22" s="276"/>
      <c r="P22" s="277"/>
    </row>
    <row r="23" spans="1:16" s="312" customFormat="1" ht="27" customHeight="1">
      <c r="A23" s="18">
        <v>16</v>
      </c>
      <c r="B23" s="301" t="s">
        <v>107</v>
      </c>
      <c r="C23" s="302" t="s">
        <v>447</v>
      </c>
      <c r="D23" s="303">
        <f t="shared" si="0"/>
        <v>239495430.30857146</v>
      </c>
      <c r="E23" s="304">
        <f>CBS!D65</f>
        <v>2.0000000000181336E-4</v>
      </c>
      <c r="F23" s="305"/>
      <c r="G23" s="323">
        <v>1</v>
      </c>
      <c r="H23" s="306">
        <f t="shared" si="6"/>
        <v>2.0000000000181336E-4</v>
      </c>
      <c r="I23" s="307">
        <f t="shared" si="3"/>
        <v>239495430.30857146</v>
      </c>
      <c r="J23" s="496"/>
      <c r="K23" s="416">
        <f t="shared" si="4"/>
        <v>0</v>
      </c>
      <c r="L23" s="421">
        <f t="shared" si="7"/>
        <v>0</v>
      </c>
      <c r="M23" s="275"/>
      <c r="N23" s="275"/>
      <c r="O23" s="276"/>
      <c r="P23" s="277"/>
    </row>
    <row r="24" spans="1:16" s="312" customFormat="1" ht="29.25" customHeight="1">
      <c r="A24" s="18">
        <v>17</v>
      </c>
      <c r="B24" s="301" t="s">
        <v>108</v>
      </c>
      <c r="C24" s="302" t="s">
        <v>477</v>
      </c>
      <c r="D24" s="303">
        <f t="shared" si="0"/>
        <v>239495430.30857146</v>
      </c>
      <c r="E24" s="304">
        <f>CBS!D66</f>
        <v>2.0000000000181336E-4</v>
      </c>
      <c r="F24" s="305"/>
      <c r="G24" s="323">
        <v>1</v>
      </c>
      <c r="H24" s="306">
        <f t="shared" si="6"/>
        <v>2.0000000000181336E-4</v>
      </c>
      <c r="I24" s="307">
        <f t="shared" si="3"/>
        <v>239495430.30857146</v>
      </c>
      <c r="J24" s="496"/>
      <c r="K24" s="416">
        <f t="shared" si="4"/>
        <v>0</v>
      </c>
      <c r="L24" s="421">
        <f t="shared" si="7"/>
        <v>0</v>
      </c>
      <c r="M24" s="275"/>
      <c r="N24" s="275"/>
      <c r="O24" s="276"/>
      <c r="P24" s="277"/>
    </row>
    <row r="25" spans="1:16" s="312" customFormat="1" ht="32.25" customHeight="1">
      <c r="A25" s="18">
        <v>18</v>
      </c>
      <c r="B25" s="301" t="s">
        <v>109</v>
      </c>
      <c r="C25" s="302" t="s">
        <v>478</v>
      </c>
      <c r="D25" s="303">
        <f t="shared" si="0"/>
        <v>239495430.30857146</v>
      </c>
      <c r="E25" s="304">
        <f>CBS!D67</f>
        <v>2.0000000000181336E-4</v>
      </c>
      <c r="F25" s="305"/>
      <c r="G25" s="323">
        <v>1</v>
      </c>
      <c r="H25" s="306">
        <f t="shared" si="6"/>
        <v>2.0000000000181336E-4</v>
      </c>
      <c r="I25" s="307">
        <f t="shared" si="3"/>
        <v>239495430.30857146</v>
      </c>
      <c r="J25" s="496"/>
      <c r="K25" s="416">
        <f t="shared" si="4"/>
        <v>0</v>
      </c>
      <c r="L25" s="421">
        <f t="shared" si="7"/>
        <v>0</v>
      </c>
      <c r="M25" s="275"/>
      <c r="N25" s="275"/>
      <c r="O25" s="276"/>
      <c r="P25" s="277"/>
    </row>
    <row r="26" spans="1:16" s="312" customFormat="1" ht="31.5" customHeight="1">
      <c r="A26" s="18">
        <v>19</v>
      </c>
      <c r="B26" s="301" t="s">
        <v>110</v>
      </c>
      <c r="C26" s="302" t="s">
        <v>105</v>
      </c>
      <c r="D26" s="303">
        <f t="shared" si="0"/>
        <v>239495430.30857146</v>
      </c>
      <c r="E26" s="304">
        <f>CBS!D68</f>
        <v>2.0000000000181336E-4</v>
      </c>
      <c r="F26" s="305"/>
      <c r="G26" s="323">
        <v>1</v>
      </c>
      <c r="H26" s="306">
        <f t="shared" si="6"/>
        <v>2.0000000000181336E-4</v>
      </c>
      <c r="I26" s="307">
        <f t="shared" si="3"/>
        <v>239495430.30857146</v>
      </c>
      <c r="J26" s="496"/>
      <c r="K26" s="416">
        <f t="shared" si="4"/>
        <v>0</v>
      </c>
      <c r="L26" s="421">
        <f t="shared" si="7"/>
        <v>0</v>
      </c>
      <c r="M26" s="275"/>
      <c r="N26" s="275"/>
      <c r="O26" s="276"/>
      <c r="P26" s="277"/>
    </row>
    <row r="27" spans="1:16" s="160" customFormat="1" ht="39.950000000000003" customHeight="1">
      <c r="A27" s="18">
        <v>20</v>
      </c>
      <c r="B27" s="123" t="s">
        <v>96</v>
      </c>
      <c r="C27" s="300" t="s">
        <v>479</v>
      </c>
      <c r="D27" s="283">
        <f t="shared" si="0"/>
        <v>1197477151.5428572</v>
      </c>
      <c r="E27" s="284">
        <f>CBS!D69</f>
        <v>1.0000000000090668E-3</v>
      </c>
      <c r="F27" s="285"/>
      <c r="G27" s="323">
        <v>1</v>
      </c>
      <c r="H27" s="286">
        <f t="shared" si="6"/>
        <v>1.0000000000090668E-3</v>
      </c>
      <c r="I27" s="313">
        <f t="shared" si="3"/>
        <v>1197477151.5428572</v>
      </c>
      <c r="J27" s="495">
        <v>1</v>
      </c>
      <c r="K27" s="416">
        <f t="shared" si="4"/>
        <v>1.0000000000090668E-3</v>
      </c>
      <c r="L27" s="421">
        <f t="shared" si="7"/>
        <v>1197477151.5428572</v>
      </c>
      <c r="M27" s="275"/>
      <c r="N27" s="275"/>
      <c r="O27" s="276"/>
      <c r="P27" s="277"/>
    </row>
    <row r="28" spans="1:16" s="160" customFormat="1" ht="30" customHeight="1">
      <c r="A28" s="18">
        <v>21</v>
      </c>
      <c r="B28" s="123" t="s">
        <v>97</v>
      </c>
      <c r="C28" s="300" t="s">
        <v>480</v>
      </c>
      <c r="D28" s="283">
        <f t="shared" si="0"/>
        <v>598738575.77142859</v>
      </c>
      <c r="E28" s="284">
        <f>CBS!D70</f>
        <v>5.0000000000453338E-4</v>
      </c>
      <c r="F28" s="285"/>
      <c r="G28" s="323">
        <v>1</v>
      </c>
      <c r="H28" s="286">
        <f t="shared" si="6"/>
        <v>5.0000000000453338E-4</v>
      </c>
      <c r="I28" s="313">
        <f t="shared" si="3"/>
        <v>598738575.77142859</v>
      </c>
      <c r="J28" s="495">
        <v>1</v>
      </c>
      <c r="K28" s="416">
        <f t="shared" si="4"/>
        <v>5.0000000000453338E-4</v>
      </c>
      <c r="L28" s="421">
        <f t="shared" si="7"/>
        <v>598738575.77142859</v>
      </c>
      <c r="M28" s="275"/>
      <c r="N28" s="275"/>
      <c r="O28" s="276"/>
      <c r="P28" s="277"/>
    </row>
    <row r="29" spans="1:16" s="160" customFormat="1" ht="30" customHeight="1">
      <c r="A29" s="18">
        <v>22</v>
      </c>
      <c r="B29" s="123" t="s">
        <v>98</v>
      </c>
      <c r="C29" s="300" t="s">
        <v>488</v>
      </c>
      <c r="D29" s="283">
        <f t="shared" si="0"/>
        <v>239495430.30857146</v>
      </c>
      <c r="E29" s="284">
        <f>CBS!D71</f>
        <v>2.0000000000181336E-4</v>
      </c>
      <c r="F29" s="285"/>
      <c r="G29" s="323">
        <v>1</v>
      </c>
      <c r="H29" s="286">
        <f t="shared" si="6"/>
        <v>2.0000000000181336E-4</v>
      </c>
      <c r="I29" s="313">
        <f t="shared" si="3"/>
        <v>239495430.30857146</v>
      </c>
      <c r="J29" s="495">
        <v>1</v>
      </c>
      <c r="K29" s="416">
        <f t="shared" si="4"/>
        <v>2.0000000000181336E-4</v>
      </c>
      <c r="L29" s="421">
        <f t="shared" si="7"/>
        <v>239495430.30857146</v>
      </c>
      <c r="M29" s="275"/>
      <c r="N29" s="275"/>
      <c r="O29" s="276"/>
      <c r="P29" s="277"/>
    </row>
    <row r="30" spans="1:16" s="160" customFormat="1" ht="30" customHeight="1">
      <c r="A30" s="18">
        <v>23</v>
      </c>
      <c r="B30" s="123" t="s">
        <v>99</v>
      </c>
      <c r="C30" s="300" t="s">
        <v>489</v>
      </c>
      <c r="D30" s="283">
        <f t="shared" si="0"/>
        <v>239495430.30857146</v>
      </c>
      <c r="E30" s="284">
        <f>CBS!D72</f>
        <v>2.0000000000181336E-4</v>
      </c>
      <c r="F30" s="285"/>
      <c r="G30" s="323">
        <v>1</v>
      </c>
      <c r="H30" s="286">
        <f t="shared" si="6"/>
        <v>2.0000000000181336E-4</v>
      </c>
      <c r="I30" s="313">
        <f t="shared" si="3"/>
        <v>239495430.30857146</v>
      </c>
      <c r="J30" s="495">
        <v>1</v>
      </c>
      <c r="K30" s="416">
        <f t="shared" si="4"/>
        <v>2.0000000000181336E-4</v>
      </c>
      <c r="L30" s="421">
        <f t="shared" si="7"/>
        <v>239495430.30857146</v>
      </c>
      <c r="M30" s="275"/>
      <c r="N30" s="275"/>
      <c r="O30" s="276"/>
      <c r="P30" s="277"/>
    </row>
    <row r="31" spans="1:16" s="160" customFormat="1" ht="30" customHeight="1">
      <c r="A31" s="18">
        <v>24</v>
      </c>
      <c r="B31" s="123" t="s">
        <v>111</v>
      </c>
      <c r="C31" s="300" t="s">
        <v>490</v>
      </c>
      <c r="D31" s="283">
        <f t="shared" si="0"/>
        <v>1197477151.5428572</v>
      </c>
      <c r="E31" s="284">
        <f>CBS!D73</f>
        <v>1.0000000000090668E-3</v>
      </c>
      <c r="F31" s="285"/>
      <c r="G31" s="323">
        <v>1</v>
      </c>
      <c r="H31" s="286">
        <f t="shared" si="6"/>
        <v>1.0000000000090668E-3</v>
      </c>
      <c r="I31" s="313">
        <f t="shared" si="3"/>
        <v>1197477151.5428572</v>
      </c>
      <c r="J31" s="495">
        <v>1</v>
      </c>
      <c r="K31" s="416">
        <f t="shared" si="4"/>
        <v>1.0000000000090668E-3</v>
      </c>
      <c r="L31" s="421">
        <f t="shared" si="7"/>
        <v>1197477151.5428572</v>
      </c>
      <c r="M31" s="275"/>
      <c r="N31" s="275"/>
      <c r="O31" s="276"/>
      <c r="P31" s="277"/>
    </row>
    <row r="32" spans="1:16" s="160" customFormat="1" ht="30" customHeight="1">
      <c r="A32" s="18">
        <v>25</v>
      </c>
      <c r="B32" s="123" t="s">
        <v>112</v>
      </c>
      <c r="C32" s="300" t="s">
        <v>491</v>
      </c>
      <c r="D32" s="283">
        <f t="shared" si="0"/>
        <v>359243145.46285719</v>
      </c>
      <c r="E32" s="284">
        <f>CBS!D74</f>
        <v>3.0000000000272002E-4</v>
      </c>
      <c r="F32" s="285"/>
      <c r="G32" s="323">
        <v>1</v>
      </c>
      <c r="H32" s="286">
        <f t="shared" si="6"/>
        <v>3.0000000000272002E-4</v>
      </c>
      <c r="I32" s="313">
        <f t="shared" si="3"/>
        <v>359243145.46285719</v>
      </c>
      <c r="J32" s="495">
        <v>1</v>
      </c>
      <c r="K32" s="416">
        <f t="shared" si="4"/>
        <v>3.0000000000272002E-4</v>
      </c>
      <c r="L32" s="421">
        <f t="shared" si="7"/>
        <v>359243145.46285719</v>
      </c>
      <c r="M32" s="275"/>
      <c r="N32" s="275"/>
      <c r="O32" s="276"/>
      <c r="P32" s="277"/>
    </row>
    <row r="33" spans="1:16" s="160" customFormat="1" ht="27" customHeight="1">
      <c r="A33" s="18">
        <v>26</v>
      </c>
      <c r="B33" s="123" t="s">
        <v>113</v>
      </c>
      <c r="C33" s="300" t="s">
        <v>481</v>
      </c>
      <c r="D33" s="283">
        <f t="shared" si="0"/>
        <v>1197477151.5428572</v>
      </c>
      <c r="E33" s="284">
        <f>CBS!D75</f>
        <v>1.0000000000090668E-3</v>
      </c>
      <c r="F33" s="285"/>
      <c r="G33" s="323"/>
      <c r="H33" s="286">
        <f>SUM(H34:H38)</f>
        <v>1.0000000000090668E-3</v>
      </c>
      <c r="I33" s="313">
        <f>SUM(I34:I38)</f>
        <v>1197477151.5428572</v>
      </c>
      <c r="J33" s="495">
        <v>1</v>
      </c>
      <c r="K33" s="416">
        <f t="shared" si="4"/>
        <v>1.0000000000090668E-3</v>
      </c>
      <c r="L33" s="421">
        <f t="shared" si="7"/>
        <v>1197477151.5428572</v>
      </c>
      <c r="M33" s="275"/>
      <c r="N33" s="275"/>
      <c r="O33" s="276"/>
      <c r="P33" s="277"/>
    </row>
    <row r="34" spans="1:16" s="312" customFormat="1" ht="27" customHeight="1">
      <c r="A34" s="18">
        <v>27</v>
      </c>
      <c r="B34" s="301" t="s">
        <v>114</v>
      </c>
      <c r="C34" s="302" t="s">
        <v>427</v>
      </c>
      <c r="D34" s="303">
        <f t="shared" si="0"/>
        <v>239495430.30857146</v>
      </c>
      <c r="E34" s="304">
        <f>CBS!D76</f>
        <v>2.0000000000181336E-4</v>
      </c>
      <c r="F34" s="305"/>
      <c r="G34" s="323">
        <v>1</v>
      </c>
      <c r="H34" s="306">
        <f>G34*E34</f>
        <v>2.0000000000181336E-4</v>
      </c>
      <c r="I34" s="307">
        <f t="shared" si="3"/>
        <v>239495430.30857146</v>
      </c>
      <c r="J34" s="496"/>
      <c r="K34" s="416">
        <f t="shared" si="4"/>
        <v>0</v>
      </c>
      <c r="L34" s="421">
        <f t="shared" si="7"/>
        <v>0</v>
      </c>
      <c r="M34" s="275"/>
      <c r="N34" s="275"/>
      <c r="O34" s="276"/>
      <c r="P34" s="277"/>
    </row>
    <row r="35" spans="1:16" s="312" customFormat="1" ht="27" customHeight="1">
      <c r="A35" s="18">
        <v>28</v>
      </c>
      <c r="B35" s="301" t="s">
        <v>115</v>
      </c>
      <c r="C35" s="302" t="s">
        <v>428</v>
      </c>
      <c r="D35" s="303">
        <f t="shared" si="0"/>
        <v>239495430.30857146</v>
      </c>
      <c r="E35" s="304">
        <f>CBS!D77</f>
        <v>2.0000000000181336E-4</v>
      </c>
      <c r="F35" s="305"/>
      <c r="G35" s="323">
        <v>1</v>
      </c>
      <c r="H35" s="306">
        <f>G35*E35</f>
        <v>2.0000000000181336E-4</v>
      </c>
      <c r="I35" s="307">
        <f t="shared" si="3"/>
        <v>239495430.30857146</v>
      </c>
      <c r="J35" s="496"/>
      <c r="K35" s="416">
        <f t="shared" si="4"/>
        <v>0</v>
      </c>
      <c r="L35" s="421">
        <f t="shared" si="7"/>
        <v>0</v>
      </c>
      <c r="M35" s="275"/>
      <c r="N35" s="275"/>
      <c r="O35" s="276"/>
      <c r="P35" s="277"/>
    </row>
    <row r="36" spans="1:16" s="312" customFormat="1" ht="27" customHeight="1">
      <c r="A36" s="18">
        <v>29</v>
      </c>
      <c r="B36" s="301" t="s">
        <v>116</v>
      </c>
      <c r="C36" s="302" t="s">
        <v>429</v>
      </c>
      <c r="D36" s="303">
        <f t="shared" si="0"/>
        <v>239495430.30857146</v>
      </c>
      <c r="E36" s="304">
        <f>CBS!D78</f>
        <v>2.0000000000181336E-4</v>
      </c>
      <c r="F36" s="305"/>
      <c r="G36" s="323">
        <v>1</v>
      </c>
      <c r="H36" s="306">
        <f>G36*E36</f>
        <v>2.0000000000181336E-4</v>
      </c>
      <c r="I36" s="307">
        <f t="shared" si="3"/>
        <v>239495430.30857146</v>
      </c>
      <c r="J36" s="496"/>
      <c r="K36" s="416">
        <f t="shared" si="4"/>
        <v>0</v>
      </c>
      <c r="L36" s="421">
        <f t="shared" si="7"/>
        <v>0</v>
      </c>
      <c r="M36" s="275"/>
      <c r="N36" s="275"/>
      <c r="O36" s="276"/>
      <c r="P36" s="277"/>
    </row>
    <row r="37" spans="1:16" s="312" customFormat="1" ht="27" customHeight="1">
      <c r="A37" s="18">
        <v>30</v>
      </c>
      <c r="B37" s="301" t="s">
        <v>117</v>
      </c>
      <c r="C37" s="302" t="s">
        <v>430</v>
      </c>
      <c r="D37" s="303">
        <f t="shared" si="0"/>
        <v>239495430.30857146</v>
      </c>
      <c r="E37" s="304">
        <f>CBS!D79</f>
        <v>2.0000000000181336E-4</v>
      </c>
      <c r="F37" s="305"/>
      <c r="G37" s="323">
        <v>1</v>
      </c>
      <c r="H37" s="306">
        <f>G37*E37</f>
        <v>2.0000000000181336E-4</v>
      </c>
      <c r="I37" s="307">
        <f t="shared" si="3"/>
        <v>239495430.30857146</v>
      </c>
      <c r="J37" s="496"/>
      <c r="K37" s="416">
        <f t="shared" si="4"/>
        <v>0</v>
      </c>
      <c r="L37" s="421">
        <f t="shared" si="7"/>
        <v>0</v>
      </c>
      <c r="M37" s="275"/>
      <c r="N37" s="275"/>
      <c r="O37" s="276"/>
      <c r="P37" s="277"/>
    </row>
    <row r="38" spans="1:16" s="312" customFormat="1" ht="27" customHeight="1">
      <c r="A38" s="18">
        <v>31</v>
      </c>
      <c r="B38" s="301" t="s">
        <v>118</v>
      </c>
      <c r="C38" s="302" t="s">
        <v>492</v>
      </c>
      <c r="D38" s="303">
        <f t="shared" si="0"/>
        <v>239495430.30857146</v>
      </c>
      <c r="E38" s="304">
        <f>CBS!D80</f>
        <v>2.0000000000181336E-4</v>
      </c>
      <c r="F38" s="305"/>
      <c r="G38" s="323">
        <v>1</v>
      </c>
      <c r="H38" s="306">
        <f>G38*E38</f>
        <v>2.0000000000181336E-4</v>
      </c>
      <c r="I38" s="307">
        <f t="shared" si="3"/>
        <v>239495430.30857146</v>
      </c>
      <c r="J38" s="496"/>
      <c r="K38" s="416">
        <f t="shared" si="4"/>
        <v>0</v>
      </c>
      <c r="L38" s="421">
        <f t="shared" si="7"/>
        <v>0</v>
      </c>
      <c r="M38" s="275"/>
      <c r="N38" s="275"/>
      <c r="O38" s="276"/>
      <c r="P38" s="277"/>
    </row>
    <row r="39" spans="1:16" s="160" customFormat="1" ht="27" customHeight="1">
      <c r="A39" s="18">
        <v>32</v>
      </c>
      <c r="B39" s="123" t="s">
        <v>119</v>
      </c>
      <c r="C39" s="300" t="s">
        <v>431</v>
      </c>
      <c r="D39" s="283">
        <f t="shared" si="0"/>
        <v>2993692878.8571429</v>
      </c>
      <c r="E39" s="284">
        <f>CBS!D81</f>
        <v>2.5000000000226668E-3</v>
      </c>
      <c r="F39" s="285"/>
      <c r="G39" s="323"/>
      <c r="H39" s="286">
        <f>SUM(H40:H44)</f>
        <v>2.5000000000226668E-3</v>
      </c>
      <c r="I39" s="313">
        <f>SUM(I40:I44)</f>
        <v>2993692878.8571429</v>
      </c>
      <c r="J39" s="495">
        <v>1</v>
      </c>
      <c r="K39" s="416"/>
      <c r="L39" s="421">
        <f>J39*D39</f>
        <v>2993692878.8571429</v>
      </c>
      <c r="M39" s="275"/>
      <c r="N39" s="275"/>
      <c r="O39" s="276"/>
      <c r="P39" s="277"/>
    </row>
    <row r="40" spans="1:16" s="312" customFormat="1" ht="27" customHeight="1">
      <c r="A40" s="18">
        <v>33</v>
      </c>
      <c r="B40" s="301" t="s">
        <v>120</v>
      </c>
      <c r="C40" s="302" t="s">
        <v>427</v>
      </c>
      <c r="D40" s="303">
        <f t="shared" si="0"/>
        <v>598738575.77142859</v>
      </c>
      <c r="E40" s="304">
        <f>CBS!D82</f>
        <v>5.0000000000453338E-4</v>
      </c>
      <c r="F40" s="305"/>
      <c r="G40" s="323">
        <v>1</v>
      </c>
      <c r="H40" s="306">
        <f t="shared" ref="H40:H51" si="8">G40*E40</f>
        <v>5.0000000000453338E-4</v>
      </c>
      <c r="I40" s="307">
        <f t="shared" si="3"/>
        <v>598738575.77142859</v>
      </c>
      <c r="J40" s="496"/>
      <c r="K40" s="416">
        <f t="shared" si="4"/>
        <v>0</v>
      </c>
      <c r="L40" s="421">
        <f t="shared" ref="L40:L51" si="9">J40*D40</f>
        <v>0</v>
      </c>
      <c r="M40" s="275"/>
      <c r="N40" s="275"/>
      <c r="O40" s="276"/>
      <c r="P40" s="277"/>
    </row>
    <row r="41" spans="1:16" s="312" customFormat="1" ht="27" customHeight="1">
      <c r="A41" s="18">
        <v>34</v>
      </c>
      <c r="B41" s="301" t="s">
        <v>121</v>
      </c>
      <c r="C41" s="302" t="s">
        <v>428</v>
      </c>
      <c r="D41" s="303">
        <f t="shared" si="0"/>
        <v>598738575.77142859</v>
      </c>
      <c r="E41" s="304">
        <f>CBS!D83</f>
        <v>5.0000000000453338E-4</v>
      </c>
      <c r="F41" s="305"/>
      <c r="G41" s="323">
        <v>1</v>
      </c>
      <c r="H41" s="306">
        <f t="shared" si="8"/>
        <v>5.0000000000453338E-4</v>
      </c>
      <c r="I41" s="307">
        <f t="shared" si="3"/>
        <v>598738575.77142859</v>
      </c>
      <c r="J41" s="496"/>
      <c r="K41" s="416">
        <f t="shared" si="4"/>
        <v>0</v>
      </c>
      <c r="L41" s="421">
        <f t="shared" si="9"/>
        <v>0</v>
      </c>
      <c r="M41" s="275"/>
      <c r="N41" s="275"/>
      <c r="O41" s="276"/>
      <c r="P41" s="277"/>
    </row>
    <row r="42" spans="1:16" s="312" customFormat="1" ht="27" customHeight="1">
      <c r="A42" s="18">
        <v>35</v>
      </c>
      <c r="B42" s="301" t="s">
        <v>122</v>
      </c>
      <c r="C42" s="302" t="s">
        <v>429</v>
      </c>
      <c r="D42" s="303">
        <f t="shared" si="0"/>
        <v>598738575.77142859</v>
      </c>
      <c r="E42" s="304">
        <f>CBS!D84</f>
        <v>5.0000000000453338E-4</v>
      </c>
      <c r="F42" s="305"/>
      <c r="G42" s="323">
        <v>1</v>
      </c>
      <c r="H42" s="306">
        <f t="shared" si="8"/>
        <v>5.0000000000453338E-4</v>
      </c>
      <c r="I42" s="307">
        <f t="shared" si="3"/>
        <v>598738575.77142859</v>
      </c>
      <c r="J42" s="496"/>
      <c r="K42" s="416">
        <f t="shared" si="4"/>
        <v>0</v>
      </c>
      <c r="L42" s="421">
        <f t="shared" si="9"/>
        <v>0</v>
      </c>
      <c r="M42" s="275"/>
      <c r="N42" s="275"/>
      <c r="O42" s="276"/>
      <c r="P42" s="277"/>
    </row>
    <row r="43" spans="1:16" s="312" customFormat="1" ht="27" customHeight="1">
      <c r="A43" s="18">
        <v>36</v>
      </c>
      <c r="B43" s="301" t="s">
        <v>123</v>
      </c>
      <c r="C43" s="302" t="s">
        <v>430</v>
      </c>
      <c r="D43" s="303">
        <f t="shared" si="0"/>
        <v>598738575.77142859</v>
      </c>
      <c r="E43" s="304">
        <f>CBS!D85</f>
        <v>5.0000000000453338E-4</v>
      </c>
      <c r="F43" s="305"/>
      <c r="G43" s="323">
        <v>1</v>
      </c>
      <c r="H43" s="306">
        <f t="shared" si="8"/>
        <v>5.0000000000453338E-4</v>
      </c>
      <c r="I43" s="307">
        <f t="shared" si="3"/>
        <v>598738575.77142859</v>
      </c>
      <c r="J43" s="496"/>
      <c r="K43" s="416">
        <f t="shared" si="4"/>
        <v>0</v>
      </c>
      <c r="L43" s="421">
        <f t="shared" si="9"/>
        <v>0</v>
      </c>
      <c r="M43" s="275"/>
      <c r="N43" s="275"/>
      <c r="O43" s="276"/>
      <c r="P43" s="277"/>
    </row>
    <row r="44" spans="1:16" s="312" customFormat="1" ht="27" customHeight="1">
      <c r="A44" s="18">
        <v>37</v>
      </c>
      <c r="B44" s="301" t="s">
        <v>124</v>
      </c>
      <c r="C44" s="302" t="s">
        <v>493</v>
      </c>
      <c r="D44" s="303">
        <f t="shared" si="0"/>
        <v>598738575.77142859</v>
      </c>
      <c r="E44" s="304">
        <f>CBS!D86</f>
        <v>5.0000000000453338E-4</v>
      </c>
      <c r="F44" s="305"/>
      <c r="G44" s="323">
        <v>1</v>
      </c>
      <c r="H44" s="306">
        <f t="shared" si="8"/>
        <v>5.0000000000453338E-4</v>
      </c>
      <c r="I44" s="307">
        <f t="shared" si="3"/>
        <v>598738575.77142859</v>
      </c>
      <c r="J44" s="496"/>
      <c r="K44" s="416">
        <f t="shared" si="4"/>
        <v>0</v>
      </c>
      <c r="L44" s="421">
        <f t="shared" si="9"/>
        <v>0</v>
      </c>
      <c r="M44" s="275"/>
      <c r="N44" s="275"/>
      <c r="O44" s="276"/>
      <c r="P44" s="277"/>
    </row>
    <row r="45" spans="1:16" s="160" customFormat="1" ht="27" customHeight="1">
      <c r="A45" s="18">
        <v>38</v>
      </c>
      <c r="B45" s="123" t="s">
        <v>125</v>
      </c>
      <c r="C45" s="300" t="s">
        <v>494</v>
      </c>
      <c r="D45" s="283">
        <f t="shared" si="0"/>
        <v>1197477151.5428572</v>
      </c>
      <c r="E45" s="284">
        <f>CBS!D87</f>
        <v>1.0000000000090668E-3</v>
      </c>
      <c r="F45" s="285"/>
      <c r="G45" s="323">
        <v>1</v>
      </c>
      <c r="H45" s="286">
        <f t="shared" si="8"/>
        <v>1.0000000000090668E-3</v>
      </c>
      <c r="I45" s="313">
        <f t="shared" si="3"/>
        <v>1197477151.5428572</v>
      </c>
      <c r="J45" s="495">
        <v>1</v>
      </c>
      <c r="K45" s="416">
        <f t="shared" si="4"/>
        <v>1.0000000000090668E-3</v>
      </c>
      <c r="L45" s="421">
        <f t="shared" si="9"/>
        <v>1197477151.5428572</v>
      </c>
      <c r="M45" s="275"/>
      <c r="N45" s="275"/>
      <c r="O45" s="276"/>
      <c r="P45" s="277"/>
    </row>
    <row r="46" spans="1:16" s="160" customFormat="1" ht="27" customHeight="1">
      <c r="A46" s="18">
        <v>39</v>
      </c>
      <c r="B46" s="123" t="s">
        <v>126</v>
      </c>
      <c r="C46" s="300" t="s">
        <v>482</v>
      </c>
      <c r="D46" s="283">
        <f t="shared" si="0"/>
        <v>419117003.04000008</v>
      </c>
      <c r="E46" s="284">
        <f>CBS!D88</f>
        <v>3.500000000031734E-4</v>
      </c>
      <c r="F46" s="285"/>
      <c r="G46" s="323">
        <v>1</v>
      </c>
      <c r="H46" s="286">
        <f t="shared" si="8"/>
        <v>3.500000000031734E-4</v>
      </c>
      <c r="I46" s="313">
        <f t="shared" si="3"/>
        <v>419117003.04000008</v>
      </c>
      <c r="J46" s="495">
        <v>1</v>
      </c>
      <c r="K46" s="416">
        <f>J46*E46</f>
        <v>3.500000000031734E-4</v>
      </c>
      <c r="L46" s="421">
        <f t="shared" si="9"/>
        <v>419117003.04000008</v>
      </c>
      <c r="M46" s="275"/>
      <c r="N46" s="275"/>
      <c r="O46" s="276"/>
      <c r="P46" s="277"/>
    </row>
    <row r="47" spans="1:16" s="160" customFormat="1" ht="27" customHeight="1">
      <c r="A47" s="18">
        <v>40</v>
      </c>
      <c r="B47" s="123" t="s">
        <v>127</v>
      </c>
      <c r="C47" s="300" t="s">
        <v>495</v>
      </c>
      <c r="D47" s="283">
        <f t="shared" si="0"/>
        <v>419117003.04000008</v>
      </c>
      <c r="E47" s="284">
        <f>CBS!D89</f>
        <v>3.500000000031734E-4</v>
      </c>
      <c r="F47" s="285"/>
      <c r="G47" s="323">
        <v>1</v>
      </c>
      <c r="H47" s="286">
        <f t="shared" si="8"/>
        <v>3.500000000031734E-4</v>
      </c>
      <c r="I47" s="313">
        <f t="shared" si="3"/>
        <v>419117003.04000008</v>
      </c>
      <c r="J47" s="495">
        <v>1</v>
      </c>
      <c r="K47" s="416">
        <f t="shared" si="4"/>
        <v>3.500000000031734E-4</v>
      </c>
      <c r="L47" s="421">
        <f t="shared" si="9"/>
        <v>419117003.04000008</v>
      </c>
      <c r="M47" s="275"/>
      <c r="N47" s="275"/>
      <c r="O47" s="276"/>
      <c r="P47" s="277"/>
    </row>
    <row r="48" spans="1:16" s="160" customFormat="1" ht="27" customHeight="1">
      <c r="A48" s="18">
        <v>41</v>
      </c>
      <c r="B48" s="123" t="s">
        <v>128</v>
      </c>
      <c r="C48" s="300" t="s">
        <v>483</v>
      </c>
      <c r="D48" s="283">
        <f t="shared" si="0"/>
        <v>419117003.04000008</v>
      </c>
      <c r="E48" s="284">
        <f>CBS!D90</f>
        <v>3.500000000031734E-4</v>
      </c>
      <c r="F48" s="285"/>
      <c r="G48" s="323">
        <v>1</v>
      </c>
      <c r="H48" s="286">
        <f t="shared" si="8"/>
        <v>3.500000000031734E-4</v>
      </c>
      <c r="I48" s="313">
        <f t="shared" si="3"/>
        <v>419117003.04000008</v>
      </c>
      <c r="J48" s="495">
        <v>1</v>
      </c>
      <c r="K48" s="416">
        <f t="shared" si="4"/>
        <v>3.500000000031734E-4</v>
      </c>
      <c r="L48" s="421">
        <f t="shared" si="9"/>
        <v>419117003.04000008</v>
      </c>
      <c r="M48" s="275"/>
      <c r="N48" s="275"/>
      <c r="O48" s="276"/>
      <c r="P48" s="277"/>
    </row>
    <row r="49" spans="1:16" s="160" customFormat="1" ht="27" customHeight="1">
      <c r="A49" s="18">
        <v>42</v>
      </c>
      <c r="B49" s="123" t="s">
        <v>129</v>
      </c>
      <c r="C49" s="300" t="s">
        <v>496</v>
      </c>
      <c r="D49" s="283">
        <f t="shared" si="0"/>
        <v>598738575.77142859</v>
      </c>
      <c r="E49" s="284">
        <f>CBS!D91</f>
        <v>5.0000000000453338E-4</v>
      </c>
      <c r="F49" s="285"/>
      <c r="G49" s="323">
        <v>1</v>
      </c>
      <c r="H49" s="286">
        <f t="shared" si="8"/>
        <v>5.0000000000453338E-4</v>
      </c>
      <c r="I49" s="313">
        <f t="shared" si="3"/>
        <v>598738575.77142859</v>
      </c>
      <c r="J49" s="495">
        <v>1</v>
      </c>
      <c r="K49" s="416">
        <f t="shared" si="4"/>
        <v>5.0000000000453338E-4</v>
      </c>
      <c r="L49" s="421">
        <f t="shared" si="9"/>
        <v>598738575.77142859</v>
      </c>
      <c r="M49" s="275"/>
      <c r="N49" s="275"/>
      <c r="O49" s="276"/>
      <c r="P49" s="277"/>
    </row>
    <row r="50" spans="1:16" s="160" customFormat="1" ht="27" customHeight="1">
      <c r="A50" s="18">
        <v>43</v>
      </c>
      <c r="B50" s="123" t="s">
        <v>130</v>
      </c>
      <c r="C50" s="300" t="s">
        <v>484</v>
      </c>
      <c r="D50" s="283">
        <f t="shared" si="0"/>
        <v>419117003.04000008</v>
      </c>
      <c r="E50" s="284">
        <f>CBS!D92</f>
        <v>3.500000000031734E-4</v>
      </c>
      <c r="F50" s="285"/>
      <c r="G50" s="323">
        <v>1</v>
      </c>
      <c r="H50" s="286">
        <f t="shared" si="8"/>
        <v>3.500000000031734E-4</v>
      </c>
      <c r="I50" s="313">
        <f t="shared" si="3"/>
        <v>419117003.04000008</v>
      </c>
      <c r="J50" s="495">
        <v>1</v>
      </c>
      <c r="K50" s="416">
        <f t="shared" si="4"/>
        <v>3.500000000031734E-4</v>
      </c>
      <c r="L50" s="421">
        <f t="shared" si="9"/>
        <v>419117003.04000008</v>
      </c>
      <c r="M50" s="275"/>
      <c r="N50" s="275"/>
      <c r="O50" s="276"/>
      <c r="P50" s="277"/>
    </row>
    <row r="51" spans="1:16" s="160" customFormat="1" ht="55.5" customHeight="1">
      <c r="A51" s="18">
        <v>44</v>
      </c>
      <c r="B51" s="123" t="s">
        <v>131</v>
      </c>
      <c r="C51" s="300" t="s">
        <v>485</v>
      </c>
      <c r="D51" s="283">
        <f t="shared" si="0"/>
        <v>0</v>
      </c>
      <c r="E51" s="284">
        <f>CBS!D93</f>
        <v>0</v>
      </c>
      <c r="F51" s="285"/>
      <c r="G51" s="323">
        <v>0</v>
      </c>
      <c r="H51" s="286">
        <f t="shared" si="8"/>
        <v>0</v>
      </c>
      <c r="I51" s="313">
        <f t="shared" si="3"/>
        <v>0</v>
      </c>
      <c r="J51" s="497"/>
      <c r="K51" s="416">
        <f t="shared" si="4"/>
        <v>0</v>
      </c>
      <c r="L51" s="421">
        <f t="shared" si="9"/>
        <v>0</v>
      </c>
      <c r="M51" s="275"/>
      <c r="N51" s="275"/>
      <c r="O51" s="276"/>
      <c r="P51" s="277"/>
    </row>
  </sheetData>
  <mergeCells count="18">
    <mergeCell ref="A6:A7"/>
    <mergeCell ref="B6:B7"/>
    <mergeCell ref="C6:C7"/>
    <mergeCell ref="D6:D7"/>
    <mergeCell ref="G6:I6"/>
    <mergeCell ref="L1:P2"/>
    <mergeCell ref="L3:P3"/>
    <mergeCell ref="L4:N5"/>
    <mergeCell ref="J6:L6"/>
    <mergeCell ref="E4:H4"/>
    <mergeCell ref="E5:H5"/>
    <mergeCell ref="J1:K2"/>
    <mergeCell ref="J3:K3"/>
    <mergeCell ref="E6:E7"/>
    <mergeCell ref="F6:F7"/>
    <mergeCell ref="J4:K5"/>
    <mergeCell ref="P6:P7"/>
    <mergeCell ref="M6:O6"/>
  </mergeCells>
  <printOptions horizontalCentered="1"/>
  <pageMargins left="0.39370078740157483" right="0.39370078740157483" top="0.59055118110236227" bottom="0.98425196850393704" header="0" footer="0.39370078740157483"/>
  <pageSetup paperSize="9" scale="62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rowBreaks count="2" manualBreakCount="2">
    <brk id="20" max="15" man="1"/>
    <brk id="36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16"/>
  <sheetViews>
    <sheetView rightToLeft="1" view="pageBreakPreview" zoomScale="60" zoomScaleNormal="100" workbookViewId="0">
      <selection activeCell="I8" sqref="I8"/>
    </sheetView>
  </sheetViews>
  <sheetFormatPr defaultColWidth="9" defaultRowHeight="16.899999999999999"/>
  <cols>
    <col min="1" max="1" width="4" style="1" bestFit="1" customWidth="1"/>
    <col min="2" max="2" width="8.4375" style="1" bestFit="1" customWidth="1"/>
    <col min="3" max="3" width="36" style="1" customWidth="1"/>
    <col min="4" max="4" width="18.6875" style="175" customWidth="1"/>
    <col min="5" max="5" width="9.6875" style="1" bestFit="1" customWidth="1"/>
    <col min="6" max="6" width="7" style="1" hidden="1" customWidth="1"/>
    <col min="7" max="7" width="8" style="1" customWidth="1"/>
    <col min="8" max="8" width="9.3125" style="1" customWidth="1"/>
    <col min="9" max="9" width="19.3125" style="175" customWidth="1"/>
    <col min="10" max="10" width="9.3125" style="1" customWidth="1"/>
    <col min="11" max="11" width="10.125" style="1" bestFit="1" customWidth="1"/>
    <col min="12" max="12" width="19.3125" style="175" customWidth="1"/>
    <col min="13" max="14" width="9.3125" style="1" customWidth="1"/>
    <col min="15" max="15" width="20.6875" style="175" customWidth="1"/>
    <col min="16" max="16" width="8.125" style="1" customWidth="1"/>
    <col min="17" max="16384" width="9" style="1"/>
  </cols>
  <sheetData>
    <row r="1" spans="1:16" ht="20.100000000000001" customHeight="1">
      <c r="A1" s="27"/>
      <c r="B1" s="27"/>
      <c r="C1" s="27"/>
      <c r="D1" s="135" t="s">
        <v>13</v>
      </c>
      <c r="E1" s="137" t="s">
        <v>435</v>
      </c>
      <c r="F1" s="172"/>
      <c r="G1" s="173"/>
      <c r="H1" s="173"/>
      <c r="I1" s="176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6" ht="20.100000000000001" customHeight="1">
      <c r="A2" s="27"/>
      <c r="B2" s="27"/>
      <c r="C2" s="27"/>
      <c r="D2" s="135" t="s">
        <v>14</v>
      </c>
      <c r="E2" s="137" t="s">
        <v>17</v>
      </c>
      <c r="F2" s="172"/>
      <c r="G2" s="173"/>
      <c r="H2" s="173"/>
      <c r="I2" s="176"/>
      <c r="J2" s="1079"/>
      <c r="K2" s="1079"/>
      <c r="L2" s="999"/>
      <c r="M2" s="999"/>
      <c r="N2" s="999"/>
      <c r="O2" s="999"/>
      <c r="P2" s="999"/>
    </row>
    <row r="3" spans="1:16" ht="39.950000000000003" customHeight="1">
      <c r="A3" s="27"/>
      <c r="B3" s="27"/>
      <c r="C3" s="27"/>
      <c r="D3" s="135" t="s">
        <v>195</v>
      </c>
      <c r="E3" s="137" t="s">
        <v>443</v>
      </c>
      <c r="F3" s="172"/>
      <c r="G3" s="173"/>
      <c r="H3" s="173"/>
      <c r="I3" s="177"/>
      <c r="J3" s="1079" t="s">
        <v>498</v>
      </c>
      <c r="K3" s="1079"/>
      <c r="L3" s="1126" t="s">
        <v>442</v>
      </c>
      <c r="M3" s="1126"/>
      <c r="N3" s="1126"/>
      <c r="O3" s="1126"/>
      <c r="P3" s="1126"/>
    </row>
    <row r="4" spans="1:16" ht="24.95" customHeight="1">
      <c r="A4" s="27"/>
      <c r="B4" s="27"/>
      <c r="C4" s="27"/>
      <c r="D4" s="135" t="s">
        <v>437</v>
      </c>
      <c r="E4" s="1106" t="s">
        <v>850</v>
      </c>
      <c r="F4" s="1106"/>
      <c r="G4" s="1106"/>
      <c r="H4" s="1106"/>
      <c r="I4" s="178"/>
      <c r="J4" s="1079" t="s">
        <v>440</v>
      </c>
      <c r="K4" s="1079"/>
      <c r="L4" s="1127">
        <f>'خلاصه مالي صورت وضعیت'!G4:G5</f>
        <v>1197477151532</v>
      </c>
      <c r="M4" s="1127"/>
      <c r="N4" s="1127"/>
      <c r="O4" s="184"/>
      <c r="P4" s="153"/>
    </row>
    <row r="5" spans="1:16" ht="24.95" customHeight="1">
      <c r="A5" s="155"/>
      <c r="B5" s="155"/>
      <c r="C5" s="155"/>
      <c r="D5" s="141" t="s">
        <v>438</v>
      </c>
      <c r="E5" s="1107" t="str">
        <f>'خلاصه مالي صورت وضعیت'!E5</f>
        <v>1403/06/10</v>
      </c>
      <c r="F5" s="1107"/>
      <c r="G5" s="1107"/>
      <c r="H5" s="1107"/>
      <c r="I5" s="179"/>
      <c r="J5" s="1080"/>
      <c r="K5" s="1080"/>
      <c r="L5" s="1128"/>
      <c r="M5" s="1128"/>
      <c r="N5" s="1128"/>
      <c r="O5" s="185"/>
      <c r="P5" s="158"/>
    </row>
    <row r="6" spans="1:16" ht="18" hidden="1" customHeight="1">
      <c r="A6" s="1009" t="s">
        <v>0</v>
      </c>
      <c r="B6" s="1073" t="s">
        <v>1</v>
      </c>
      <c r="C6" s="1074" t="s">
        <v>470</v>
      </c>
      <c r="D6" s="1129" t="s">
        <v>2</v>
      </c>
      <c r="E6" s="1074" t="s">
        <v>497</v>
      </c>
      <c r="F6" s="1074" t="s">
        <v>205</v>
      </c>
      <c r="G6" s="1075" t="s">
        <v>3</v>
      </c>
      <c r="H6" s="1075"/>
      <c r="I6" s="1075"/>
      <c r="J6" s="1076" t="s">
        <v>464</v>
      </c>
      <c r="K6" s="1076"/>
      <c r="L6" s="1076"/>
      <c r="M6" s="1071" t="s">
        <v>5</v>
      </c>
      <c r="N6" s="1071"/>
      <c r="O6" s="1071"/>
      <c r="P6" s="1072" t="s">
        <v>193</v>
      </c>
    </row>
    <row r="7" spans="1:16" ht="99.95" customHeight="1">
      <c r="A7" s="1009"/>
      <c r="B7" s="1073"/>
      <c r="C7" s="1074"/>
      <c r="D7" s="1129"/>
      <c r="E7" s="1074"/>
      <c r="F7" s="1074"/>
      <c r="G7" s="150" t="s">
        <v>203</v>
      </c>
      <c r="H7" s="150" t="s">
        <v>33</v>
      </c>
      <c r="I7" s="180" t="s">
        <v>34</v>
      </c>
      <c r="J7" s="151" t="s">
        <v>204</v>
      </c>
      <c r="K7" s="151" t="s">
        <v>33</v>
      </c>
      <c r="L7" s="182" t="s">
        <v>34</v>
      </c>
      <c r="M7" s="152" t="s">
        <v>204</v>
      </c>
      <c r="N7" s="152" t="s">
        <v>33</v>
      </c>
      <c r="O7" s="186" t="s">
        <v>34</v>
      </c>
      <c r="P7" s="1072"/>
    </row>
    <row r="8" spans="1:16" s="142" customFormat="1" ht="39" customHeight="1">
      <c r="A8" s="18">
        <v>1</v>
      </c>
      <c r="B8" s="146" t="s">
        <v>174</v>
      </c>
      <c r="C8" s="299" t="s">
        <v>158</v>
      </c>
      <c r="D8" s="280">
        <f t="shared" ref="D8" si="0">E8*$L$4</f>
        <v>38918007424.999992</v>
      </c>
      <c r="E8" s="281">
        <f>SUM(E9:E15)</f>
        <v>3.2500000000175361E-2</v>
      </c>
      <c r="F8" s="282"/>
      <c r="G8" s="322"/>
      <c r="H8" s="279">
        <f>SUM(H9:H15)</f>
        <v>2.8950000000175367E-2</v>
      </c>
      <c r="I8" s="325">
        <f>SUM(I9:I15)</f>
        <v>34666963537.061394</v>
      </c>
      <c r="J8" s="417">
        <f>(J9*$E$9+J10*$E$10+J11*$E$11+J12*$E$12+J13*$E$13+J14*$E$14+J15*$E$15)/$E$8</f>
        <v>0.34116461538484122</v>
      </c>
      <c r="K8" s="418">
        <f>SUM(K9:K15)</f>
        <v>1.1087850000067167E-2</v>
      </c>
      <c r="L8" s="419">
        <f>SUM(L9:L15)</f>
        <v>13277447034.694515</v>
      </c>
      <c r="M8" s="269"/>
      <c r="N8" s="269"/>
      <c r="O8" s="270"/>
      <c r="P8" s="271"/>
    </row>
    <row r="9" spans="1:16" s="160" customFormat="1" ht="60" customHeight="1">
      <c r="A9" s="18">
        <v>2</v>
      </c>
      <c r="B9" s="123" t="s">
        <v>521</v>
      </c>
      <c r="C9" s="300" t="s">
        <v>499</v>
      </c>
      <c r="D9" s="283">
        <f t="shared" ref="D9:D15" si="1">E9*$L$4</f>
        <v>13651239527.674799</v>
      </c>
      <c r="E9" s="284">
        <f>CBS!D95</f>
        <v>1.1400000000175367E-2</v>
      </c>
      <c r="F9" s="285"/>
      <c r="G9" s="393">
        <v>1</v>
      </c>
      <c r="H9" s="286">
        <f t="shared" ref="H9:H15" si="2">G9*E9</f>
        <v>1.1400000000175367E-2</v>
      </c>
      <c r="I9" s="313">
        <f t="shared" ref="I9:I15" si="3">H9*$L$4</f>
        <v>13651239527.674799</v>
      </c>
      <c r="J9" s="493">
        <v>0.38300000000000001</v>
      </c>
      <c r="K9" s="420">
        <f>J9*$E9</f>
        <v>4.3662000000671657E-3</v>
      </c>
      <c r="L9" s="421">
        <f>J9*D9</f>
        <v>5228424739.0994482</v>
      </c>
      <c r="M9" s="1115" t="s">
        <v>886</v>
      </c>
      <c r="N9" s="1130"/>
      <c r="O9" s="1131"/>
      <c r="P9" s="277"/>
    </row>
    <row r="10" spans="1:16" s="160" customFormat="1" ht="50.1" customHeight="1">
      <c r="A10" s="18">
        <v>3</v>
      </c>
      <c r="B10" s="123" t="s">
        <v>522</v>
      </c>
      <c r="C10" s="300" t="s">
        <v>500</v>
      </c>
      <c r="D10" s="283">
        <f t="shared" si="1"/>
        <v>8981078636.4899998</v>
      </c>
      <c r="E10" s="284">
        <f>CBS!D96</f>
        <v>7.4999999999999997E-3</v>
      </c>
      <c r="F10" s="285"/>
      <c r="G10" s="393">
        <v>1</v>
      </c>
      <c r="H10" s="286">
        <f t="shared" si="2"/>
        <v>7.4999999999999997E-3</v>
      </c>
      <c r="I10" s="313">
        <f t="shared" si="3"/>
        <v>8981078636.4899998</v>
      </c>
      <c r="J10" s="493">
        <f>J9</f>
        <v>0.38300000000000001</v>
      </c>
      <c r="K10" s="420">
        <f t="shared" ref="K10:K15" si="4">J10*$E10</f>
        <v>2.8725000000000001E-3</v>
      </c>
      <c r="L10" s="421">
        <f t="shared" ref="L10:L15" si="5">J10*D10</f>
        <v>3439753117.7756701</v>
      </c>
      <c r="M10" s="1132"/>
      <c r="N10" s="1133"/>
      <c r="O10" s="1134"/>
      <c r="P10" s="277"/>
    </row>
    <row r="11" spans="1:16" s="160" customFormat="1" ht="50.1" customHeight="1">
      <c r="A11" s="18">
        <v>4</v>
      </c>
      <c r="B11" s="123" t="s">
        <v>523</v>
      </c>
      <c r="C11" s="300" t="s">
        <v>501</v>
      </c>
      <c r="D11" s="283">
        <f t="shared" si="1"/>
        <v>778360148.49580002</v>
      </c>
      <c r="E11" s="284">
        <f>CBS!D97</f>
        <v>6.4999999999999997E-4</v>
      </c>
      <c r="F11" s="285"/>
      <c r="G11" s="393">
        <v>1</v>
      </c>
      <c r="H11" s="286">
        <f t="shared" si="2"/>
        <v>6.4999999999999997E-4</v>
      </c>
      <c r="I11" s="313">
        <f t="shared" si="3"/>
        <v>778360148.49580002</v>
      </c>
      <c r="J11" s="493">
        <f t="shared" ref="J11:J13" si="6">J10</f>
        <v>0.38300000000000001</v>
      </c>
      <c r="K11" s="420">
        <f t="shared" si="4"/>
        <v>2.4895000000000001E-4</v>
      </c>
      <c r="L11" s="421">
        <f t="shared" si="5"/>
        <v>298111936.87389141</v>
      </c>
      <c r="M11" s="1132"/>
      <c r="N11" s="1133"/>
      <c r="O11" s="1134"/>
      <c r="P11" s="277"/>
    </row>
    <row r="12" spans="1:16" s="160" customFormat="1" ht="50.1" customHeight="1">
      <c r="A12" s="18">
        <v>5</v>
      </c>
      <c r="B12" s="123" t="s">
        <v>524</v>
      </c>
      <c r="C12" s="300" t="s">
        <v>502</v>
      </c>
      <c r="D12" s="283">
        <f t="shared" si="1"/>
        <v>3472683739.4427996</v>
      </c>
      <c r="E12" s="284">
        <f>CBS!D98</f>
        <v>2.8999999999999998E-3</v>
      </c>
      <c r="F12" s="285"/>
      <c r="G12" s="393">
        <v>1</v>
      </c>
      <c r="H12" s="286">
        <f t="shared" si="2"/>
        <v>2.8999999999999998E-3</v>
      </c>
      <c r="I12" s="313">
        <f t="shared" si="3"/>
        <v>3472683739.4427996</v>
      </c>
      <c r="J12" s="493">
        <f t="shared" si="6"/>
        <v>0.38300000000000001</v>
      </c>
      <c r="K12" s="420">
        <f t="shared" si="4"/>
        <v>1.1106999999999998E-3</v>
      </c>
      <c r="L12" s="421">
        <f t="shared" si="5"/>
        <v>1330037872.2065923</v>
      </c>
      <c r="M12" s="1132"/>
      <c r="N12" s="1133"/>
      <c r="O12" s="1134"/>
      <c r="P12" s="277"/>
    </row>
    <row r="13" spans="1:16" s="160" customFormat="1" ht="120" customHeight="1">
      <c r="A13" s="18">
        <v>6</v>
      </c>
      <c r="B13" s="123" t="s">
        <v>525</v>
      </c>
      <c r="C13" s="300" t="s">
        <v>503</v>
      </c>
      <c r="D13" s="283">
        <f t="shared" si="1"/>
        <v>7783601484.9579992</v>
      </c>
      <c r="E13" s="284">
        <f>CBS!D99</f>
        <v>6.4999999999999997E-3</v>
      </c>
      <c r="F13" s="285"/>
      <c r="G13" s="393">
        <v>1</v>
      </c>
      <c r="H13" s="286">
        <f t="shared" si="2"/>
        <v>6.4999999999999997E-3</v>
      </c>
      <c r="I13" s="313">
        <f t="shared" si="3"/>
        <v>7783601484.9579992</v>
      </c>
      <c r="J13" s="493">
        <f t="shared" si="6"/>
        <v>0.38300000000000001</v>
      </c>
      <c r="K13" s="420">
        <f t="shared" si="4"/>
        <v>2.4895E-3</v>
      </c>
      <c r="L13" s="421">
        <f t="shared" si="5"/>
        <v>2981119368.7389135</v>
      </c>
      <c r="M13" s="1132"/>
      <c r="N13" s="1133"/>
      <c r="O13" s="1134"/>
      <c r="P13" s="277"/>
    </row>
    <row r="14" spans="1:16" s="160" customFormat="1" ht="50.1" customHeight="1">
      <c r="A14" s="18">
        <v>7</v>
      </c>
      <c r="B14" s="123" t="s">
        <v>526</v>
      </c>
      <c r="C14" s="300" t="s">
        <v>505</v>
      </c>
      <c r="D14" s="283">
        <f t="shared" si="1"/>
        <v>3472683739.4427996</v>
      </c>
      <c r="E14" s="284">
        <f>CBS!D100</f>
        <v>2.8999999999999998E-3</v>
      </c>
      <c r="F14" s="285"/>
      <c r="G14" s="393">
        <v>0</v>
      </c>
      <c r="H14" s="286">
        <f t="shared" si="2"/>
        <v>0</v>
      </c>
      <c r="I14" s="313">
        <f t="shared" si="3"/>
        <v>0</v>
      </c>
      <c r="J14" s="416">
        <v>0</v>
      </c>
      <c r="K14" s="420">
        <f t="shared" si="4"/>
        <v>0</v>
      </c>
      <c r="L14" s="421">
        <f t="shared" si="5"/>
        <v>0</v>
      </c>
      <c r="M14" s="1132"/>
      <c r="N14" s="1133"/>
      <c r="O14" s="1134"/>
      <c r="P14" s="277"/>
    </row>
    <row r="15" spans="1:16" s="160" customFormat="1" ht="50.1" customHeight="1">
      <c r="A15" s="18">
        <v>8</v>
      </c>
      <c r="B15" s="123" t="s">
        <v>527</v>
      </c>
      <c r="C15" s="300" t="s">
        <v>504</v>
      </c>
      <c r="D15" s="283">
        <f t="shared" si="1"/>
        <v>778360148.49580002</v>
      </c>
      <c r="E15" s="284">
        <f>CBS!D101</f>
        <v>6.4999999999999997E-4</v>
      </c>
      <c r="F15" s="285"/>
      <c r="G15" s="393">
        <v>0</v>
      </c>
      <c r="H15" s="286">
        <f t="shared" si="2"/>
        <v>0</v>
      </c>
      <c r="I15" s="313">
        <f t="shared" si="3"/>
        <v>0</v>
      </c>
      <c r="J15" s="416">
        <v>0</v>
      </c>
      <c r="K15" s="420">
        <f t="shared" si="4"/>
        <v>0</v>
      </c>
      <c r="L15" s="421">
        <f t="shared" si="5"/>
        <v>0</v>
      </c>
      <c r="M15" s="1135"/>
      <c r="N15" s="1136"/>
      <c r="O15" s="1137"/>
      <c r="P15" s="277"/>
    </row>
    <row r="16" spans="1:16">
      <c r="A16" s="73"/>
      <c r="B16" s="73"/>
      <c r="C16" s="73"/>
      <c r="D16" s="174"/>
      <c r="E16" s="73"/>
      <c r="F16" s="73"/>
      <c r="G16" s="84"/>
      <c r="H16" s="74"/>
      <c r="I16" s="181"/>
      <c r="J16" s="74"/>
      <c r="K16" s="74"/>
      <c r="L16" s="183"/>
      <c r="M16" s="75"/>
      <c r="N16" s="75"/>
      <c r="O16" s="183"/>
    </row>
  </sheetData>
  <mergeCells count="19">
    <mergeCell ref="M9:O15"/>
    <mergeCell ref="P6:P7"/>
    <mergeCell ref="G6:I6"/>
    <mergeCell ref="J6:L6"/>
    <mergeCell ref="M6:O6"/>
    <mergeCell ref="L1:P2"/>
    <mergeCell ref="L3:P3"/>
    <mergeCell ref="L4:N5"/>
    <mergeCell ref="E4:H4"/>
    <mergeCell ref="E5:H5"/>
    <mergeCell ref="J1:K2"/>
    <mergeCell ref="J3:K3"/>
    <mergeCell ref="J4:K5"/>
    <mergeCell ref="A6:A7"/>
    <mergeCell ref="B6:B7"/>
    <mergeCell ref="C6:C7"/>
    <mergeCell ref="D6:D7"/>
    <mergeCell ref="F6:F7"/>
    <mergeCell ref="E6:E7"/>
  </mergeCells>
  <printOptions horizontalCentered="1"/>
  <pageMargins left="0.39370078740157483" right="0.39370078740157483" top="0.59055118110236227" bottom="0.98425196850393704" header="0" footer="0.39370078740157483"/>
  <pageSetup paperSize="9" scale="63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"/>
  <sheetViews>
    <sheetView rightToLeft="1" topLeftCell="D1" zoomScaleNormal="100" zoomScaleSheetLayoutView="90" workbookViewId="0">
      <selection activeCell="R12" sqref="R12"/>
    </sheetView>
  </sheetViews>
  <sheetFormatPr defaultColWidth="9" defaultRowHeight="16.899999999999999"/>
  <cols>
    <col min="1" max="1" width="4" style="1" bestFit="1" customWidth="1"/>
    <col min="2" max="2" width="9" style="1"/>
    <col min="3" max="3" width="42.4375" style="1" customWidth="1"/>
    <col min="4" max="4" width="19.3125" style="1" bestFit="1" customWidth="1"/>
    <col min="5" max="5" width="7.875" style="1" customWidth="1"/>
    <col min="6" max="6" width="6.4375" style="1" customWidth="1"/>
    <col min="7" max="8" width="9" style="1"/>
    <col min="9" max="9" width="17.5625" style="1" bestFit="1" customWidth="1"/>
    <col min="10" max="11" width="9" style="1"/>
    <col min="12" max="12" width="17.5625" style="1" bestFit="1" customWidth="1"/>
    <col min="13" max="14" width="9" style="1"/>
    <col min="15" max="15" width="17.5625" style="1" bestFit="1" customWidth="1"/>
    <col min="16" max="16384" width="9" style="1"/>
  </cols>
  <sheetData>
    <row r="1" spans="1:16" ht="17.25" thickTop="1">
      <c r="A1" s="30"/>
      <c r="B1" s="58"/>
      <c r="C1" s="58"/>
      <c r="D1" s="58" t="s">
        <v>13</v>
      </c>
      <c r="E1" s="1052" t="s">
        <v>16</v>
      </c>
      <c r="F1" s="1052"/>
      <c r="G1" s="1052"/>
      <c r="H1" s="31"/>
      <c r="I1" s="58"/>
      <c r="J1" s="58"/>
      <c r="K1" s="1153" t="s">
        <v>11</v>
      </c>
      <c r="L1" s="1153"/>
      <c r="M1" s="1153" t="s">
        <v>12</v>
      </c>
      <c r="N1" s="1153"/>
      <c r="O1" s="58"/>
      <c r="P1" s="32"/>
    </row>
    <row r="2" spans="1:16">
      <c r="A2" s="33"/>
      <c r="D2" s="1" t="s">
        <v>14</v>
      </c>
      <c r="E2" s="1053" t="s">
        <v>17</v>
      </c>
      <c r="F2" s="1053"/>
      <c r="G2" s="1053"/>
      <c r="H2" s="27"/>
      <c r="I2" s="27"/>
      <c r="K2" s="1" t="s">
        <v>8</v>
      </c>
      <c r="L2" s="1053"/>
      <c r="M2" s="1053"/>
      <c r="P2" s="62"/>
    </row>
    <row r="3" spans="1:16" ht="18" customHeight="1">
      <c r="A3" s="33"/>
      <c r="D3" s="1" t="s">
        <v>15</v>
      </c>
      <c r="E3" s="1053"/>
      <c r="F3" s="1053"/>
      <c r="G3" s="1053"/>
      <c r="H3" s="27"/>
      <c r="I3" s="27"/>
      <c r="K3" s="1" t="s">
        <v>9</v>
      </c>
      <c r="M3" s="1" t="s">
        <v>10</v>
      </c>
      <c r="P3" s="62"/>
    </row>
    <row r="4" spans="1:16" ht="18" customHeight="1" thickBot="1">
      <c r="A4" s="34"/>
      <c r="B4" s="35"/>
      <c r="C4" s="35"/>
      <c r="D4" s="35"/>
      <c r="E4" s="35"/>
      <c r="F4" s="35"/>
      <c r="G4" s="35"/>
      <c r="H4" s="36"/>
      <c r="I4" s="36"/>
      <c r="J4" s="35"/>
      <c r="K4" s="35" t="s">
        <v>36</v>
      </c>
      <c r="L4" s="1152">
        <v>768000000000</v>
      </c>
      <c r="M4" s="1152"/>
      <c r="N4" s="1152"/>
      <c r="O4" s="35"/>
      <c r="P4" s="63"/>
    </row>
    <row r="5" spans="1:16" ht="18.75" customHeight="1" thickTop="1">
      <c r="A5" s="1157" t="s">
        <v>0</v>
      </c>
      <c r="B5" s="1056" t="s">
        <v>1</v>
      </c>
      <c r="C5" s="1056" t="s">
        <v>18</v>
      </c>
      <c r="D5" s="1056" t="s">
        <v>2</v>
      </c>
      <c r="E5" s="1056" t="s">
        <v>19</v>
      </c>
      <c r="F5" s="1138" t="s">
        <v>194</v>
      </c>
      <c r="G5" s="1140" t="s">
        <v>3</v>
      </c>
      <c r="H5" s="1140"/>
      <c r="I5" s="1140"/>
      <c r="J5" s="1141" t="s">
        <v>4</v>
      </c>
      <c r="K5" s="1141"/>
      <c r="L5" s="1141"/>
      <c r="M5" s="1142" t="s">
        <v>5</v>
      </c>
      <c r="N5" s="1142"/>
      <c r="O5" s="1143"/>
      <c r="P5" s="1144" t="s">
        <v>193</v>
      </c>
    </row>
    <row r="6" spans="1:16" ht="34.15" thickBot="1">
      <c r="A6" s="1158"/>
      <c r="B6" s="1057"/>
      <c r="C6" s="1057"/>
      <c r="D6" s="1057"/>
      <c r="E6" s="1057"/>
      <c r="F6" s="1139"/>
      <c r="G6" s="2" t="s">
        <v>32</v>
      </c>
      <c r="H6" s="2" t="s">
        <v>33</v>
      </c>
      <c r="I6" s="2" t="s">
        <v>34</v>
      </c>
      <c r="J6" s="3" t="s">
        <v>32</v>
      </c>
      <c r="K6" s="3" t="s">
        <v>33</v>
      </c>
      <c r="L6" s="3" t="s">
        <v>34</v>
      </c>
      <c r="M6" s="4" t="s">
        <v>32</v>
      </c>
      <c r="N6" s="4" t="s">
        <v>33</v>
      </c>
      <c r="O6" s="20" t="s">
        <v>34</v>
      </c>
      <c r="P6" s="1145"/>
    </row>
    <row r="7" spans="1:16" ht="20.25" thickBot="1">
      <c r="A7" s="21">
        <v>1</v>
      </c>
      <c r="B7" s="39" t="s">
        <v>89</v>
      </c>
      <c r="C7" s="41" t="s">
        <v>158</v>
      </c>
      <c r="D7" s="41">
        <f t="shared" ref="D7:D14" si="0">E7*$L$4/100</f>
        <v>52912269164.300018</v>
      </c>
      <c r="E7" s="37">
        <f>'جمع بندي صورت وضعیت'!E18</f>
        <v>6.8896183807682316</v>
      </c>
      <c r="F7" s="18"/>
      <c r="G7" s="49">
        <f>(G8*$E$8+G9*$E$9+G10*$E$10+G11*$E$11+G12*$E$12+G13*$E$13+G14*$E$14)/$E$7</f>
        <v>0</v>
      </c>
      <c r="H7" s="14">
        <f>SUM(H8:H14)</f>
        <v>0</v>
      </c>
      <c r="I7" s="67">
        <f>SUM(I8:I14)</f>
        <v>0</v>
      </c>
      <c r="J7" s="51">
        <f>(J8*$E$8+J9*$E$9+J10*$E$10+J11*$E$11+J12*$E$12+J13*$E$13+J14*$E$14)/$E$7</f>
        <v>0</v>
      </c>
      <c r="K7" s="5">
        <f>SUM(K8:K14)</f>
        <v>0</v>
      </c>
      <c r="L7" s="69">
        <f>SUM(L8:L14)</f>
        <v>0</v>
      </c>
      <c r="M7" s="52">
        <f>(M8*$E$8+M9*$E$9+M10*$E$10+M11*$E$11+M12*$E$12+M13*$E$13+M14*$E$14)/$E$7</f>
        <v>0</v>
      </c>
      <c r="N7" s="9">
        <f>SUM(N8:N14)</f>
        <v>0</v>
      </c>
      <c r="O7" s="72">
        <f>SUM(O8:O14)</f>
        <v>0</v>
      </c>
      <c r="P7" s="60"/>
    </row>
    <row r="8" spans="1:16" ht="34.15" thickBot="1">
      <c r="A8" s="21">
        <v>2</v>
      </c>
      <c r="B8" s="28" t="s">
        <v>132</v>
      </c>
      <c r="C8" s="43" t="s">
        <v>160</v>
      </c>
      <c r="D8" s="42">
        <f t="shared" si="0"/>
        <v>18519294207.504997</v>
      </c>
      <c r="E8" s="38">
        <v>2.41136643326888</v>
      </c>
      <c r="F8" s="18"/>
      <c r="G8" s="54"/>
      <c r="H8" s="53">
        <f>G8*$E8</f>
        <v>0</v>
      </c>
      <c r="I8" s="67">
        <f>G8*$D8</f>
        <v>0</v>
      </c>
      <c r="J8" s="54"/>
      <c r="K8" s="5">
        <f>J8*$E8</f>
        <v>0</v>
      </c>
      <c r="L8" s="69">
        <f>J8*$D8</f>
        <v>0</v>
      </c>
      <c r="M8" s="54"/>
      <c r="N8" s="9">
        <f>M8*$E8</f>
        <v>0</v>
      </c>
      <c r="O8" s="72">
        <f>M8*$D8</f>
        <v>0</v>
      </c>
      <c r="P8" s="59"/>
    </row>
    <row r="9" spans="1:16" ht="34.15" thickBot="1">
      <c r="A9" s="21">
        <v>3</v>
      </c>
      <c r="B9" s="28" t="s">
        <v>133</v>
      </c>
      <c r="C9" s="43" t="s">
        <v>161</v>
      </c>
      <c r="D9" s="42">
        <f t="shared" si="0"/>
        <v>12169821907.788979</v>
      </c>
      <c r="E9" s="38">
        <v>1.5846122275766901</v>
      </c>
      <c r="F9" s="18"/>
      <c r="G9" s="54"/>
      <c r="H9" s="53">
        <f t="shared" ref="H9:H29" si="1">G9*E9</f>
        <v>0</v>
      </c>
      <c r="I9" s="67">
        <f t="shared" ref="I9:I29" si="2">G9*D9</f>
        <v>0</v>
      </c>
      <c r="J9" s="54"/>
      <c r="K9" s="5">
        <f t="shared" ref="K9:K14" si="3">J9*$E9</f>
        <v>0</v>
      </c>
      <c r="L9" s="69">
        <f t="shared" ref="L9:L14" si="4">J9*$D9</f>
        <v>0</v>
      </c>
      <c r="M9" s="54"/>
      <c r="N9" s="9">
        <f t="shared" ref="N9:N14" si="5">M9*$E9</f>
        <v>0</v>
      </c>
      <c r="O9" s="72">
        <f t="shared" ref="O9:O14" si="6">M9*$D9</f>
        <v>0</v>
      </c>
      <c r="P9" s="59"/>
    </row>
    <row r="10" spans="1:16" ht="17.25" thickBot="1">
      <c r="A10" s="21">
        <v>4</v>
      </c>
      <c r="B10" s="28" t="s">
        <v>134</v>
      </c>
      <c r="C10" s="44" t="s">
        <v>154</v>
      </c>
      <c r="D10" s="42">
        <f t="shared" si="0"/>
        <v>1058245383.2860032</v>
      </c>
      <c r="E10" s="38">
        <v>0.13779236761536501</v>
      </c>
      <c r="F10" s="18"/>
      <c r="G10" s="54"/>
      <c r="H10" s="53">
        <f t="shared" si="1"/>
        <v>0</v>
      </c>
      <c r="I10" s="67">
        <f t="shared" si="2"/>
        <v>0</v>
      </c>
      <c r="J10" s="54"/>
      <c r="K10" s="5">
        <f t="shared" si="3"/>
        <v>0</v>
      </c>
      <c r="L10" s="69">
        <f t="shared" si="4"/>
        <v>0</v>
      </c>
      <c r="M10" s="54"/>
      <c r="N10" s="9">
        <f t="shared" si="5"/>
        <v>0</v>
      </c>
      <c r="O10" s="72">
        <f t="shared" si="6"/>
        <v>0</v>
      </c>
      <c r="P10" s="59"/>
    </row>
    <row r="11" spans="1:16" ht="17.25" thickBot="1">
      <c r="A11" s="21">
        <v>5</v>
      </c>
      <c r="B11" s="28" t="s">
        <v>135</v>
      </c>
      <c r="C11" s="44" t="s">
        <v>155</v>
      </c>
      <c r="D11" s="42">
        <f t="shared" si="0"/>
        <v>4762104224.7870026</v>
      </c>
      <c r="E11" s="38">
        <v>0.62006565426914095</v>
      </c>
      <c r="F11" s="18"/>
      <c r="G11" s="54"/>
      <c r="H11" s="53">
        <f t="shared" si="1"/>
        <v>0</v>
      </c>
      <c r="I11" s="67">
        <f t="shared" si="2"/>
        <v>0</v>
      </c>
      <c r="J11" s="54"/>
      <c r="K11" s="5">
        <f t="shared" si="3"/>
        <v>0</v>
      </c>
      <c r="L11" s="69">
        <f t="shared" si="4"/>
        <v>0</v>
      </c>
      <c r="M11" s="54"/>
      <c r="N11" s="9">
        <f t="shared" si="5"/>
        <v>0</v>
      </c>
      <c r="O11" s="72">
        <f t="shared" si="6"/>
        <v>0</v>
      </c>
      <c r="P11" s="59"/>
    </row>
    <row r="12" spans="1:16" ht="76.5" customHeight="1" thickBot="1">
      <c r="A12" s="21">
        <v>6</v>
      </c>
      <c r="B12" s="28" t="s">
        <v>136</v>
      </c>
      <c r="C12" s="43" t="s">
        <v>159</v>
      </c>
      <c r="D12" s="42">
        <f t="shared" si="0"/>
        <v>10582453832.860031</v>
      </c>
      <c r="E12" s="38">
        <v>1.37792367615365</v>
      </c>
      <c r="F12" s="18"/>
      <c r="G12" s="54"/>
      <c r="H12" s="53">
        <f t="shared" si="1"/>
        <v>0</v>
      </c>
      <c r="I12" s="67">
        <f t="shared" si="2"/>
        <v>0</v>
      </c>
      <c r="J12" s="54"/>
      <c r="K12" s="5">
        <f t="shared" si="3"/>
        <v>0</v>
      </c>
      <c r="L12" s="69">
        <f t="shared" si="4"/>
        <v>0</v>
      </c>
      <c r="M12" s="54"/>
      <c r="N12" s="9">
        <f t="shared" si="5"/>
        <v>0</v>
      </c>
      <c r="O12" s="72">
        <f t="shared" si="6"/>
        <v>0</v>
      </c>
      <c r="P12" s="59"/>
    </row>
    <row r="13" spans="1:16" ht="17.25" thickBot="1">
      <c r="A13" s="21">
        <v>7</v>
      </c>
      <c r="B13" s="28" t="s">
        <v>137</v>
      </c>
      <c r="C13" s="44" t="s">
        <v>156</v>
      </c>
      <c r="D13" s="42">
        <f t="shared" si="0"/>
        <v>4762104224.7870026</v>
      </c>
      <c r="E13" s="38">
        <v>0.62006565426914095</v>
      </c>
      <c r="F13" s="18"/>
      <c r="G13" s="54"/>
      <c r="H13" s="53">
        <f t="shared" si="1"/>
        <v>0</v>
      </c>
      <c r="I13" s="67">
        <f t="shared" si="2"/>
        <v>0</v>
      </c>
      <c r="J13" s="54"/>
      <c r="K13" s="5">
        <f t="shared" si="3"/>
        <v>0</v>
      </c>
      <c r="L13" s="69">
        <f t="shared" si="4"/>
        <v>0</v>
      </c>
      <c r="M13" s="54"/>
      <c r="N13" s="9">
        <f t="shared" si="5"/>
        <v>0</v>
      </c>
      <c r="O13" s="72">
        <f t="shared" si="6"/>
        <v>0</v>
      </c>
      <c r="P13" s="59"/>
    </row>
    <row r="14" spans="1:16" ht="17.25" thickBot="1">
      <c r="A14" s="21">
        <v>8</v>
      </c>
      <c r="B14" s="28" t="s">
        <v>138</v>
      </c>
      <c r="C14" s="44" t="s">
        <v>157</v>
      </c>
      <c r="D14" s="42">
        <f t="shared" si="0"/>
        <v>1058245383.2860032</v>
      </c>
      <c r="E14" s="40">
        <v>0.13779236761536501</v>
      </c>
      <c r="F14" s="18"/>
      <c r="G14" s="54"/>
      <c r="H14" s="53">
        <f t="shared" si="1"/>
        <v>0</v>
      </c>
      <c r="I14" s="67">
        <f t="shared" si="2"/>
        <v>0</v>
      </c>
      <c r="J14" s="54"/>
      <c r="K14" s="5">
        <f t="shared" si="3"/>
        <v>0</v>
      </c>
      <c r="L14" s="69">
        <f t="shared" si="4"/>
        <v>0</v>
      </c>
      <c r="M14" s="54"/>
      <c r="N14" s="9">
        <f t="shared" si="5"/>
        <v>0</v>
      </c>
      <c r="O14" s="72">
        <f t="shared" si="6"/>
        <v>0</v>
      </c>
      <c r="P14" s="59"/>
    </row>
    <row r="15" spans="1:16" ht="17.25" hidden="1" thickBot="1">
      <c r="A15" s="21">
        <v>11</v>
      </c>
      <c r="B15" s="28" t="s">
        <v>139</v>
      </c>
      <c r="C15" s="18"/>
      <c r="D15" s="18"/>
      <c r="E15" s="18"/>
      <c r="F15" s="18"/>
      <c r="G15" s="13"/>
      <c r="H15" s="14">
        <f t="shared" si="1"/>
        <v>0</v>
      </c>
      <c r="I15" s="14">
        <f t="shared" si="2"/>
        <v>0</v>
      </c>
      <c r="J15" s="5"/>
      <c r="K15" s="6">
        <f t="shared" ref="K15:K29" si="7">J15*E15</f>
        <v>0</v>
      </c>
      <c r="L15" s="6">
        <f t="shared" ref="L15:L29" si="8">J15*D15</f>
        <v>0</v>
      </c>
      <c r="M15" s="9"/>
      <c r="N15" s="10">
        <f t="shared" ref="N15:N29" si="9">M15*E15</f>
        <v>0</v>
      </c>
      <c r="O15" s="22">
        <f t="shared" ref="O15:O29" si="10">M15*D15</f>
        <v>0</v>
      </c>
    </row>
    <row r="16" spans="1:16" ht="17.25" hidden="1" thickBot="1">
      <c r="A16" s="21">
        <v>12</v>
      </c>
      <c r="B16" s="28" t="s">
        <v>140</v>
      </c>
      <c r="C16" s="18"/>
      <c r="D16" s="18"/>
      <c r="E16" s="18"/>
      <c r="F16" s="18"/>
      <c r="G16" s="13"/>
      <c r="H16" s="14">
        <f t="shared" si="1"/>
        <v>0</v>
      </c>
      <c r="I16" s="14">
        <f t="shared" si="2"/>
        <v>0</v>
      </c>
      <c r="J16" s="5"/>
      <c r="K16" s="6">
        <f t="shared" si="7"/>
        <v>0</v>
      </c>
      <c r="L16" s="6">
        <f t="shared" si="8"/>
        <v>0</v>
      </c>
      <c r="M16" s="9"/>
      <c r="N16" s="10">
        <f t="shared" si="9"/>
        <v>0</v>
      </c>
      <c r="O16" s="22">
        <f t="shared" si="10"/>
        <v>0</v>
      </c>
    </row>
    <row r="17" spans="1:16" ht="17.25" hidden="1" thickBot="1">
      <c r="A17" s="21">
        <v>13</v>
      </c>
      <c r="B17" s="28" t="s">
        <v>141</v>
      </c>
      <c r="C17" s="18"/>
      <c r="D17" s="18"/>
      <c r="E17" s="18"/>
      <c r="F17" s="18"/>
      <c r="G17" s="13"/>
      <c r="H17" s="14">
        <f t="shared" si="1"/>
        <v>0</v>
      </c>
      <c r="I17" s="14">
        <f t="shared" si="2"/>
        <v>0</v>
      </c>
      <c r="J17" s="5"/>
      <c r="K17" s="6">
        <f t="shared" si="7"/>
        <v>0</v>
      </c>
      <c r="L17" s="6">
        <f t="shared" si="8"/>
        <v>0</v>
      </c>
      <c r="M17" s="9"/>
      <c r="N17" s="10">
        <f t="shared" si="9"/>
        <v>0</v>
      </c>
      <c r="O17" s="22">
        <f t="shared" si="10"/>
        <v>0</v>
      </c>
    </row>
    <row r="18" spans="1:16" ht="17.25" hidden="1" thickBot="1">
      <c r="A18" s="21">
        <v>14</v>
      </c>
      <c r="B18" s="28" t="s">
        <v>142</v>
      </c>
      <c r="C18" s="18"/>
      <c r="D18" s="18"/>
      <c r="E18" s="18"/>
      <c r="F18" s="18"/>
      <c r="G18" s="13"/>
      <c r="H18" s="14">
        <f t="shared" si="1"/>
        <v>0</v>
      </c>
      <c r="I18" s="14">
        <f t="shared" si="2"/>
        <v>0</v>
      </c>
      <c r="J18" s="5"/>
      <c r="K18" s="6">
        <f t="shared" si="7"/>
        <v>0</v>
      </c>
      <c r="L18" s="6">
        <f t="shared" si="8"/>
        <v>0</v>
      </c>
      <c r="M18" s="9"/>
      <c r="N18" s="10">
        <f t="shared" si="9"/>
        <v>0</v>
      </c>
      <c r="O18" s="22">
        <f t="shared" si="10"/>
        <v>0</v>
      </c>
    </row>
    <row r="19" spans="1:16" ht="17.25" hidden="1" thickBot="1">
      <c r="A19" s="21">
        <v>15</v>
      </c>
      <c r="B19" s="28" t="s">
        <v>143</v>
      </c>
      <c r="C19" s="18"/>
      <c r="D19" s="18"/>
      <c r="E19" s="18"/>
      <c r="F19" s="18"/>
      <c r="G19" s="13"/>
      <c r="H19" s="14">
        <f t="shared" si="1"/>
        <v>0</v>
      </c>
      <c r="I19" s="14">
        <f t="shared" si="2"/>
        <v>0</v>
      </c>
      <c r="J19" s="5"/>
      <c r="K19" s="6">
        <f t="shared" si="7"/>
        <v>0</v>
      </c>
      <c r="L19" s="6">
        <f t="shared" si="8"/>
        <v>0</v>
      </c>
      <c r="M19" s="9"/>
      <c r="N19" s="10">
        <f t="shared" si="9"/>
        <v>0</v>
      </c>
      <c r="O19" s="22">
        <f t="shared" si="10"/>
        <v>0</v>
      </c>
    </row>
    <row r="20" spans="1:16" ht="17.25" hidden="1" thickBot="1">
      <c r="A20" s="21">
        <v>16</v>
      </c>
      <c r="B20" s="28" t="s">
        <v>144</v>
      </c>
      <c r="C20" s="18"/>
      <c r="D20" s="18"/>
      <c r="E20" s="18"/>
      <c r="F20" s="18"/>
      <c r="G20" s="13"/>
      <c r="H20" s="14">
        <f t="shared" si="1"/>
        <v>0</v>
      </c>
      <c r="I20" s="14">
        <f t="shared" si="2"/>
        <v>0</v>
      </c>
      <c r="J20" s="5"/>
      <c r="K20" s="6">
        <f t="shared" si="7"/>
        <v>0</v>
      </c>
      <c r="L20" s="6">
        <f t="shared" si="8"/>
        <v>0</v>
      </c>
      <c r="M20" s="9"/>
      <c r="N20" s="10">
        <f t="shared" si="9"/>
        <v>0</v>
      </c>
      <c r="O20" s="22">
        <f t="shared" si="10"/>
        <v>0</v>
      </c>
    </row>
    <row r="21" spans="1:16" ht="17.25" hidden="1" thickBot="1">
      <c r="A21" s="21">
        <v>17</v>
      </c>
      <c r="B21" s="28" t="s">
        <v>145</v>
      </c>
      <c r="C21" s="18"/>
      <c r="D21" s="18"/>
      <c r="E21" s="18"/>
      <c r="F21" s="18"/>
      <c r="G21" s="13"/>
      <c r="H21" s="14">
        <f t="shared" si="1"/>
        <v>0</v>
      </c>
      <c r="I21" s="14">
        <f t="shared" si="2"/>
        <v>0</v>
      </c>
      <c r="J21" s="5"/>
      <c r="K21" s="6">
        <f t="shared" si="7"/>
        <v>0</v>
      </c>
      <c r="L21" s="6">
        <f t="shared" si="8"/>
        <v>0</v>
      </c>
      <c r="M21" s="9"/>
      <c r="N21" s="10">
        <f t="shared" si="9"/>
        <v>0</v>
      </c>
      <c r="O21" s="22">
        <f t="shared" si="10"/>
        <v>0</v>
      </c>
    </row>
    <row r="22" spans="1:16" ht="17.25" hidden="1" thickBot="1">
      <c r="A22" s="21">
        <v>18</v>
      </c>
      <c r="B22" s="28" t="s">
        <v>146</v>
      </c>
      <c r="C22" s="18"/>
      <c r="D22" s="18"/>
      <c r="E22" s="18"/>
      <c r="F22" s="18"/>
      <c r="G22" s="13"/>
      <c r="H22" s="14">
        <f t="shared" si="1"/>
        <v>0</v>
      </c>
      <c r="I22" s="14">
        <f t="shared" si="2"/>
        <v>0</v>
      </c>
      <c r="J22" s="5"/>
      <c r="K22" s="6">
        <f t="shared" si="7"/>
        <v>0</v>
      </c>
      <c r="L22" s="6">
        <f t="shared" si="8"/>
        <v>0</v>
      </c>
      <c r="M22" s="9"/>
      <c r="N22" s="10">
        <f t="shared" si="9"/>
        <v>0</v>
      </c>
      <c r="O22" s="22">
        <f t="shared" si="10"/>
        <v>0</v>
      </c>
    </row>
    <row r="23" spans="1:16" ht="17.25" hidden="1" thickBot="1">
      <c r="A23" s="21">
        <v>19</v>
      </c>
      <c r="B23" s="28" t="s">
        <v>147</v>
      </c>
      <c r="C23" s="18"/>
      <c r="D23" s="18"/>
      <c r="E23" s="18"/>
      <c r="F23" s="18"/>
      <c r="G23" s="13"/>
      <c r="H23" s="14">
        <f t="shared" si="1"/>
        <v>0</v>
      </c>
      <c r="I23" s="14">
        <f t="shared" si="2"/>
        <v>0</v>
      </c>
      <c r="J23" s="5"/>
      <c r="K23" s="6">
        <f t="shared" si="7"/>
        <v>0</v>
      </c>
      <c r="L23" s="6">
        <f t="shared" si="8"/>
        <v>0</v>
      </c>
      <c r="M23" s="9"/>
      <c r="N23" s="10">
        <f t="shared" si="9"/>
        <v>0</v>
      </c>
      <c r="O23" s="22">
        <f t="shared" si="10"/>
        <v>0</v>
      </c>
    </row>
    <row r="24" spans="1:16" ht="17.25" hidden="1" thickBot="1">
      <c r="A24" s="21">
        <v>20</v>
      </c>
      <c r="B24" s="28" t="s">
        <v>148</v>
      </c>
      <c r="C24" s="18"/>
      <c r="D24" s="18"/>
      <c r="E24" s="18"/>
      <c r="F24" s="18"/>
      <c r="G24" s="13"/>
      <c r="H24" s="14">
        <f t="shared" si="1"/>
        <v>0</v>
      </c>
      <c r="I24" s="14">
        <f t="shared" si="2"/>
        <v>0</v>
      </c>
      <c r="J24" s="5"/>
      <c r="K24" s="6">
        <f t="shared" si="7"/>
        <v>0</v>
      </c>
      <c r="L24" s="6">
        <f t="shared" si="8"/>
        <v>0</v>
      </c>
      <c r="M24" s="9"/>
      <c r="N24" s="10">
        <f t="shared" si="9"/>
        <v>0</v>
      </c>
      <c r="O24" s="22">
        <f t="shared" si="10"/>
        <v>0</v>
      </c>
    </row>
    <row r="25" spans="1:16" ht="17.25" hidden="1" thickBot="1">
      <c r="A25" s="21">
        <v>21</v>
      </c>
      <c r="B25" s="28" t="s">
        <v>149</v>
      </c>
      <c r="C25" s="18"/>
      <c r="D25" s="18"/>
      <c r="E25" s="18"/>
      <c r="F25" s="18"/>
      <c r="G25" s="13"/>
      <c r="H25" s="14">
        <f t="shared" si="1"/>
        <v>0</v>
      </c>
      <c r="I25" s="14">
        <f t="shared" si="2"/>
        <v>0</v>
      </c>
      <c r="J25" s="5"/>
      <c r="K25" s="6">
        <f t="shared" si="7"/>
        <v>0</v>
      </c>
      <c r="L25" s="6">
        <f t="shared" si="8"/>
        <v>0</v>
      </c>
      <c r="M25" s="9"/>
      <c r="N25" s="10">
        <f t="shared" si="9"/>
        <v>0</v>
      </c>
      <c r="O25" s="22">
        <f t="shared" si="10"/>
        <v>0</v>
      </c>
    </row>
    <row r="26" spans="1:16" ht="17.25" hidden="1" thickBot="1">
      <c r="A26" s="21">
        <v>22</v>
      </c>
      <c r="B26" s="28" t="s">
        <v>150</v>
      </c>
      <c r="C26" s="18"/>
      <c r="D26" s="18"/>
      <c r="E26" s="18"/>
      <c r="F26" s="18"/>
      <c r="G26" s="13"/>
      <c r="H26" s="14">
        <f t="shared" si="1"/>
        <v>0</v>
      </c>
      <c r="I26" s="14">
        <f t="shared" si="2"/>
        <v>0</v>
      </c>
      <c r="J26" s="5"/>
      <c r="K26" s="6">
        <f t="shared" si="7"/>
        <v>0</v>
      </c>
      <c r="L26" s="6">
        <f t="shared" si="8"/>
        <v>0</v>
      </c>
      <c r="M26" s="9"/>
      <c r="N26" s="10">
        <f t="shared" si="9"/>
        <v>0</v>
      </c>
      <c r="O26" s="22">
        <f t="shared" si="10"/>
        <v>0</v>
      </c>
    </row>
    <row r="27" spans="1:16" ht="17.25" hidden="1" thickBot="1">
      <c r="A27" s="21">
        <v>23</v>
      </c>
      <c r="B27" s="28" t="s">
        <v>151</v>
      </c>
      <c r="C27" s="18"/>
      <c r="D27" s="18"/>
      <c r="E27" s="18"/>
      <c r="F27" s="18"/>
      <c r="G27" s="13"/>
      <c r="H27" s="14">
        <f t="shared" si="1"/>
        <v>0</v>
      </c>
      <c r="I27" s="14">
        <f t="shared" si="2"/>
        <v>0</v>
      </c>
      <c r="J27" s="5"/>
      <c r="K27" s="6">
        <f t="shared" si="7"/>
        <v>0</v>
      </c>
      <c r="L27" s="6">
        <f t="shared" si="8"/>
        <v>0</v>
      </c>
      <c r="M27" s="9"/>
      <c r="N27" s="10">
        <f t="shared" si="9"/>
        <v>0</v>
      </c>
      <c r="O27" s="22">
        <f t="shared" si="10"/>
        <v>0</v>
      </c>
    </row>
    <row r="28" spans="1:16" ht="17.25" hidden="1" thickBot="1">
      <c r="A28" s="21">
        <v>24</v>
      </c>
      <c r="B28" s="28" t="s">
        <v>152</v>
      </c>
      <c r="C28" s="18"/>
      <c r="D28" s="18"/>
      <c r="E28" s="18"/>
      <c r="F28" s="18"/>
      <c r="G28" s="13"/>
      <c r="H28" s="14">
        <f t="shared" si="1"/>
        <v>0</v>
      </c>
      <c r="I28" s="14">
        <f t="shared" si="2"/>
        <v>0</v>
      </c>
      <c r="J28" s="5"/>
      <c r="K28" s="6">
        <f t="shared" si="7"/>
        <v>0</v>
      </c>
      <c r="L28" s="6">
        <f t="shared" si="8"/>
        <v>0</v>
      </c>
      <c r="M28" s="9"/>
      <c r="N28" s="10">
        <f t="shared" si="9"/>
        <v>0</v>
      </c>
      <c r="O28" s="22">
        <f t="shared" si="10"/>
        <v>0</v>
      </c>
    </row>
    <row r="29" spans="1:16" ht="17.25" hidden="1" thickBot="1">
      <c r="A29" s="21">
        <v>25</v>
      </c>
      <c r="B29" s="28" t="s">
        <v>153</v>
      </c>
      <c r="C29" s="19"/>
      <c r="D29" s="19"/>
      <c r="E29" s="19"/>
      <c r="F29" s="19"/>
      <c r="G29" s="15"/>
      <c r="H29" s="16">
        <f t="shared" si="1"/>
        <v>0</v>
      </c>
      <c r="I29" s="16">
        <f t="shared" si="2"/>
        <v>0</v>
      </c>
      <c r="J29" s="7"/>
      <c r="K29" s="8">
        <f t="shared" si="7"/>
        <v>0</v>
      </c>
      <c r="L29" s="8">
        <f t="shared" si="8"/>
        <v>0</v>
      </c>
      <c r="M29" s="11"/>
      <c r="N29" s="12">
        <f t="shared" si="9"/>
        <v>0</v>
      </c>
      <c r="O29" s="23">
        <f t="shared" si="10"/>
        <v>0</v>
      </c>
    </row>
    <row r="30" spans="1:16" ht="18" customHeight="1">
      <c r="A30" s="1154" t="s">
        <v>7</v>
      </c>
      <c r="B30" s="1039"/>
      <c r="C30" s="1039"/>
      <c r="D30" s="1039"/>
      <c r="E30" s="1039"/>
      <c r="F30" s="1040"/>
      <c r="G30" s="1038" t="s">
        <v>6</v>
      </c>
      <c r="H30" s="1039"/>
      <c r="I30" s="1039"/>
      <c r="J30" s="1039"/>
      <c r="K30" s="1040"/>
      <c r="L30" s="1146" t="s">
        <v>5</v>
      </c>
      <c r="M30" s="1147"/>
      <c r="N30" s="1147"/>
      <c r="O30" s="1147"/>
      <c r="P30" s="1148"/>
    </row>
    <row r="31" spans="1:16">
      <c r="A31" s="1155"/>
      <c r="B31" s="1042"/>
      <c r="C31" s="1042"/>
      <c r="D31" s="1042"/>
      <c r="E31" s="1042"/>
      <c r="F31" s="1043"/>
      <c r="G31" s="1041"/>
      <c r="H31" s="1042"/>
      <c r="I31" s="1042"/>
      <c r="J31" s="1042"/>
      <c r="K31" s="1043"/>
      <c r="L31" s="1146"/>
      <c r="M31" s="1147"/>
      <c r="N31" s="1147"/>
      <c r="O31" s="1147"/>
      <c r="P31" s="1148"/>
    </row>
    <row r="32" spans="1:16">
      <c r="A32" s="1155"/>
      <c r="B32" s="1042"/>
      <c r="C32" s="1042"/>
      <c r="D32" s="1042"/>
      <c r="E32" s="1042"/>
      <c r="F32" s="1043"/>
      <c r="G32" s="1041"/>
      <c r="H32" s="1042"/>
      <c r="I32" s="1042"/>
      <c r="J32" s="1042"/>
      <c r="K32" s="1043"/>
      <c r="L32" s="1146"/>
      <c r="M32" s="1147"/>
      <c r="N32" s="1147"/>
      <c r="O32" s="1147"/>
      <c r="P32" s="1148"/>
    </row>
    <row r="33" spans="1:16" ht="17.25" thickBot="1">
      <c r="A33" s="1156"/>
      <c r="B33" s="1045"/>
      <c r="C33" s="1045"/>
      <c r="D33" s="1045"/>
      <c r="E33" s="1045"/>
      <c r="F33" s="1046"/>
      <c r="G33" s="1044"/>
      <c r="H33" s="1045"/>
      <c r="I33" s="1045"/>
      <c r="J33" s="1045"/>
      <c r="K33" s="1046"/>
      <c r="L33" s="1149"/>
      <c r="M33" s="1150"/>
      <c r="N33" s="1150"/>
      <c r="O33" s="1150"/>
      <c r="P33" s="1151"/>
    </row>
    <row r="34" spans="1:16" ht="17.25" thickTop="1">
      <c r="A34" s="24"/>
      <c r="B34" s="24"/>
      <c r="C34" s="24"/>
      <c r="D34" s="24"/>
      <c r="E34" s="24"/>
      <c r="F34" s="24"/>
      <c r="G34" s="25"/>
      <c r="H34" s="25"/>
      <c r="I34" s="25"/>
      <c r="J34" s="25"/>
      <c r="K34" s="25"/>
      <c r="L34" s="26"/>
      <c r="M34" s="26"/>
      <c r="N34" s="26"/>
      <c r="O34" s="26"/>
    </row>
  </sheetData>
  <mergeCells count="20">
    <mergeCell ref="L30:P33"/>
    <mergeCell ref="L4:N4"/>
    <mergeCell ref="E1:G1"/>
    <mergeCell ref="K1:L1"/>
    <mergeCell ref="M1:N1"/>
    <mergeCell ref="E2:G2"/>
    <mergeCell ref="L2:M2"/>
    <mergeCell ref="E3:G3"/>
    <mergeCell ref="A30:F33"/>
    <mergeCell ref="G30:K33"/>
    <mergeCell ref="A5:A6"/>
    <mergeCell ref="B5:B6"/>
    <mergeCell ref="C5:C6"/>
    <mergeCell ref="D5:D6"/>
    <mergeCell ref="E5:E6"/>
    <mergeCell ref="F5:F6"/>
    <mergeCell ref="G5:I5"/>
    <mergeCell ref="J5:L5"/>
    <mergeCell ref="M5:O5"/>
    <mergeCell ref="P5:P6"/>
  </mergeCells>
  <printOptions horizontalCentered="1"/>
  <pageMargins left="0" right="0" top="0" bottom="0" header="0" footer="0"/>
  <pageSetup paperSize="9" scale="90" orientation="landscape" verticalDpi="0" r:id="rId1"/>
  <drawing r:id="rId2"/>
  <legacyDrawing r:id="rId3"/>
  <oleObjects>
    <mc:AlternateContent xmlns:mc="http://schemas.openxmlformats.org/markup-compatibility/2006">
      <mc:Choice Requires="x14">
        <oleObject progId="PBrush" shapeId="9217" r:id="rId4">
          <objectPr defaultSize="0" autoPict="0" r:id="rId5">
            <anchor moveWithCells="1" sizeWithCells="1">
              <from>
                <xdr:col>2</xdr:col>
                <xdr:colOff>1552575</xdr:colOff>
                <xdr:row>0</xdr:row>
                <xdr:rowOff>133350</xdr:rowOff>
              </from>
              <to>
                <xdr:col>2</xdr:col>
                <xdr:colOff>2076450</xdr:colOff>
                <xdr:row>2</xdr:row>
                <xdr:rowOff>9525</xdr:rowOff>
              </to>
            </anchor>
          </objectPr>
        </oleObject>
      </mc:Choice>
      <mc:Fallback>
        <oleObject progId="PBrush" shapeId="9217" r:id="rId4"/>
      </mc:Fallback>
    </mc:AlternateContent>
    <mc:AlternateContent xmlns:mc="http://schemas.openxmlformats.org/markup-compatibility/2006">
      <mc:Choice Requires="x14">
        <oleObject progId="PBrush" shapeId="9218" r:id="rId6">
          <objectPr defaultSize="0" autoPict="0" r:id="rId7">
            <anchor moveWithCells="1" sizeWithCells="1">
              <from>
                <xdr:col>2</xdr:col>
                <xdr:colOff>2171700</xdr:colOff>
                <xdr:row>0</xdr:row>
                <xdr:rowOff>123825</xdr:rowOff>
              </from>
              <to>
                <xdr:col>2</xdr:col>
                <xdr:colOff>2724150</xdr:colOff>
                <xdr:row>2</xdr:row>
                <xdr:rowOff>0</xdr:rowOff>
              </to>
            </anchor>
          </objectPr>
        </oleObject>
      </mc:Choice>
      <mc:Fallback>
        <oleObject progId="PBrush" shapeId="9218" r:id="rId6"/>
      </mc:Fallback>
    </mc:AlternateContent>
    <mc:AlternateContent xmlns:mc="http://schemas.openxmlformats.org/markup-compatibility/2006">
      <mc:Choice Requires="x14">
        <oleObject progId="PBrush" shapeId="9219" r:id="rId8">
          <objectPr defaultSize="0" autoPict="0" r:id="rId9">
            <anchor moveWithCells="1" sizeWithCells="1">
              <from>
                <xdr:col>2</xdr:col>
                <xdr:colOff>1609725</xdr:colOff>
                <xdr:row>2</xdr:row>
                <xdr:rowOff>76200</xdr:rowOff>
              </from>
              <to>
                <xdr:col>2</xdr:col>
                <xdr:colOff>2009775</xdr:colOff>
                <xdr:row>3</xdr:row>
                <xdr:rowOff>171450</xdr:rowOff>
              </to>
            </anchor>
          </objectPr>
        </oleObject>
      </mc:Choice>
      <mc:Fallback>
        <oleObject progId="PBrush" shapeId="9219" r:id="rId8"/>
      </mc:Fallback>
    </mc:AlternateContent>
    <mc:AlternateContent xmlns:mc="http://schemas.openxmlformats.org/markup-compatibility/2006">
      <mc:Choice Requires="x14">
        <oleObject progId="PBrush" shapeId="9220" r:id="rId10">
          <objectPr defaultSize="0" autoPict="0" r:id="rId11">
            <anchor moveWithCells="1" sizeWithCells="1">
              <from>
                <xdr:col>2</xdr:col>
                <xdr:colOff>2190750</xdr:colOff>
                <xdr:row>2</xdr:row>
                <xdr:rowOff>76200</xdr:rowOff>
              </from>
              <to>
                <xdr:col>2</xdr:col>
                <xdr:colOff>2667000</xdr:colOff>
                <xdr:row>3</xdr:row>
                <xdr:rowOff>171450</xdr:rowOff>
              </to>
            </anchor>
          </objectPr>
        </oleObject>
      </mc:Choice>
      <mc:Fallback>
        <oleObject progId="PBrush" shapeId="9220" r:id="rId10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R34"/>
  <sheetViews>
    <sheetView rightToLeft="1" tabSelected="1" view="pageBreakPreview" zoomScale="70" zoomScaleNormal="85" zoomScaleSheetLayoutView="70" workbookViewId="0">
      <selection activeCell="L7" sqref="L7"/>
    </sheetView>
  </sheetViews>
  <sheetFormatPr defaultColWidth="9" defaultRowHeight="21.4"/>
  <cols>
    <col min="1" max="1" width="6" style="1" customWidth="1"/>
    <col min="2" max="2" width="9.3125" style="1" customWidth="1"/>
    <col min="3" max="3" width="33.6875" style="1" customWidth="1"/>
    <col min="4" max="4" width="20.875" style="187" customWidth="1"/>
    <col min="5" max="5" width="12" style="1" customWidth="1"/>
    <col min="6" max="6" width="7.5625" style="1" customWidth="1"/>
    <col min="7" max="7" width="10.4375" style="1" customWidth="1"/>
    <col min="8" max="8" width="13.3125" style="1" customWidth="1"/>
    <col min="9" max="9" width="22.125" style="187" bestFit="1" customWidth="1"/>
    <col min="10" max="10" width="11.4375" style="1" customWidth="1"/>
    <col min="11" max="11" width="11.125" style="1" customWidth="1"/>
    <col min="12" max="12" width="20.875" style="187" customWidth="1"/>
    <col min="13" max="14" width="12.125" style="1" customWidth="1"/>
    <col min="15" max="15" width="15.4375" style="175" customWidth="1"/>
    <col min="16" max="16" width="8.3125" style="1" customWidth="1"/>
    <col min="17" max="17" width="22" style="1" bestFit="1" customWidth="1"/>
    <col min="18" max="18" width="20.125" style="1" bestFit="1" customWidth="1"/>
    <col min="19" max="19" width="15" style="1" bestFit="1" customWidth="1"/>
    <col min="20" max="16384" width="9" style="1"/>
  </cols>
  <sheetData>
    <row r="1" spans="1:18" ht="20.100000000000001" customHeight="1">
      <c r="A1" s="27"/>
      <c r="B1" s="27"/>
      <c r="C1" s="27"/>
      <c r="D1" s="135" t="s">
        <v>13</v>
      </c>
      <c r="E1" s="137" t="s">
        <v>435</v>
      </c>
      <c r="F1" s="172"/>
      <c r="G1" s="173"/>
      <c r="H1" s="173"/>
      <c r="I1" s="188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8" ht="20.100000000000001" customHeight="1">
      <c r="A2" s="27"/>
      <c r="B2" s="27"/>
      <c r="C2" s="27"/>
      <c r="D2" s="135" t="s">
        <v>14</v>
      </c>
      <c r="E2" s="137" t="s">
        <v>17</v>
      </c>
      <c r="F2" s="172"/>
      <c r="G2" s="173"/>
      <c r="H2" s="173"/>
      <c r="I2" s="188"/>
      <c r="J2" s="1079"/>
      <c r="K2" s="1079"/>
      <c r="L2" s="999"/>
      <c r="M2" s="999"/>
      <c r="N2" s="999"/>
      <c r="O2" s="999"/>
      <c r="P2" s="999"/>
    </row>
    <row r="3" spans="1:18" ht="39.950000000000003" customHeight="1">
      <c r="A3" s="27"/>
      <c r="B3" s="27"/>
      <c r="C3" s="27"/>
      <c r="D3" s="135" t="s">
        <v>195</v>
      </c>
      <c r="E3" s="137" t="s">
        <v>443</v>
      </c>
      <c r="F3" s="172"/>
      <c r="G3" s="173"/>
      <c r="H3" s="173"/>
      <c r="I3" s="189"/>
      <c r="J3" s="1079" t="s">
        <v>498</v>
      </c>
      <c r="K3" s="1079"/>
      <c r="L3" s="1126" t="s">
        <v>442</v>
      </c>
      <c r="M3" s="1126"/>
      <c r="N3" s="1126"/>
      <c r="O3" s="1126"/>
      <c r="P3" s="1126"/>
    </row>
    <row r="4" spans="1:18" ht="24.95" customHeight="1">
      <c r="A4" s="27"/>
      <c r="B4" s="27"/>
      <c r="C4" s="27"/>
      <c r="D4" s="135" t="s">
        <v>437</v>
      </c>
      <c r="E4" s="1106" t="str">
        <f>'خلاصه مالي صورت وضعیت'!E4</f>
        <v>موقت 16</v>
      </c>
      <c r="F4" s="1106"/>
      <c r="G4" s="1106"/>
      <c r="H4" s="1106"/>
      <c r="I4" s="188"/>
      <c r="J4" s="1079" t="s">
        <v>440</v>
      </c>
      <c r="K4" s="1079"/>
      <c r="L4" s="1127">
        <f>'خلاصه مالي صورت وضعیت'!G4:G5</f>
        <v>1197477151532</v>
      </c>
      <c r="M4" s="1127"/>
      <c r="N4" s="1127"/>
      <c r="P4" s="153"/>
    </row>
    <row r="5" spans="1:18" ht="24.95" customHeight="1">
      <c r="A5" s="27"/>
      <c r="B5" s="27"/>
      <c r="C5" s="27"/>
      <c r="D5" s="141" t="s">
        <v>438</v>
      </c>
      <c r="E5" s="1107" t="str">
        <f>'خلاصه مالي صورت وضعیت'!E5</f>
        <v>1403/06/10</v>
      </c>
      <c r="F5" s="1107"/>
      <c r="G5" s="1107"/>
      <c r="H5" s="1107"/>
      <c r="I5" s="188"/>
      <c r="J5" s="1080"/>
      <c r="K5" s="1080"/>
      <c r="L5" s="1128"/>
      <c r="M5" s="1128"/>
      <c r="N5" s="1128"/>
      <c r="O5" s="184"/>
      <c r="P5" s="153"/>
    </row>
    <row r="6" spans="1:18" ht="18" customHeight="1">
      <c r="A6" s="1159" t="s">
        <v>0</v>
      </c>
      <c r="B6" s="1160" t="s">
        <v>1</v>
      </c>
      <c r="C6" s="1161" t="s">
        <v>470</v>
      </c>
      <c r="D6" s="1162" t="s">
        <v>2</v>
      </c>
      <c r="E6" s="1163" t="s">
        <v>497</v>
      </c>
      <c r="F6" s="1163" t="s">
        <v>205</v>
      </c>
      <c r="G6" s="1164" t="s">
        <v>3</v>
      </c>
      <c r="H6" s="1164"/>
      <c r="I6" s="1164"/>
      <c r="J6" s="1166" t="s">
        <v>464</v>
      </c>
      <c r="K6" s="1166"/>
      <c r="L6" s="1166"/>
      <c r="M6" s="1167" t="s">
        <v>5</v>
      </c>
      <c r="N6" s="1167"/>
      <c r="O6" s="1167"/>
      <c r="P6" s="1165" t="s">
        <v>193</v>
      </c>
    </row>
    <row r="7" spans="1:18" ht="59.65">
      <c r="A7" s="1159"/>
      <c r="B7" s="1160"/>
      <c r="C7" s="1085"/>
      <c r="D7" s="1162"/>
      <c r="E7" s="1163"/>
      <c r="F7" s="1163"/>
      <c r="G7" s="631" t="s">
        <v>203</v>
      </c>
      <c r="H7" s="631" t="s">
        <v>33</v>
      </c>
      <c r="I7" s="632" t="s">
        <v>34</v>
      </c>
      <c r="J7" s="633" t="s">
        <v>204</v>
      </c>
      <c r="K7" s="633" t="s">
        <v>33</v>
      </c>
      <c r="L7" s="634" t="s">
        <v>34</v>
      </c>
      <c r="M7" s="635" t="s">
        <v>204</v>
      </c>
      <c r="N7" s="635" t="s">
        <v>33</v>
      </c>
      <c r="O7" s="636" t="s">
        <v>34</v>
      </c>
      <c r="P7" s="1165"/>
    </row>
    <row r="8" spans="1:18" s="295" customFormat="1" ht="24.75" customHeight="1" thickBot="1">
      <c r="A8" s="618">
        <v>1</v>
      </c>
      <c r="B8" s="619">
        <v>1.5</v>
      </c>
      <c r="C8" s="620" t="s">
        <v>162</v>
      </c>
      <c r="D8" s="621">
        <f>D9+D16+D21+D27</f>
        <v>460789207909</v>
      </c>
      <c r="E8" s="622">
        <f>E9+E16+E21+E27</f>
        <v>0.38479999999957115</v>
      </c>
      <c r="F8" s="623"/>
      <c r="G8" s="624">
        <f>I8/D8</f>
        <v>0.58138529359983326</v>
      </c>
      <c r="H8" s="625">
        <f>H9+H16+H21+H27</f>
        <v>0.22371706097696648</v>
      </c>
      <c r="I8" s="626">
        <f>I9+I16+I21+I27</f>
        <v>267896068927.80859</v>
      </c>
      <c r="J8" s="627">
        <f>L8/D8</f>
        <v>3.2400864424520844E-2</v>
      </c>
      <c r="K8" s="628">
        <f>K9+K16+K21+K27</f>
        <v>1.2467852630541723E-2</v>
      </c>
      <c r="L8" s="629">
        <f>L9+L16+L21+L27</f>
        <v>14929968653.741856</v>
      </c>
      <c r="M8" s="557"/>
      <c r="N8" s="558"/>
      <c r="O8" s="559"/>
      <c r="P8" s="630"/>
      <c r="Q8" s="294"/>
      <c r="R8" s="294"/>
    </row>
    <row r="9" spans="1:18" s="142" customFormat="1" ht="27.95" customHeight="1" thickBot="1">
      <c r="A9" s="517">
        <v>2</v>
      </c>
      <c r="B9" s="529" t="s">
        <v>210</v>
      </c>
      <c r="C9" s="530" t="s">
        <v>506</v>
      </c>
      <c r="D9" s="531">
        <f>D10+D13</f>
        <v>215543367784.00006</v>
      </c>
      <c r="E9" s="532">
        <f>E10+E13</f>
        <v>0.17999789600013938</v>
      </c>
      <c r="F9" s="533">
        <v>22</v>
      </c>
      <c r="G9" s="534"/>
      <c r="H9" s="535">
        <f>H10+H13</f>
        <v>8.9998948000069703E-2</v>
      </c>
      <c r="I9" s="536">
        <f>I10+I13</f>
        <v>107771683892.00006</v>
      </c>
      <c r="J9" s="537">
        <f>L9/D9</f>
        <v>0</v>
      </c>
      <c r="K9" s="617">
        <f>K10+K13</f>
        <v>0</v>
      </c>
      <c r="L9" s="538">
        <f>L10+L13</f>
        <v>0</v>
      </c>
      <c r="M9" s="1170" t="s">
        <v>887</v>
      </c>
      <c r="N9" s="1170"/>
      <c r="O9" s="1171"/>
      <c r="P9" s="544"/>
      <c r="R9" s="188"/>
    </row>
    <row r="10" spans="1:18" s="160" customFormat="1" ht="27.95" customHeight="1">
      <c r="A10" s="560">
        <v>3</v>
      </c>
      <c r="B10" s="518" t="s">
        <v>215</v>
      </c>
      <c r="C10" s="519" t="s">
        <v>507</v>
      </c>
      <c r="D10" s="520">
        <f>SUM(D11:D12)</f>
        <v>107771683892.00006</v>
      </c>
      <c r="E10" s="539">
        <f>SUM(E11:E12)</f>
        <v>8.9998948000069703E-2</v>
      </c>
      <c r="F10" s="540"/>
      <c r="G10" s="615"/>
      <c r="H10" s="524">
        <f>SUM(H11:H12)</f>
        <v>8.9998948000069703E-2</v>
      </c>
      <c r="I10" s="541">
        <f>SUM(I11:I12)</f>
        <v>107771683892.00006</v>
      </c>
      <c r="J10" s="527"/>
      <c r="K10" s="616">
        <f>SUM(K11:K15)</f>
        <v>0</v>
      </c>
      <c r="L10" s="528">
        <f>SUM(L11:L12)</f>
        <v>0</v>
      </c>
      <c r="M10" s="1172"/>
      <c r="N10" s="1172"/>
      <c r="O10" s="1173"/>
      <c r="P10" s="545"/>
    </row>
    <row r="11" spans="1:18" s="312" customFormat="1" ht="27.95" customHeight="1">
      <c r="A11" s="561">
        <v>4</v>
      </c>
      <c r="B11" s="595" t="s">
        <v>727</v>
      </c>
      <c r="C11" s="596" t="s">
        <v>734</v>
      </c>
      <c r="D11" s="597">
        <f t="shared" ref="D11:D15" si="0">E11*$L$4</f>
        <v>64663010335.200012</v>
      </c>
      <c r="E11" s="598">
        <f>CBS!D105</f>
        <v>5.3999368800041803E-2</v>
      </c>
      <c r="F11" s="599"/>
      <c r="G11" s="600">
        <v>1</v>
      </c>
      <c r="H11" s="601">
        <f>G11*E11</f>
        <v>5.3999368800041803E-2</v>
      </c>
      <c r="I11" s="602">
        <f>H11*$L$4</f>
        <v>64663010335.200012</v>
      </c>
      <c r="J11" s="494">
        <v>0</v>
      </c>
      <c r="K11" s="603">
        <f>J11*E11</f>
        <v>0</v>
      </c>
      <c r="L11" s="604">
        <f>K11*$L$4</f>
        <v>0</v>
      </c>
      <c r="M11" s="1172"/>
      <c r="N11" s="1172"/>
      <c r="O11" s="1173"/>
      <c r="P11" s="593"/>
    </row>
    <row r="12" spans="1:18" s="312" customFormat="1" ht="27.95" customHeight="1">
      <c r="A12" s="561">
        <v>5</v>
      </c>
      <c r="B12" s="595" t="s">
        <v>728</v>
      </c>
      <c r="C12" s="596" t="s">
        <v>509</v>
      </c>
      <c r="D12" s="597">
        <f t="shared" si="0"/>
        <v>43108673556.800049</v>
      </c>
      <c r="E12" s="598">
        <f>CBS!D106</f>
        <v>3.5999579200027901E-2</v>
      </c>
      <c r="F12" s="599"/>
      <c r="G12" s="600">
        <v>1</v>
      </c>
      <c r="H12" s="601">
        <f>G12*E12</f>
        <v>3.5999579200027901E-2</v>
      </c>
      <c r="I12" s="602">
        <f>H12*$L$4</f>
        <v>43108673556.800049</v>
      </c>
      <c r="J12" s="570">
        <v>0</v>
      </c>
      <c r="K12" s="603">
        <f>J12*E12</f>
        <v>0</v>
      </c>
      <c r="L12" s="604">
        <f>K12*$L$4</f>
        <v>0</v>
      </c>
      <c r="M12" s="1172"/>
      <c r="N12" s="1172"/>
      <c r="O12" s="1173"/>
      <c r="P12" s="593"/>
      <c r="R12" s="501"/>
    </row>
    <row r="13" spans="1:18" s="160" customFormat="1" ht="27.95" customHeight="1">
      <c r="A13" s="561">
        <v>6</v>
      </c>
      <c r="B13" s="562" t="s">
        <v>218</v>
      </c>
      <c r="C13" s="563" t="s">
        <v>510</v>
      </c>
      <c r="D13" s="564">
        <f>SUM(D14:D15)</f>
        <v>107771683892</v>
      </c>
      <c r="E13" s="565">
        <f>SUM(E14:E15)</f>
        <v>8.9998948000069662E-2</v>
      </c>
      <c r="F13" s="566"/>
      <c r="G13" s="594"/>
      <c r="H13" s="568">
        <f>SUM(H14:H15)</f>
        <v>0</v>
      </c>
      <c r="I13" s="569">
        <f>SUM(I14:I15)</f>
        <v>0</v>
      </c>
      <c r="J13" s="570"/>
      <c r="K13" s="603"/>
      <c r="L13" s="571">
        <f>L14+L15</f>
        <v>0</v>
      </c>
      <c r="M13" s="1172"/>
      <c r="N13" s="1172"/>
      <c r="O13" s="1173"/>
      <c r="P13" s="545"/>
    </row>
    <row r="14" spans="1:18" s="312" customFormat="1" ht="27.95" customHeight="1">
      <c r="A14" s="561">
        <v>7</v>
      </c>
      <c r="B14" s="595" t="s">
        <v>219</v>
      </c>
      <c r="C14" s="596" t="s">
        <v>511</v>
      </c>
      <c r="D14" s="597">
        <f t="shared" si="0"/>
        <v>64663010335.200005</v>
      </c>
      <c r="E14" s="598">
        <f>CBS!D108</f>
        <v>5.3999368800041796E-2</v>
      </c>
      <c r="F14" s="599"/>
      <c r="G14" s="600">
        <v>0</v>
      </c>
      <c r="H14" s="601">
        <f>G14*E14</f>
        <v>0</v>
      </c>
      <c r="I14" s="602">
        <f>H14*$L$4</f>
        <v>0</v>
      </c>
      <c r="J14" s="570">
        <v>0</v>
      </c>
      <c r="K14" s="603">
        <f t="shared" ref="K14:K15" si="1">J14*E14</f>
        <v>0</v>
      </c>
      <c r="L14" s="604">
        <f>K14*$L$4</f>
        <v>0</v>
      </c>
      <c r="M14" s="1172"/>
      <c r="N14" s="1172"/>
      <c r="O14" s="1173"/>
      <c r="P14" s="593"/>
    </row>
    <row r="15" spans="1:18" s="312" customFormat="1" ht="28.5" customHeight="1" thickBot="1">
      <c r="A15" s="572">
        <v>8</v>
      </c>
      <c r="B15" s="605" t="s">
        <v>729</v>
      </c>
      <c r="C15" s="606" t="s">
        <v>513</v>
      </c>
      <c r="D15" s="607">
        <f t="shared" si="0"/>
        <v>43108673556.800003</v>
      </c>
      <c r="E15" s="608">
        <f>CBS!D109</f>
        <v>3.5999579200027866E-2</v>
      </c>
      <c r="F15" s="609"/>
      <c r="G15" s="610">
        <v>0</v>
      </c>
      <c r="H15" s="611">
        <f>G15*E15</f>
        <v>0</v>
      </c>
      <c r="I15" s="612">
        <f>H15*$L$4</f>
        <v>0</v>
      </c>
      <c r="J15" s="582">
        <v>0</v>
      </c>
      <c r="K15" s="613">
        <f t="shared" si="1"/>
        <v>0</v>
      </c>
      <c r="L15" s="614">
        <f>K15*$L$4</f>
        <v>0</v>
      </c>
      <c r="M15" s="1174"/>
      <c r="N15" s="1174"/>
      <c r="O15" s="1175"/>
      <c r="P15" s="593"/>
      <c r="Q15" s="498"/>
    </row>
    <row r="16" spans="1:18" s="142" customFormat="1" ht="27.75" customHeight="1" thickBot="1">
      <c r="A16" s="517">
        <v>9</v>
      </c>
      <c r="B16" s="529" t="s">
        <v>211</v>
      </c>
      <c r="C16" s="530" t="s">
        <v>514</v>
      </c>
      <c r="D16" s="531">
        <v>71850861189</v>
      </c>
      <c r="E16" s="532">
        <f>D16/$L$4</f>
        <v>6.0001863999724042E-2</v>
      </c>
      <c r="F16" s="533">
        <v>22</v>
      </c>
      <c r="G16" s="534"/>
      <c r="H16" s="535">
        <f>H17+H18+H19+H20</f>
        <v>5.1001584399765432E-2</v>
      </c>
      <c r="I16" s="536">
        <f>I17+I18+I19+I20</f>
        <v>61073232010.650002</v>
      </c>
      <c r="J16" s="537">
        <f>L16/D16</f>
        <v>0</v>
      </c>
      <c r="K16" s="537">
        <f>K17+K18+K19+K20</f>
        <v>0</v>
      </c>
      <c r="L16" s="538">
        <f>L17+L18+L19+L20</f>
        <v>0</v>
      </c>
      <c r="M16" s="1168" t="s">
        <v>893</v>
      </c>
      <c r="N16" s="1168"/>
      <c r="O16" s="1169"/>
      <c r="P16" s="544"/>
      <c r="R16" s="188"/>
    </row>
    <row r="17" spans="1:18" s="160" customFormat="1" ht="52.5" customHeight="1">
      <c r="A17" s="560">
        <v>10</v>
      </c>
      <c r="B17" s="518" t="s">
        <v>596</v>
      </c>
      <c r="C17" s="519" t="s">
        <v>737</v>
      </c>
      <c r="D17" s="520">
        <f>15%*$D$16</f>
        <v>10777629178.35</v>
      </c>
      <c r="E17" s="521">
        <f t="shared" ref="E17:E20" si="2">D17/$L$4</f>
        <v>9.000279599958607E-3</v>
      </c>
      <c r="F17" s="522"/>
      <c r="G17" s="523">
        <v>1</v>
      </c>
      <c r="H17" s="524">
        <f t="shared" ref="H17:H20" si="3">G17*E17</f>
        <v>9.000279599958607E-3</v>
      </c>
      <c r="I17" s="525">
        <f>G17*D17</f>
        <v>10777629178.35</v>
      </c>
      <c r="J17" s="526">
        <v>0</v>
      </c>
      <c r="K17" s="527">
        <f>J17*E17</f>
        <v>0</v>
      </c>
      <c r="L17" s="528">
        <f>J17*D17</f>
        <v>0</v>
      </c>
      <c r="M17" s="1176"/>
      <c r="N17" s="1172"/>
      <c r="O17" s="1173"/>
      <c r="P17" s="545"/>
    </row>
    <row r="18" spans="1:18" s="160" customFormat="1" ht="52.5" customHeight="1">
      <c r="A18" s="561">
        <v>11</v>
      </c>
      <c r="B18" s="562" t="s">
        <v>730</v>
      </c>
      <c r="C18" s="563" t="s">
        <v>738</v>
      </c>
      <c r="D18" s="564">
        <f>20%*$D$16</f>
        <v>14370172237.800001</v>
      </c>
      <c r="E18" s="584">
        <f t="shared" si="2"/>
        <v>1.2000372799944809E-2</v>
      </c>
      <c r="F18" s="585"/>
      <c r="G18" s="567">
        <v>1</v>
      </c>
      <c r="H18" s="568">
        <f t="shared" si="3"/>
        <v>1.2000372799944809E-2</v>
      </c>
      <c r="I18" s="586">
        <f t="shared" ref="I18:I20" si="4">G18*D18</f>
        <v>14370172237.800001</v>
      </c>
      <c r="J18" s="494">
        <v>0</v>
      </c>
      <c r="K18" s="570">
        <f t="shared" ref="K18:K20" si="5">J18*E18</f>
        <v>0</v>
      </c>
      <c r="L18" s="571">
        <f t="shared" ref="L18:L20" si="6">J18*D18</f>
        <v>0</v>
      </c>
      <c r="M18" s="1176"/>
      <c r="N18" s="1172"/>
      <c r="O18" s="1173"/>
      <c r="P18" s="545"/>
    </row>
    <row r="19" spans="1:18" s="160" customFormat="1" ht="52.5" customHeight="1">
      <c r="A19" s="561">
        <v>12</v>
      </c>
      <c r="B19" s="562" t="s">
        <v>740</v>
      </c>
      <c r="C19" s="563" t="s">
        <v>739</v>
      </c>
      <c r="D19" s="564">
        <f>35%*$D$16</f>
        <v>25147801416.149998</v>
      </c>
      <c r="E19" s="584">
        <f t="shared" si="2"/>
        <v>2.1000652399903411E-2</v>
      </c>
      <c r="F19" s="585"/>
      <c r="G19" s="567">
        <v>1</v>
      </c>
      <c r="H19" s="568">
        <f t="shared" si="3"/>
        <v>2.1000652399903411E-2</v>
      </c>
      <c r="I19" s="586">
        <f t="shared" si="4"/>
        <v>25147801416.149998</v>
      </c>
      <c r="J19" s="587">
        <v>0</v>
      </c>
      <c r="K19" s="570">
        <f t="shared" si="5"/>
        <v>0</v>
      </c>
      <c r="L19" s="571">
        <f t="shared" si="6"/>
        <v>0</v>
      </c>
      <c r="M19" s="1176"/>
      <c r="N19" s="1172"/>
      <c r="O19" s="1173"/>
      <c r="P19" s="545"/>
    </row>
    <row r="20" spans="1:18" s="160" customFormat="1" ht="52.5" customHeight="1" thickBot="1">
      <c r="A20" s="572">
        <v>13</v>
      </c>
      <c r="B20" s="573" t="s">
        <v>741</v>
      </c>
      <c r="C20" s="574" t="s">
        <v>742</v>
      </c>
      <c r="D20" s="575">
        <f>30%*$D$16</f>
        <v>21555258356.700001</v>
      </c>
      <c r="E20" s="588">
        <f t="shared" si="2"/>
        <v>1.8000559199917214E-2</v>
      </c>
      <c r="F20" s="589"/>
      <c r="G20" s="590">
        <v>0.5</v>
      </c>
      <c r="H20" s="579">
        <f t="shared" si="3"/>
        <v>9.000279599958607E-3</v>
      </c>
      <c r="I20" s="591">
        <f t="shared" si="4"/>
        <v>10777629178.35</v>
      </c>
      <c r="J20" s="592">
        <v>0</v>
      </c>
      <c r="K20" s="582">
        <f t="shared" si="5"/>
        <v>0</v>
      </c>
      <c r="L20" s="583">
        <f t="shared" si="6"/>
        <v>0</v>
      </c>
      <c r="M20" s="1177"/>
      <c r="N20" s="1174"/>
      <c r="O20" s="1175"/>
      <c r="P20" s="545"/>
    </row>
    <row r="21" spans="1:18" s="142" customFormat="1" ht="22.9" thickBot="1">
      <c r="A21" s="517">
        <v>14</v>
      </c>
      <c r="B21" s="529" t="s">
        <v>212</v>
      </c>
      <c r="C21" s="530" t="s">
        <v>515</v>
      </c>
      <c r="D21" s="531">
        <f>SUM(D22:D26)</f>
        <v>116874574693.99995</v>
      </c>
      <c r="E21" s="532">
        <f>SUM(E22:E26)</f>
        <v>9.7600671999858807E-2</v>
      </c>
      <c r="F21" s="533">
        <v>13</v>
      </c>
      <c r="G21" s="534"/>
      <c r="H21" s="535">
        <f>SUM(H22:H26)</f>
        <v>6.6196679777184242E-2</v>
      </c>
      <c r="I21" s="536">
        <f>SUM(I22:I26)</f>
        <v>79269011540.458527</v>
      </c>
      <c r="J21" s="543">
        <f>L21/D21</f>
        <v>0.12774351216106133</v>
      </c>
      <c r="K21" s="537">
        <f>J21*E21</f>
        <v>1.2467852630541723E-2</v>
      </c>
      <c r="L21" s="538">
        <f>SUM(L22:L26)</f>
        <v>14929968653.741856</v>
      </c>
      <c r="M21" s="1168" t="s">
        <v>888</v>
      </c>
      <c r="N21" s="1168"/>
      <c r="O21" s="1169"/>
      <c r="P21" s="544"/>
      <c r="Q21" s="160"/>
      <c r="R21" s="188"/>
    </row>
    <row r="22" spans="1:18" s="160" customFormat="1" ht="45" customHeight="1">
      <c r="A22" s="560">
        <v>15</v>
      </c>
      <c r="B22" s="518" t="s">
        <v>221</v>
      </c>
      <c r="C22" s="519" t="s">
        <v>516</v>
      </c>
      <c r="D22" s="520">
        <f t="shared" ref="D22:D27" si="7">E22*$L$4</f>
        <v>5715166702.5365973</v>
      </c>
      <c r="E22" s="539">
        <f>0.0489*CBS!$D$112</f>
        <v>4.7726728607930952E-3</v>
      </c>
      <c r="F22" s="540"/>
      <c r="G22" s="523">
        <v>1</v>
      </c>
      <c r="H22" s="524">
        <f t="shared" ref="H22:H27" si="8">G22*E22</f>
        <v>4.7726728607930952E-3</v>
      </c>
      <c r="I22" s="541">
        <f t="shared" ref="I22:I27" si="9">H22*$L$4</f>
        <v>5715166702.5365973</v>
      </c>
      <c r="J22" s="542">
        <f>J26</f>
        <v>0.12774351216106133</v>
      </c>
      <c r="K22" s="527">
        <f>J22*E22</f>
        <v>6.0967799363349014E-4</v>
      </c>
      <c r="L22" s="528">
        <f>J22*D22</f>
        <v>730075467.16797662</v>
      </c>
      <c r="M22" s="1176"/>
      <c r="N22" s="1172"/>
      <c r="O22" s="1173"/>
      <c r="P22" s="545"/>
    </row>
    <row r="23" spans="1:18" s="160" customFormat="1" ht="27.95" customHeight="1">
      <c r="A23" s="561">
        <v>16</v>
      </c>
      <c r="B23" s="562" t="s">
        <v>222</v>
      </c>
      <c r="C23" s="563" t="s">
        <v>517</v>
      </c>
      <c r="D23" s="564">
        <f t="shared" si="7"/>
        <v>5715166702.5365973</v>
      </c>
      <c r="E23" s="565">
        <f>E22</f>
        <v>4.7726728607930952E-3</v>
      </c>
      <c r="F23" s="566"/>
      <c r="G23" s="567">
        <v>1</v>
      </c>
      <c r="H23" s="568">
        <f t="shared" si="8"/>
        <v>4.7726728607930952E-3</v>
      </c>
      <c r="I23" s="569">
        <f t="shared" si="9"/>
        <v>5715166702.5365973</v>
      </c>
      <c r="J23" s="542">
        <f>J26</f>
        <v>0.12774351216106133</v>
      </c>
      <c r="K23" s="570">
        <f t="shared" ref="K23:K27" si="10">J23*E23</f>
        <v>6.0967799363349014E-4</v>
      </c>
      <c r="L23" s="571">
        <f t="shared" ref="L23:L26" si="11">J23*D23</f>
        <v>730075467.16797662</v>
      </c>
      <c r="M23" s="1176"/>
      <c r="N23" s="1172"/>
      <c r="O23" s="1173"/>
      <c r="P23" s="545"/>
    </row>
    <row r="24" spans="1:18" s="160" customFormat="1" ht="27.95" customHeight="1">
      <c r="A24" s="561">
        <v>17</v>
      </c>
      <c r="B24" s="562" t="s">
        <v>223</v>
      </c>
      <c r="C24" s="563" t="s">
        <v>518</v>
      </c>
      <c r="D24" s="564">
        <f t="shared" si="7"/>
        <v>5715166702.5365973</v>
      </c>
      <c r="E24" s="565">
        <f>E23</f>
        <v>4.7726728607930952E-3</v>
      </c>
      <c r="F24" s="566"/>
      <c r="G24" s="567">
        <v>1</v>
      </c>
      <c r="H24" s="568">
        <f t="shared" si="8"/>
        <v>4.7726728607930952E-3</v>
      </c>
      <c r="I24" s="569">
        <f t="shared" si="9"/>
        <v>5715166702.5365973</v>
      </c>
      <c r="J24" s="542">
        <f>J26</f>
        <v>0.12774351216106133</v>
      </c>
      <c r="K24" s="570">
        <f t="shared" si="10"/>
        <v>6.0967799363349014E-4</v>
      </c>
      <c r="L24" s="571">
        <f t="shared" si="11"/>
        <v>730075467.16797662</v>
      </c>
      <c r="M24" s="1176"/>
      <c r="N24" s="1172"/>
      <c r="O24" s="1173"/>
      <c r="P24" s="545"/>
    </row>
    <row r="25" spans="1:18" s="160" customFormat="1" ht="27.95" customHeight="1">
      <c r="A25" s="561">
        <v>18</v>
      </c>
      <c r="B25" s="562" t="s">
        <v>224</v>
      </c>
      <c r="C25" s="563" t="s">
        <v>528</v>
      </c>
      <c r="D25" s="564">
        <f t="shared" si="7"/>
        <v>5715166702.5365973</v>
      </c>
      <c r="E25" s="565">
        <f>E24</f>
        <v>4.7726728607930952E-3</v>
      </c>
      <c r="F25" s="566"/>
      <c r="G25" s="567">
        <v>1</v>
      </c>
      <c r="H25" s="568">
        <f t="shared" si="8"/>
        <v>4.7726728607930952E-3</v>
      </c>
      <c r="I25" s="569">
        <f t="shared" si="9"/>
        <v>5715166702.5365973</v>
      </c>
      <c r="J25" s="542">
        <f>J26</f>
        <v>0.12774351216106133</v>
      </c>
      <c r="K25" s="570">
        <f t="shared" si="10"/>
        <v>6.0967799363349014E-4</v>
      </c>
      <c r="L25" s="571">
        <f t="shared" si="11"/>
        <v>730075467.16797662</v>
      </c>
      <c r="M25" s="1176"/>
      <c r="N25" s="1172"/>
      <c r="O25" s="1173"/>
      <c r="P25" s="545"/>
    </row>
    <row r="26" spans="1:18" s="160" customFormat="1" ht="38.25" customHeight="1" thickBot="1">
      <c r="A26" s="572">
        <v>19</v>
      </c>
      <c r="B26" s="573" t="s">
        <v>225</v>
      </c>
      <c r="C26" s="574" t="s">
        <v>519</v>
      </c>
      <c r="D26" s="575">
        <f t="shared" si="7"/>
        <v>94013907883.853561</v>
      </c>
      <c r="E26" s="576">
        <f>CBS!D112-'خدمات تامین'!E22-'خدمات تامین'!E23-'خدمات تامین'!E24-'خدمات تامین'!E25</f>
        <v>7.8509980556686426E-2</v>
      </c>
      <c r="F26" s="577"/>
      <c r="G26" s="578">
        <v>0.6</v>
      </c>
      <c r="H26" s="579">
        <f t="shared" si="8"/>
        <v>4.7105988334011854E-2</v>
      </c>
      <c r="I26" s="580">
        <f t="shared" si="9"/>
        <v>56408344730.312134</v>
      </c>
      <c r="J26" s="581">
        <f>10977/(74953+10977)</f>
        <v>0.12774351216106133</v>
      </c>
      <c r="K26" s="582">
        <f t="shared" si="10"/>
        <v>1.0029140656007761E-2</v>
      </c>
      <c r="L26" s="583">
        <f t="shared" si="11"/>
        <v>12009666785.069948</v>
      </c>
      <c r="M26" s="1177"/>
      <c r="N26" s="1174"/>
      <c r="O26" s="1175"/>
      <c r="P26" s="545"/>
    </row>
    <row r="27" spans="1:18" s="142" customFormat="1" ht="45.4" thickBot="1">
      <c r="A27" s="546">
        <v>20</v>
      </c>
      <c r="B27" s="547" t="s">
        <v>213</v>
      </c>
      <c r="C27" s="548" t="s">
        <v>520</v>
      </c>
      <c r="D27" s="549">
        <f t="shared" si="7"/>
        <v>56520404242</v>
      </c>
      <c r="E27" s="550">
        <f>CBS!D117</f>
        <v>4.7199567999848903E-2</v>
      </c>
      <c r="F27" s="551">
        <v>22</v>
      </c>
      <c r="G27" s="552">
        <v>0.35</v>
      </c>
      <c r="H27" s="553">
        <f t="shared" si="8"/>
        <v>1.6519848799947116E-2</v>
      </c>
      <c r="I27" s="554">
        <f t="shared" si="9"/>
        <v>19782141484.700001</v>
      </c>
      <c r="J27" s="555">
        <v>0</v>
      </c>
      <c r="K27" s="555">
        <f t="shared" si="10"/>
        <v>0</v>
      </c>
      <c r="L27" s="556">
        <f>K27*$L$4</f>
        <v>0</v>
      </c>
      <c r="M27" s="1168" t="s">
        <v>894</v>
      </c>
      <c r="N27" s="1168"/>
      <c r="O27" s="1169"/>
      <c r="P27" s="271"/>
      <c r="R27" s="188"/>
    </row>
    <row r="32" spans="1:18">
      <c r="E32" s="187"/>
    </row>
    <row r="33" spans="5:5">
      <c r="E33" s="187"/>
    </row>
    <row r="34" spans="5:5">
      <c r="E34" s="187"/>
    </row>
  </sheetData>
  <mergeCells count="22">
    <mergeCell ref="M27:O27"/>
    <mergeCell ref="M9:O15"/>
    <mergeCell ref="M16:O20"/>
    <mergeCell ref="M21:O26"/>
    <mergeCell ref="L1:P2"/>
    <mergeCell ref="L3:P3"/>
    <mergeCell ref="L4:N5"/>
    <mergeCell ref="F6:F7"/>
    <mergeCell ref="G6:I6"/>
    <mergeCell ref="P6:P7"/>
    <mergeCell ref="J6:L6"/>
    <mergeCell ref="M6:O6"/>
    <mergeCell ref="E4:H4"/>
    <mergeCell ref="E5:H5"/>
    <mergeCell ref="J1:K2"/>
    <mergeCell ref="J3:K3"/>
    <mergeCell ref="J4:K5"/>
    <mergeCell ref="A6:A7"/>
    <mergeCell ref="B6:B7"/>
    <mergeCell ref="C6:C7"/>
    <mergeCell ref="D6:D7"/>
    <mergeCell ref="E6:E7"/>
  </mergeCells>
  <printOptions horizontalCentered="1"/>
  <pageMargins left="0.39370078740157483" right="0.39370078740157483" top="0.59055118110236227" bottom="0.98425196850393704" header="0" footer="0.39370078740157483"/>
  <pageSetup paperSize="9" scale="55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S229"/>
  <sheetViews>
    <sheetView rightToLeft="1" view="pageBreakPreview" topLeftCell="B1" zoomScale="70" zoomScaleNormal="70" zoomScaleSheetLayoutView="70" zoomScalePageLayoutView="75" workbookViewId="0">
      <selection activeCell="Q12" sqref="Q12"/>
    </sheetView>
  </sheetViews>
  <sheetFormatPr defaultColWidth="9" defaultRowHeight="24.75"/>
  <cols>
    <col min="1" max="1" width="4.875" style="1" customWidth="1"/>
    <col min="2" max="2" width="11" style="1" bestFit="1" customWidth="1"/>
    <col min="3" max="3" width="37.125" style="171" customWidth="1"/>
    <col min="4" max="4" width="24" style="191" bestFit="1" customWidth="1"/>
    <col min="5" max="5" width="10.6875" style="124" customWidth="1"/>
    <col min="6" max="6" width="7.125" style="1" customWidth="1"/>
    <col min="7" max="7" width="8.4375" style="125" customWidth="1"/>
    <col min="8" max="8" width="11.4375" style="124" customWidth="1"/>
    <col min="9" max="9" width="22" style="391" customWidth="1"/>
    <col min="10" max="10" width="13" style="120" customWidth="1"/>
    <col min="11" max="11" width="11.125" style="120" customWidth="1"/>
    <col min="12" max="12" width="27" style="191" customWidth="1"/>
    <col min="13" max="13" width="8" style="120" customWidth="1"/>
    <col min="14" max="14" width="8.3125" style="120" customWidth="1"/>
    <col min="15" max="15" width="14.875" style="175" customWidth="1"/>
    <col min="16" max="16" width="17.4375" style="1" customWidth="1"/>
    <col min="17" max="17" width="26.6875" style="1" bestFit="1" customWidth="1"/>
    <col min="18" max="18" width="9" style="1"/>
    <col min="19" max="19" width="21.875" style="1" customWidth="1"/>
    <col min="20" max="16384" width="9" style="1"/>
  </cols>
  <sheetData>
    <row r="1" spans="1:19" ht="20.100000000000001" customHeight="1">
      <c r="A1" s="27"/>
      <c r="B1" s="27"/>
      <c r="D1" s="135" t="s">
        <v>13</v>
      </c>
      <c r="E1" s="137" t="s">
        <v>435</v>
      </c>
      <c r="F1" s="172"/>
      <c r="G1" s="173"/>
      <c r="H1" s="384"/>
      <c r="I1" s="402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19" ht="20.100000000000001" customHeight="1">
      <c r="A2" s="27"/>
      <c r="B2" s="27"/>
      <c r="D2" s="135" t="s">
        <v>14</v>
      </c>
      <c r="E2" s="137" t="s">
        <v>17</v>
      </c>
      <c r="F2" s="172"/>
      <c r="G2" s="173"/>
      <c r="H2" s="384"/>
      <c r="I2" s="402"/>
      <c r="J2" s="1079"/>
      <c r="K2" s="1079"/>
      <c r="L2" s="999"/>
      <c r="M2" s="999"/>
      <c r="N2" s="999"/>
      <c r="O2" s="999"/>
      <c r="P2" s="999"/>
    </row>
    <row r="3" spans="1:19" ht="39.950000000000003" customHeight="1">
      <c r="A3" s="27"/>
      <c r="B3" s="27"/>
      <c r="D3" s="135" t="s">
        <v>195</v>
      </c>
      <c r="E3" s="137" t="s">
        <v>443</v>
      </c>
      <c r="F3" s="172"/>
      <c r="G3" s="173"/>
      <c r="H3" s="384"/>
      <c r="I3" s="403"/>
      <c r="J3" s="1079" t="s">
        <v>498</v>
      </c>
      <c r="K3" s="1079"/>
      <c r="L3" s="1126" t="s">
        <v>442</v>
      </c>
      <c r="M3" s="1126"/>
      <c r="N3" s="1126"/>
      <c r="O3" s="1126"/>
      <c r="P3" s="1126"/>
    </row>
    <row r="4" spans="1:19" ht="20.25" customHeight="1">
      <c r="A4" s="27"/>
      <c r="B4" s="27"/>
      <c r="D4" s="135" t="s">
        <v>437</v>
      </c>
      <c r="E4" s="1106" t="str">
        <f>'خلاصه مالي صورت وضعیت'!E4</f>
        <v>موقت 16</v>
      </c>
      <c r="F4" s="1106"/>
      <c r="G4" s="1106"/>
      <c r="H4" s="1106"/>
      <c r="I4" s="404"/>
      <c r="J4" s="1079" t="s">
        <v>440</v>
      </c>
      <c r="K4" s="1079"/>
      <c r="L4" s="1203">
        <v>1197477151532</v>
      </c>
      <c r="M4" s="1203"/>
      <c r="N4" s="1203"/>
      <c r="O4" s="184"/>
      <c r="P4" s="153"/>
    </row>
    <row r="5" spans="1:19" ht="20.25" customHeight="1">
      <c r="A5" s="155"/>
      <c r="B5" s="155"/>
      <c r="C5" s="190"/>
      <c r="D5" s="141" t="s">
        <v>438</v>
      </c>
      <c r="E5" s="1107" t="str">
        <f>'خلاصه مالي صورت وضعیت'!E5</f>
        <v>1403/06/10</v>
      </c>
      <c r="F5" s="1107"/>
      <c r="G5" s="1107"/>
      <c r="H5" s="1107"/>
      <c r="I5" s="405"/>
      <c r="J5" s="1080"/>
      <c r="K5" s="1080"/>
      <c r="L5" s="1204"/>
      <c r="M5" s="1204"/>
      <c r="N5" s="1204"/>
      <c r="O5" s="185"/>
      <c r="P5" s="158"/>
    </row>
    <row r="6" spans="1:19" ht="18" customHeight="1">
      <c r="A6" s="1009" t="s">
        <v>0</v>
      </c>
      <c r="B6" s="1073" t="s">
        <v>1</v>
      </c>
      <c r="C6" s="1084" t="s">
        <v>470</v>
      </c>
      <c r="D6" s="1129" t="s">
        <v>2</v>
      </c>
      <c r="E6" s="1074" t="s">
        <v>497</v>
      </c>
      <c r="F6" s="1074" t="s">
        <v>205</v>
      </c>
      <c r="G6" s="1075" t="s">
        <v>3</v>
      </c>
      <c r="H6" s="1075"/>
      <c r="I6" s="1075"/>
      <c r="J6" s="1076" t="s">
        <v>464</v>
      </c>
      <c r="K6" s="1076"/>
      <c r="L6" s="1076"/>
      <c r="M6" s="1071" t="s">
        <v>5</v>
      </c>
      <c r="N6" s="1071"/>
      <c r="O6" s="1071"/>
      <c r="P6" s="1072" t="s">
        <v>193</v>
      </c>
    </row>
    <row r="7" spans="1:19" ht="79.5">
      <c r="A7" s="1009"/>
      <c r="B7" s="1073"/>
      <c r="C7" s="1085"/>
      <c r="D7" s="1129"/>
      <c r="E7" s="1074"/>
      <c r="F7" s="1074"/>
      <c r="G7" s="150" t="s">
        <v>203</v>
      </c>
      <c r="H7" s="385" t="s">
        <v>33</v>
      </c>
      <c r="I7" s="385" t="s">
        <v>34</v>
      </c>
      <c r="J7" s="151" t="s">
        <v>204</v>
      </c>
      <c r="K7" s="151" t="s">
        <v>33</v>
      </c>
      <c r="L7" s="182" t="s">
        <v>34</v>
      </c>
      <c r="M7" s="152" t="s">
        <v>204</v>
      </c>
      <c r="N7" s="152" t="s">
        <v>33</v>
      </c>
      <c r="O7" s="186" t="s">
        <v>34</v>
      </c>
      <c r="P7" s="1072"/>
    </row>
    <row r="8" spans="1:19" s="295" customFormat="1" ht="39.950000000000003" customHeight="1">
      <c r="A8" s="18">
        <v>1</v>
      </c>
      <c r="B8" s="197">
        <v>1.6</v>
      </c>
      <c r="C8" s="265" t="s">
        <v>163</v>
      </c>
      <c r="D8" s="278">
        <f>D9+D51+D78+D120+D147+D189+D216</f>
        <v>601373025499.36487</v>
      </c>
      <c r="E8" s="287">
        <f>E9+E51+E78+E120+E147+E189+E216</f>
        <v>0.50219999999999532</v>
      </c>
      <c r="F8" s="293"/>
      <c r="G8" s="321"/>
      <c r="H8" s="386">
        <f>H9+H51+H78+H120+H147+H189+H216</f>
        <v>0.36414626989474641</v>
      </c>
      <c r="I8" s="389">
        <f>I9+I51+I78+I120+I147+I189+I216</f>
        <v>464543128933.76385</v>
      </c>
      <c r="J8" s="288">
        <f>L8/D8</f>
        <v>0.59528217192804089</v>
      </c>
      <c r="K8" s="288">
        <f>K9+K51+K78+K120+K147+K189+K216</f>
        <v>0.29895070674225943</v>
      </c>
      <c r="L8" s="289">
        <f>L9+L51+L78+L120+L147+L189+L216</f>
        <v>357986640758.19904</v>
      </c>
      <c r="M8" s="290"/>
      <c r="N8" s="290">
        <f>N9+N51+N78+N120+N147+N189+N216</f>
        <v>0</v>
      </c>
      <c r="O8" s="291">
        <f>O9+O51+O78+O120+O147+O189+O216</f>
        <v>0</v>
      </c>
      <c r="P8" s="292"/>
      <c r="Q8" s="481">
        <f>L8-I8</f>
        <v>-106556488175.56482</v>
      </c>
    </row>
    <row r="9" spans="1:19" s="437" customFormat="1" ht="35.1" customHeight="1">
      <c r="A9" s="423">
        <v>2</v>
      </c>
      <c r="B9" s="424" t="s">
        <v>206</v>
      </c>
      <c r="C9" s="425" t="s">
        <v>450</v>
      </c>
      <c r="D9" s="426">
        <f>D10+D20+D32</f>
        <v>156941355479.84875</v>
      </c>
      <c r="E9" s="427">
        <f>E10+E20+E32</f>
        <v>0.13106000000005416</v>
      </c>
      <c r="F9" s="428"/>
      <c r="G9" s="429">
        <f>I9/D9</f>
        <v>0.84044500000006606</v>
      </c>
      <c r="H9" s="438">
        <f>H10+H20+H32</f>
        <v>0.11014872170005416</v>
      </c>
      <c r="I9" s="439">
        <f>I10+I20+I32</f>
        <v>131900577506.27185</v>
      </c>
      <c r="J9" s="431">
        <f>L9/D9</f>
        <v>0.67267753680659603</v>
      </c>
      <c r="K9" s="440">
        <f>K10+K20+K32</f>
        <v>8.8161117973908923E-2</v>
      </c>
      <c r="L9" s="441">
        <f>L10+L20+L32</f>
        <v>105570924427.27304</v>
      </c>
      <c r="M9" s="434"/>
      <c r="N9" s="434">
        <f>N10+N20+N32</f>
        <v>0</v>
      </c>
      <c r="O9" s="435">
        <f>O10+O20+O32</f>
        <v>0</v>
      </c>
      <c r="P9" s="424"/>
      <c r="Q9" s="442"/>
    </row>
    <row r="10" spans="1:19" s="456" customFormat="1" ht="30" customHeight="1">
      <c r="A10" s="443">
        <v>3</v>
      </c>
      <c r="B10" s="444" t="s">
        <v>226</v>
      </c>
      <c r="C10" s="445" t="s">
        <v>569</v>
      </c>
      <c r="D10" s="446">
        <f>SUM(D11:D19)</f>
        <v>58068301527.520065</v>
      </c>
      <c r="E10" s="447">
        <f>SUM(E11:E19)</f>
        <v>4.8492200000000013E-2</v>
      </c>
      <c r="F10" s="448"/>
      <c r="G10" s="449">
        <f>I10/D10</f>
        <v>1</v>
      </c>
      <c r="H10" s="450">
        <f>SUM(H11:H19)</f>
        <v>4.8492200000000013E-2</v>
      </c>
      <c r="I10" s="451">
        <f>SUM(I11:I19)</f>
        <v>58068301527.520065</v>
      </c>
      <c r="J10" s="449">
        <f>L10/D10</f>
        <v>1</v>
      </c>
      <c r="K10" s="452">
        <f>SUM(K11:K19)</f>
        <v>4.8492200000000013E-2</v>
      </c>
      <c r="L10" s="453">
        <f>SUM(L11:L19)</f>
        <v>58068301527.520065</v>
      </c>
      <c r="M10" s="454"/>
      <c r="N10" s="454">
        <f>SUM(N11:N19)</f>
        <v>0</v>
      </c>
      <c r="O10" s="455">
        <f>SUM(O11:O19)</f>
        <v>0</v>
      </c>
      <c r="P10" s="444"/>
    </row>
    <row r="11" spans="1:19" s="312" customFormat="1" ht="27.95" customHeight="1">
      <c r="A11" s="18">
        <v>4</v>
      </c>
      <c r="B11" s="301" t="s">
        <v>227</v>
      </c>
      <c r="C11" s="302" t="s">
        <v>530</v>
      </c>
      <c r="D11" s="303">
        <v>2903415076.3760033</v>
      </c>
      <c r="E11" s="304">
        <f t="shared" ref="E11:E30" si="0">D11/$L$4</f>
        <v>2.4246100000000007E-3</v>
      </c>
      <c r="F11" s="305">
        <v>3</v>
      </c>
      <c r="G11" s="394">
        <v>1</v>
      </c>
      <c r="H11" s="387">
        <f t="shared" ref="H11:H19" si="1">G11*E11</f>
        <v>2.4246100000000007E-3</v>
      </c>
      <c r="I11" s="390">
        <f>H11*$L$4</f>
        <v>2903415076.3760033</v>
      </c>
      <c r="J11" s="414">
        <v>1</v>
      </c>
      <c r="K11" s="343">
        <f t="shared" ref="K11:K19" si="2">J11*E11</f>
        <v>2.4246100000000007E-3</v>
      </c>
      <c r="L11" s="308">
        <f t="shared" ref="L11:L18" si="3">K11*$L$4</f>
        <v>2903415076.3760033</v>
      </c>
      <c r="M11" s="309"/>
      <c r="N11" s="309">
        <f t="shared" ref="N11:N19" si="4">M11*E11</f>
        <v>0</v>
      </c>
      <c r="O11" s="310">
        <f>N11*$L$4</f>
        <v>0</v>
      </c>
      <c r="P11" s="311"/>
    </row>
    <row r="12" spans="1:19" s="312" customFormat="1" ht="27.95" customHeight="1">
      <c r="A12" s="18">
        <v>5</v>
      </c>
      <c r="B12" s="301" t="s">
        <v>228</v>
      </c>
      <c r="C12" s="302" t="s">
        <v>531</v>
      </c>
      <c r="D12" s="303">
        <v>5806830152.7520065</v>
      </c>
      <c r="E12" s="304">
        <f t="shared" si="0"/>
        <v>4.8492200000000013E-3</v>
      </c>
      <c r="F12" s="305">
        <v>3</v>
      </c>
      <c r="G12" s="394">
        <v>1</v>
      </c>
      <c r="H12" s="387">
        <f t="shared" si="1"/>
        <v>4.8492200000000013E-3</v>
      </c>
      <c r="I12" s="390">
        <f t="shared" ref="I12:I50" si="5">H12*$L$4</f>
        <v>5806830152.7520065</v>
      </c>
      <c r="J12" s="414">
        <v>1</v>
      </c>
      <c r="K12" s="343">
        <f t="shared" si="2"/>
        <v>4.8492200000000013E-3</v>
      </c>
      <c r="L12" s="308">
        <f t="shared" si="3"/>
        <v>5806830152.7520065</v>
      </c>
      <c r="M12" s="309"/>
      <c r="N12" s="309">
        <f t="shared" si="4"/>
        <v>0</v>
      </c>
      <c r="O12" s="310">
        <f t="shared" ref="O12:O19" si="6">N12*$L$4</f>
        <v>0</v>
      </c>
      <c r="P12" s="311"/>
      <c r="Q12" s="501">
        <f>I10+I52+I79+I121+I148+I190</f>
        <v>219889680669.11069</v>
      </c>
      <c r="R12" s="502">
        <f>Q12/Q15</f>
        <v>0.50426839232771459</v>
      </c>
      <c r="S12" s="638">
        <f>R12*('سازمان دهی و برنامه ریزی پروژه'!$I$8)+Q12</f>
        <v>222905306960.2749</v>
      </c>
    </row>
    <row r="13" spans="1:19" s="312" customFormat="1" ht="27.95" customHeight="1">
      <c r="A13" s="18">
        <v>6</v>
      </c>
      <c r="B13" s="301" t="s">
        <v>229</v>
      </c>
      <c r="C13" s="302" t="s">
        <v>532</v>
      </c>
      <c r="D13" s="303">
        <v>5806830152.7520065</v>
      </c>
      <c r="E13" s="304">
        <f t="shared" si="0"/>
        <v>4.8492200000000013E-3</v>
      </c>
      <c r="F13" s="305">
        <v>3</v>
      </c>
      <c r="G13" s="394">
        <v>1</v>
      </c>
      <c r="H13" s="387">
        <f t="shared" si="1"/>
        <v>4.8492200000000013E-3</v>
      </c>
      <c r="I13" s="390">
        <f t="shared" si="5"/>
        <v>5806830152.7520065</v>
      </c>
      <c r="J13" s="414">
        <v>1</v>
      </c>
      <c r="K13" s="343">
        <f t="shared" si="2"/>
        <v>4.8492200000000013E-3</v>
      </c>
      <c r="L13" s="308">
        <f t="shared" si="3"/>
        <v>5806830152.7520065</v>
      </c>
      <c r="M13" s="309"/>
      <c r="N13" s="309">
        <f t="shared" si="4"/>
        <v>0</v>
      </c>
      <c r="O13" s="310">
        <f t="shared" si="6"/>
        <v>0</v>
      </c>
      <c r="P13" s="311"/>
      <c r="Q13" s="501">
        <f>I20+I89+I158</f>
        <v>139665251068.47</v>
      </c>
      <c r="R13" s="502">
        <f>Q13/Q15</f>
        <v>0.32029139069206702</v>
      </c>
      <c r="S13" s="638">
        <f>R13*('سازمان دهی و برنامه ریزی پروژه'!$I$8)+Q13</f>
        <v>141580657929.77658</v>
      </c>
    </row>
    <row r="14" spans="1:19" s="312" customFormat="1" ht="27.95" customHeight="1">
      <c r="A14" s="18">
        <v>7</v>
      </c>
      <c r="B14" s="301" t="s">
        <v>230</v>
      </c>
      <c r="C14" s="302" t="s">
        <v>533</v>
      </c>
      <c r="D14" s="303">
        <v>11613660305.504013</v>
      </c>
      <c r="E14" s="304">
        <f t="shared" si="0"/>
        <v>9.6984400000000026E-3</v>
      </c>
      <c r="F14" s="305">
        <v>14</v>
      </c>
      <c r="G14" s="394">
        <v>1</v>
      </c>
      <c r="H14" s="387">
        <f t="shared" si="1"/>
        <v>9.6984400000000026E-3</v>
      </c>
      <c r="I14" s="390">
        <f t="shared" si="5"/>
        <v>11613660305.504013</v>
      </c>
      <c r="J14" s="414">
        <v>1</v>
      </c>
      <c r="K14" s="343">
        <f t="shared" si="2"/>
        <v>9.6984400000000026E-3</v>
      </c>
      <c r="L14" s="308">
        <f t="shared" si="3"/>
        <v>11613660305.504013</v>
      </c>
      <c r="M14" s="309"/>
      <c r="N14" s="309">
        <f t="shared" si="4"/>
        <v>0</v>
      </c>
      <c r="O14" s="310">
        <f t="shared" si="6"/>
        <v>0</v>
      </c>
      <c r="P14" s="311"/>
      <c r="Q14" s="501">
        <f>I32+I62+I101+I131+I170+I200</f>
        <v>76501906276.983063</v>
      </c>
      <c r="R14" s="502">
        <f>Q14/Q15</f>
        <v>0.17544021698021853</v>
      </c>
      <c r="S14" s="638">
        <f>R14*('سازمان دهی و برنامه ریزی پروژه'!$I$8)+Q14</f>
        <v>77551074019.603088</v>
      </c>
    </row>
    <row r="15" spans="1:19" s="312" customFormat="1" ht="27.95" customHeight="1">
      <c r="A15" s="18">
        <v>8</v>
      </c>
      <c r="B15" s="301" t="s">
        <v>231</v>
      </c>
      <c r="C15" s="302" t="s">
        <v>534</v>
      </c>
      <c r="D15" s="303">
        <v>8710245229.1280079</v>
      </c>
      <c r="E15" s="304">
        <f t="shared" si="0"/>
        <v>7.2738300000000002E-3</v>
      </c>
      <c r="F15" s="305">
        <v>3</v>
      </c>
      <c r="G15" s="394">
        <v>1</v>
      </c>
      <c r="H15" s="387">
        <f t="shared" si="1"/>
        <v>7.2738300000000002E-3</v>
      </c>
      <c r="I15" s="390">
        <f t="shared" si="5"/>
        <v>8710245229.1280079</v>
      </c>
      <c r="J15" s="414">
        <v>1</v>
      </c>
      <c r="K15" s="343">
        <f t="shared" si="2"/>
        <v>7.2738300000000002E-3</v>
      </c>
      <c r="L15" s="308">
        <f t="shared" si="3"/>
        <v>8710245229.1280079</v>
      </c>
      <c r="M15" s="309"/>
      <c r="N15" s="309">
        <f t="shared" si="4"/>
        <v>0</v>
      </c>
      <c r="O15" s="310">
        <f t="shared" si="6"/>
        <v>0</v>
      </c>
      <c r="P15" s="311"/>
      <c r="Q15" s="501">
        <f>SUM(Q12:Q14)</f>
        <v>436056838014.56372</v>
      </c>
      <c r="S15" s="501">
        <f>SUM(S12:S14)</f>
        <v>442037038909.6546</v>
      </c>
    </row>
    <row r="16" spans="1:19" s="312" customFormat="1" ht="27.95" customHeight="1">
      <c r="A16" s="18">
        <v>9</v>
      </c>
      <c r="B16" s="301" t="s">
        <v>232</v>
      </c>
      <c r="C16" s="302" t="s">
        <v>535</v>
      </c>
      <c r="D16" s="303">
        <v>6677854675.6648073</v>
      </c>
      <c r="E16" s="304">
        <f t="shared" si="0"/>
        <v>5.5766030000000012E-3</v>
      </c>
      <c r="F16" s="305">
        <v>14</v>
      </c>
      <c r="G16" s="394">
        <v>1</v>
      </c>
      <c r="H16" s="387">
        <f t="shared" si="1"/>
        <v>5.5766030000000012E-3</v>
      </c>
      <c r="I16" s="390">
        <f t="shared" si="5"/>
        <v>6677854675.6648073</v>
      </c>
      <c r="J16" s="414">
        <v>1</v>
      </c>
      <c r="K16" s="343">
        <f t="shared" si="2"/>
        <v>5.5766030000000012E-3</v>
      </c>
      <c r="L16" s="308">
        <f t="shared" si="3"/>
        <v>6677854675.6648073</v>
      </c>
      <c r="M16" s="309"/>
      <c r="N16" s="309">
        <f t="shared" si="4"/>
        <v>0</v>
      </c>
      <c r="O16" s="310">
        <f t="shared" si="6"/>
        <v>0</v>
      </c>
      <c r="P16" s="311"/>
      <c r="S16" s="501">
        <f>I8-I216+'سازمان دهی و برنامه ریزی پروژه'!I8</f>
        <v>442037038909.65466</v>
      </c>
    </row>
    <row r="17" spans="1:17" s="312" customFormat="1" ht="27.95" customHeight="1">
      <c r="A17" s="18">
        <v>10</v>
      </c>
      <c r="B17" s="301" t="s">
        <v>233</v>
      </c>
      <c r="C17" s="302" t="s">
        <v>536</v>
      </c>
      <c r="D17" s="303">
        <v>4935805629.8392048</v>
      </c>
      <c r="E17" s="304">
        <f t="shared" si="0"/>
        <v>4.1218370000000006E-3</v>
      </c>
      <c r="F17" s="305">
        <v>3</v>
      </c>
      <c r="G17" s="394">
        <v>1</v>
      </c>
      <c r="H17" s="387">
        <f t="shared" si="1"/>
        <v>4.1218370000000006E-3</v>
      </c>
      <c r="I17" s="390">
        <f t="shared" si="5"/>
        <v>4935805629.8392048</v>
      </c>
      <c r="J17" s="414">
        <v>1</v>
      </c>
      <c r="K17" s="343">
        <f t="shared" si="2"/>
        <v>4.1218370000000006E-3</v>
      </c>
      <c r="L17" s="308">
        <f t="shared" si="3"/>
        <v>4935805629.8392048</v>
      </c>
      <c r="M17" s="309"/>
      <c r="N17" s="309">
        <f t="shared" si="4"/>
        <v>0</v>
      </c>
      <c r="O17" s="310">
        <f t="shared" si="6"/>
        <v>0</v>
      </c>
      <c r="P17" s="311"/>
    </row>
    <row r="18" spans="1:17" s="312" customFormat="1" ht="27.95" customHeight="1">
      <c r="A18" s="18">
        <v>11</v>
      </c>
      <c r="B18" s="301" t="s">
        <v>234</v>
      </c>
      <c r="C18" s="302" t="s">
        <v>765</v>
      </c>
      <c r="D18" s="303">
        <v>8710245229.1280079</v>
      </c>
      <c r="E18" s="304">
        <f t="shared" si="0"/>
        <v>7.2738300000000002E-3</v>
      </c>
      <c r="F18" s="305">
        <v>14</v>
      </c>
      <c r="G18" s="394">
        <v>1</v>
      </c>
      <c r="H18" s="387">
        <f t="shared" si="1"/>
        <v>7.2738300000000002E-3</v>
      </c>
      <c r="I18" s="390">
        <f t="shared" si="5"/>
        <v>8710245229.1280079</v>
      </c>
      <c r="J18" s="414">
        <v>1</v>
      </c>
      <c r="K18" s="343">
        <f t="shared" si="2"/>
        <v>7.2738300000000002E-3</v>
      </c>
      <c r="L18" s="308">
        <f t="shared" si="3"/>
        <v>8710245229.1280079</v>
      </c>
      <c r="M18" s="309"/>
      <c r="N18" s="309">
        <f t="shared" si="4"/>
        <v>0</v>
      </c>
      <c r="O18" s="310">
        <f t="shared" si="6"/>
        <v>0</v>
      </c>
      <c r="P18" s="311"/>
    </row>
    <row r="19" spans="1:17" s="312" customFormat="1" ht="27.95" customHeight="1">
      <c r="A19" s="18">
        <v>12</v>
      </c>
      <c r="B19" s="301" t="s">
        <v>699</v>
      </c>
      <c r="C19" s="302" t="s">
        <v>539</v>
      </c>
      <c r="D19" s="303">
        <v>2903415076.3760033</v>
      </c>
      <c r="E19" s="304">
        <f t="shared" si="0"/>
        <v>2.4246100000000007E-3</v>
      </c>
      <c r="F19" s="305">
        <v>3</v>
      </c>
      <c r="G19" s="394">
        <v>1</v>
      </c>
      <c r="H19" s="387">
        <f t="shared" si="1"/>
        <v>2.4246100000000007E-3</v>
      </c>
      <c r="I19" s="390">
        <f t="shared" si="5"/>
        <v>2903415076.3760033</v>
      </c>
      <c r="J19" s="414">
        <v>1</v>
      </c>
      <c r="K19" s="343">
        <f t="shared" si="2"/>
        <v>2.4246100000000007E-3</v>
      </c>
      <c r="L19" s="308">
        <f>K19*$L$4</f>
        <v>2903415076.3760033</v>
      </c>
      <c r="M19" s="309"/>
      <c r="N19" s="309">
        <f t="shared" si="4"/>
        <v>0</v>
      </c>
      <c r="O19" s="310">
        <f t="shared" si="6"/>
        <v>0</v>
      </c>
      <c r="P19" s="311"/>
    </row>
    <row r="20" spans="1:17" s="456" customFormat="1" ht="27.95" customHeight="1">
      <c r="A20" s="443">
        <v>13</v>
      </c>
      <c r="B20" s="444" t="s">
        <v>236</v>
      </c>
      <c r="C20" s="445" t="s">
        <v>542</v>
      </c>
      <c r="D20" s="446">
        <f>SUM(D21:D30)</f>
        <v>47082406644</v>
      </c>
      <c r="E20" s="447">
        <f t="shared" si="0"/>
        <v>3.9318000000054136E-2</v>
      </c>
      <c r="F20" s="448"/>
      <c r="G20" s="449"/>
      <c r="H20" s="450">
        <f>SUM(H21:H31)</f>
        <v>3.9318000000054136E-2</v>
      </c>
      <c r="I20" s="451">
        <f>SUM(I21:I31)</f>
        <v>47082406644</v>
      </c>
      <c r="J20" s="515">
        <f>L20/D20</f>
        <v>0.81509999999999994</v>
      </c>
      <c r="K20" s="452">
        <f>SUM(K21:K31)</f>
        <v>3.2048101800044131E-2</v>
      </c>
      <c r="L20" s="453">
        <f>SUM(L21:L31)</f>
        <v>38376869655.524399</v>
      </c>
      <c r="M20" s="454"/>
      <c r="N20" s="454"/>
      <c r="O20" s="455"/>
      <c r="P20" s="444"/>
    </row>
    <row r="21" spans="1:17" s="312" customFormat="1" ht="27.95" customHeight="1">
      <c r="A21" s="18">
        <v>14</v>
      </c>
      <c r="B21" s="18" t="s">
        <v>237</v>
      </c>
      <c r="C21" s="45" t="s">
        <v>743</v>
      </c>
      <c r="D21" s="314">
        <v>1600801826</v>
      </c>
      <c r="E21" s="347">
        <f t="shared" si="0"/>
        <v>1.3368120000886898E-3</v>
      </c>
      <c r="F21" s="317">
        <v>3</v>
      </c>
      <c r="G21" s="396">
        <v>1</v>
      </c>
      <c r="H21" s="387">
        <f t="shared" ref="H21:H31" si="7">G21*E21</f>
        <v>1.3368120000886898E-3</v>
      </c>
      <c r="I21" s="390">
        <f t="shared" si="5"/>
        <v>1600801826</v>
      </c>
      <c r="J21" s="510">
        <f>1-18.49%</f>
        <v>0.81510000000000005</v>
      </c>
      <c r="K21" s="343">
        <f t="shared" ref="K21:K30" si="8">J21*E21</f>
        <v>1.0896354612722912E-3</v>
      </c>
      <c r="L21" s="308">
        <f t="shared" ref="L21:L30" si="9">J21*D21</f>
        <v>1304813568.3726001</v>
      </c>
      <c r="M21" s="1200" t="s">
        <v>877</v>
      </c>
      <c r="N21" s="1201"/>
      <c r="O21" s="1202"/>
      <c r="P21" s="311"/>
      <c r="Q21" s="344"/>
    </row>
    <row r="22" spans="1:17" s="312" customFormat="1" ht="27.95" customHeight="1">
      <c r="A22" s="18">
        <v>15</v>
      </c>
      <c r="B22" s="18" t="s">
        <v>238</v>
      </c>
      <c r="C22" s="45" t="s">
        <v>540</v>
      </c>
      <c r="D22" s="314">
        <v>8474833196</v>
      </c>
      <c r="E22" s="347">
        <f t="shared" si="0"/>
        <v>7.077240000076551E-3</v>
      </c>
      <c r="F22" s="317">
        <v>8</v>
      </c>
      <c r="G22" s="396">
        <v>1</v>
      </c>
      <c r="H22" s="387">
        <f t="shared" si="7"/>
        <v>7.077240000076551E-3</v>
      </c>
      <c r="I22" s="390">
        <f t="shared" si="5"/>
        <v>8474833196</v>
      </c>
      <c r="J22" s="510">
        <f t="shared" ref="J22:J30" si="10">1-18.49%</f>
        <v>0.81510000000000005</v>
      </c>
      <c r="K22" s="343">
        <f t="shared" si="8"/>
        <v>5.768658324062397E-3</v>
      </c>
      <c r="L22" s="308">
        <f t="shared" si="9"/>
        <v>6907836538.0596008</v>
      </c>
      <c r="M22" s="1185"/>
      <c r="N22" s="1186"/>
      <c r="O22" s="1187"/>
      <c r="P22" s="311"/>
      <c r="Q22" s="344"/>
    </row>
    <row r="23" spans="1:17" s="312" customFormat="1" ht="27.95" customHeight="1">
      <c r="A23" s="18">
        <v>16</v>
      </c>
      <c r="B23" s="18" t="s">
        <v>239</v>
      </c>
      <c r="C23" s="45" t="s">
        <v>744</v>
      </c>
      <c r="D23" s="314">
        <v>16949666392</v>
      </c>
      <c r="E23" s="347">
        <f t="shared" si="0"/>
        <v>1.4154480000153102E-2</v>
      </c>
      <c r="F23" s="317">
        <v>9</v>
      </c>
      <c r="G23" s="396">
        <v>1</v>
      </c>
      <c r="H23" s="387">
        <f t="shared" si="7"/>
        <v>1.4154480000153102E-2</v>
      </c>
      <c r="I23" s="390">
        <f t="shared" si="5"/>
        <v>16949666392</v>
      </c>
      <c r="J23" s="510">
        <f t="shared" si="10"/>
        <v>0.81510000000000005</v>
      </c>
      <c r="K23" s="343">
        <f t="shared" si="8"/>
        <v>1.1537316648124794E-2</v>
      </c>
      <c r="L23" s="308">
        <f t="shared" si="9"/>
        <v>13815673076.119202</v>
      </c>
      <c r="M23" s="1185"/>
      <c r="N23" s="1186"/>
      <c r="O23" s="1187"/>
      <c r="P23" s="311"/>
      <c r="Q23" s="344"/>
    </row>
    <row r="24" spans="1:17" s="312" customFormat="1" ht="27.95" customHeight="1">
      <c r="A24" s="18">
        <v>17</v>
      </c>
      <c r="B24" s="18" t="s">
        <v>240</v>
      </c>
      <c r="C24" s="45" t="s">
        <v>745</v>
      </c>
      <c r="D24" s="314">
        <v>8474833196</v>
      </c>
      <c r="E24" s="347">
        <f t="shared" si="0"/>
        <v>7.077240000076551E-3</v>
      </c>
      <c r="F24" s="375" t="s">
        <v>846</v>
      </c>
      <c r="G24" s="396">
        <v>1</v>
      </c>
      <c r="H24" s="387">
        <f t="shared" si="7"/>
        <v>7.077240000076551E-3</v>
      </c>
      <c r="I24" s="390">
        <f t="shared" si="5"/>
        <v>8474833196</v>
      </c>
      <c r="J24" s="510">
        <f t="shared" si="10"/>
        <v>0.81510000000000005</v>
      </c>
      <c r="K24" s="343">
        <f t="shared" si="8"/>
        <v>5.768658324062397E-3</v>
      </c>
      <c r="L24" s="308">
        <f t="shared" si="9"/>
        <v>6907836538.0596008</v>
      </c>
      <c r="M24" s="1185"/>
      <c r="N24" s="1186"/>
      <c r="O24" s="1187"/>
      <c r="P24" s="311"/>
      <c r="Q24" s="344"/>
    </row>
    <row r="25" spans="1:17" s="312" customFormat="1" ht="27.95" customHeight="1">
      <c r="A25" s="18">
        <v>18</v>
      </c>
      <c r="B25" s="18" t="s">
        <v>241</v>
      </c>
      <c r="C25" s="383" t="s">
        <v>746</v>
      </c>
      <c r="D25" s="314">
        <v>470824066</v>
      </c>
      <c r="E25" s="347">
        <f t="shared" si="0"/>
        <v>3.9317999963310216E-4</v>
      </c>
      <c r="F25" s="317">
        <v>16</v>
      </c>
      <c r="G25" s="396">
        <v>1</v>
      </c>
      <c r="H25" s="387">
        <f t="shared" si="7"/>
        <v>3.9317999963310216E-4</v>
      </c>
      <c r="I25" s="390">
        <f t="shared" si="5"/>
        <v>470824066</v>
      </c>
      <c r="J25" s="510">
        <f t="shared" si="10"/>
        <v>0.81510000000000005</v>
      </c>
      <c r="K25" s="343">
        <f t="shared" si="8"/>
        <v>3.2048101770094158E-4</v>
      </c>
      <c r="L25" s="308">
        <f t="shared" si="9"/>
        <v>383768696.19660002</v>
      </c>
      <c r="M25" s="1185"/>
      <c r="N25" s="1186"/>
      <c r="O25" s="1187"/>
      <c r="P25" s="311"/>
      <c r="Q25" s="344"/>
    </row>
    <row r="26" spans="1:17" s="312" customFormat="1" ht="42" customHeight="1">
      <c r="A26" s="18">
        <v>19</v>
      </c>
      <c r="B26" s="18" t="s">
        <v>242</v>
      </c>
      <c r="C26" s="383" t="s">
        <v>747</v>
      </c>
      <c r="D26" s="314">
        <v>847483320</v>
      </c>
      <c r="E26" s="347">
        <f t="shared" si="0"/>
        <v>7.0772400034169072E-4</v>
      </c>
      <c r="F26" s="317">
        <v>6</v>
      </c>
      <c r="G26" s="396">
        <v>1</v>
      </c>
      <c r="H26" s="387">
        <f t="shared" si="7"/>
        <v>7.0772400034169072E-4</v>
      </c>
      <c r="I26" s="390">
        <f t="shared" si="5"/>
        <v>847483320</v>
      </c>
      <c r="J26" s="510">
        <f t="shared" si="10"/>
        <v>0.81510000000000005</v>
      </c>
      <c r="K26" s="343">
        <f t="shared" si="8"/>
        <v>5.7686583267851216E-4</v>
      </c>
      <c r="L26" s="308">
        <f t="shared" si="9"/>
        <v>690783654.13200009</v>
      </c>
      <c r="M26" s="1185"/>
      <c r="N26" s="1186"/>
      <c r="O26" s="1187"/>
      <c r="P26" s="311"/>
      <c r="Q26" s="344"/>
    </row>
    <row r="27" spans="1:17" s="312" customFormat="1" ht="27.95" customHeight="1">
      <c r="A27" s="18">
        <v>20</v>
      </c>
      <c r="B27" s="18" t="s">
        <v>243</v>
      </c>
      <c r="C27" s="383" t="s">
        <v>748</v>
      </c>
      <c r="D27" s="314">
        <v>2636614772</v>
      </c>
      <c r="E27" s="347">
        <f t="shared" si="0"/>
        <v>2.2018079999495859E-3</v>
      </c>
      <c r="F27" s="317">
        <v>11</v>
      </c>
      <c r="G27" s="396">
        <v>1</v>
      </c>
      <c r="H27" s="387">
        <f t="shared" si="7"/>
        <v>2.2018079999495859E-3</v>
      </c>
      <c r="I27" s="390">
        <f t="shared" si="5"/>
        <v>2636614772</v>
      </c>
      <c r="J27" s="510">
        <f t="shared" si="10"/>
        <v>0.81510000000000005</v>
      </c>
      <c r="K27" s="343">
        <f t="shared" si="8"/>
        <v>1.7946937007589075E-3</v>
      </c>
      <c r="L27" s="308">
        <f t="shared" si="9"/>
        <v>2149104700.6572003</v>
      </c>
      <c r="M27" s="1185"/>
      <c r="N27" s="1186"/>
      <c r="O27" s="1187"/>
      <c r="P27" s="311"/>
      <c r="Q27" s="344"/>
    </row>
    <row r="28" spans="1:17" s="312" customFormat="1" ht="27.95" customHeight="1">
      <c r="A28" s="18">
        <v>21</v>
      </c>
      <c r="B28" s="18" t="s">
        <v>244</v>
      </c>
      <c r="C28" s="383" t="s">
        <v>749</v>
      </c>
      <c r="D28" s="314">
        <v>3954922158</v>
      </c>
      <c r="E28" s="347">
        <f t="shared" si="0"/>
        <v>3.3027119999243788E-3</v>
      </c>
      <c r="F28" s="317">
        <v>3</v>
      </c>
      <c r="G28" s="396">
        <v>1</v>
      </c>
      <c r="H28" s="387">
        <f t="shared" si="7"/>
        <v>3.3027119999243788E-3</v>
      </c>
      <c r="I28" s="390">
        <f t="shared" si="5"/>
        <v>3954922158</v>
      </c>
      <c r="J28" s="510">
        <f t="shared" si="10"/>
        <v>0.81510000000000005</v>
      </c>
      <c r="K28" s="343">
        <f t="shared" si="8"/>
        <v>2.6920405511383612E-3</v>
      </c>
      <c r="L28" s="308">
        <f t="shared" si="9"/>
        <v>3223657050.9858003</v>
      </c>
      <c r="M28" s="1185"/>
      <c r="N28" s="1186"/>
      <c r="O28" s="1187"/>
      <c r="P28" s="311"/>
      <c r="Q28" s="344"/>
    </row>
    <row r="29" spans="1:17" s="312" customFormat="1" ht="27.95" customHeight="1">
      <c r="A29" s="18">
        <v>22</v>
      </c>
      <c r="B29" s="18" t="s">
        <v>612</v>
      </c>
      <c r="C29" s="383" t="s">
        <v>750</v>
      </c>
      <c r="D29" s="314">
        <v>1318307386</v>
      </c>
      <c r="E29" s="347">
        <f t="shared" si="0"/>
        <v>1.1009039999747929E-3</v>
      </c>
      <c r="F29" s="317">
        <v>20</v>
      </c>
      <c r="G29" s="396">
        <v>1</v>
      </c>
      <c r="H29" s="387">
        <f t="shared" si="7"/>
        <v>1.1009039999747929E-3</v>
      </c>
      <c r="I29" s="390">
        <f t="shared" si="5"/>
        <v>1318307386</v>
      </c>
      <c r="J29" s="510">
        <f t="shared" si="10"/>
        <v>0.81510000000000005</v>
      </c>
      <c r="K29" s="343">
        <f t="shared" si="8"/>
        <v>8.9734685037945374E-4</v>
      </c>
      <c r="L29" s="308">
        <f t="shared" si="9"/>
        <v>1074552350.3286002</v>
      </c>
      <c r="M29" s="1185"/>
      <c r="N29" s="1186"/>
      <c r="O29" s="1187"/>
      <c r="P29" s="311"/>
      <c r="Q29" s="344"/>
    </row>
    <row r="30" spans="1:17" s="312" customFormat="1" ht="27.95" customHeight="1">
      <c r="A30" s="18">
        <v>23</v>
      </c>
      <c r="B30" s="18" t="s">
        <v>613</v>
      </c>
      <c r="C30" s="383" t="s">
        <v>539</v>
      </c>
      <c r="D30" s="314">
        <v>2354120332</v>
      </c>
      <c r="E30" s="347">
        <f t="shared" si="0"/>
        <v>1.9658999998356888E-3</v>
      </c>
      <c r="F30" s="317">
        <v>3</v>
      </c>
      <c r="G30" s="396">
        <v>1</v>
      </c>
      <c r="H30" s="387">
        <f t="shared" si="7"/>
        <v>1.9658999998356888E-3</v>
      </c>
      <c r="I30" s="390">
        <f t="shared" si="5"/>
        <v>2354120332</v>
      </c>
      <c r="J30" s="510">
        <f t="shared" si="10"/>
        <v>0.81510000000000005</v>
      </c>
      <c r="K30" s="343">
        <f t="shared" si="8"/>
        <v>1.60240508986607E-3</v>
      </c>
      <c r="L30" s="308">
        <f t="shared" si="9"/>
        <v>1918843482.6132002</v>
      </c>
      <c r="M30" s="1185"/>
      <c r="N30" s="1186"/>
      <c r="O30" s="1187"/>
      <c r="P30" s="311"/>
      <c r="Q30" s="344"/>
    </row>
    <row r="31" spans="1:17" s="320" customFormat="1" ht="27.95" customHeight="1">
      <c r="A31" s="18">
        <v>24</v>
      </c>
      <c r="B31" s="18" t="s">
        <v>614</v>
      </c>
      <c r="C31" s="383" t="s">
        <v>562</v>
      </c>
      <c r="D31" s="315" t="s">
        <v>733</v>
      </c>
      <c r="E31" s="347">
        <v>0</v>
      </c>
      <c r="F31" s="317"/>
      <c r="G31" s="397">
        <v>1</v>
      </c>
      <c r="H31" s="387">
        <f t="shared" si="7"/>
        <v>0</v>
      </c>
      <c r="I31" s="390">
        <f t="shared" si="5"/>
        <v>0</v>
      </c>
      <c r="J31" s="395"/>
      <c r="K31" s="343"/>
      <c r="L31" s="308"/>
      <c r="M31" s="1188"/>
      <c r="N31" s="1189"/>
      <c r="O31" s="1190"/>
      <c r="P31" s="318"/>
      <c r="Q31" s="319"/>
    </row>
    <row r="32" spans="1:17" s="456" customFormat="1" ht="27.95" customHeight="1">
      <c r="A32" s="443">
        <v>25</v>
      </c>
      <c r="B32" s="444" t="s">
        <v>245</v>
      </c>
      <c r="C32" s="445" t="s">
        <v>543</v>
      </c>
      <c r="D32" s="446">
        <f>SUM(D33:D50)</f>
        <v>51790647308.328705</v>
      </c>
      <c r="E32" s="447">
        <f>SUM(E33:E50)</f>
        <v>4.3249800000000005E-2</v>
      </c>
      <c r="F32" s="448"/>
      <c r="G32" s="449">
        <f>I32/D32</f>
        <v>0.51650000000000007</v>
      </c>
      <c r="H32" s="450">
        <f>SUM(H33:H50)</f>
        <v>2.2338521700000006E-2</v>
      </c>
      <c r="I32" s="451">
        <f>SUM(I33:I50)</f>
        <v>26749869334.751778</v>
      </c>
      <c r="J32" s="515">
        <f>L32/D32</f>
        <v>0.17620465698950682</v>
      </c>
      <c r="K32" s="452">
        <f>SUM(K33:K50)</f>
        <v>7.6208161738647749E-3</v>
      </c>
      <c r="L32" s="453">
        <f>SUM(L33:L50)</f>
        <v>9125753244.2285843</v>
      </c>
      <c r="M32" s="454"/>
      <c r="N32" s="454">
        <f>SUM(N33:N50)</f>
        <v>0</v>
      </c>
      <c r="O32" s="455">
        <f>SUM(O33:O50)</f>
        <v>0</v>
      </c>
      <c r="P32" s="444"/>
      <c r="Q32" s="457"/>
    </row>
    <row r="33" spans="1:17" s="312" customFormat="1" ht="27.95" customHeight="1">
      <c r="A33" s="18">
        <v>26</v>
      </c>
      <c r="B33" s="301" t="s">
        <v>246</v>
      </c>
      <c r="C33" s="302" t="s">
        <v>545</v>
      </c>
      <c r="D33" s="303">
        <v>517906473.083287</v>
      </c>
      <c r="E33" s="347">
        <f t="shared" ref="E33:E50" si="11">D33/$L$4</f>
        <v>4.3249800000000007E-4</v>
      </c>
      <c r="F33" s="305">
        <v>21</v>
      </c>
      <c r="G33" s="394">
        <v>1</v>
      </c>
      <c r="H33" s="387">
        <f t="shared" ref="H33:H50" si="12">G33*E33</f>
        <v>4.3249800000000007E-4</v>
      </c>
      <c r="I33" s="390">
        <f t="shared" si="5"/>
        <v>517906473.083287</v>
      </c>
      <c r="J33" s="511">
        <f>1/3</f>
        <v>0.33333333333333331</v>
      </c>
      <c r="K33" s="343">
        <f t="shared" ref="K33:K50" si="13">J33*E33</f>
        <v>1.4416600000000002E-4</v>
      </c>
      <c r="L33" s="308">
        <f t="shared" ref="L33:L50" si="14">K33*$L$4</f>
        <v>172635491.02776232</v>
      </c>
      <c r="M33" s="1182" t="s">
        <v>891</v>
      </c>
      <c r="N33" s="1183"/>
      <c r="O33" s="1184"/>
      <c r="P33" s="311"/>
    </row>
    <row r="34" spans="1:17" s="312" customFormat="1" ht="27.95" customHeight="1">
      <c r="A34" s="18">
        <v>27</v>
      </c>
      <c r="B34" s="301" t="s">
        <v>247</v>
      </c>
      <c r="C34" s="302" t="s">
        <v>546</v>
      </c>
      <c r="D34" s="303">
        <v>5127274083.5245419</v>
      </c>
      <c r="E34" s="347">
        <f t="shared" si="11"/>
        <v>4.281730200000001E-3</v>
      </c>
      <c r="F34" s="305">
        <v>14</v>
      </c>
      <c r="G34" s="394">
        <v>1</v>
      </c>
      <c r="H34" s="387">
        <f t="shared" si="12"/>
        <v>4.281730200000001E-3</v>
      </c>
      <c r="I34" s="390">
        <f t="shared" si="5"/>
        <v>5127274083.5245419</v>
      </c>
      <c r="J34" s="511">
        <f>14481.5/14501.5</f>
        <v>0.99862083232769028</v>
      </c>
      <c r="K34" s="343">
        <f t="shared" si="13"/>
        <v>4.2758249761266085E-3</v>
      </c>
      <c r="L34" s="308">
        <f t="shared" si="14"/>
        <v>5120202712.8614731</v>
      </c>
      <c r="M34" s="1185"/>
      <c r="N34" s="1186"/>
      <c r="O34" s="1187"/>
      <c r="P34" s="311"/>
    </row>
    <row r="35" spans="1:17" s="312" customFormat="1" ht="27.95" customHeight="1">
      <c r="A35" s="18">
        <v>28</v>
      </c>
      <c r="B35" s="301" t="s">
        <v>248</v>
      </c>
      <c r="C35" s="302" t="s">
        <v>547</v>
      </c>
      <c r="D35" s="303">
        <v>5179064730.8328705</v>
      </c>
      <c r="E35" s="347">
        <f t="shared" si="11"/>
        <v>4.3249800000000008E-3</v>
      </c>
      <c r="F35" s="305">
        <v>14</v>
      </c>
      <c r="G35" s="394">
        <v>1</v>
      </c>
      <c r="H35" s="387">
        <f t="shared" si="12"/>
        <v>4.3249800000000008E-3</v>
      </c>
      <c r="I35" s="390">
        <f t="shared" si="5"/>
        <v>5179064730.8328705</v>
      </c>
      <c r="J35" s="512"/>
      <c r="K35" s="343">
        <f t="shared" si="13"/>
        <v>0</v>
      </c>
      <c r="L35" s="308">
        <f t="shared" si="14"/>
        <v>0</v>
      </c>
      <c r="M35" s="1185"/>
      <c r="N35" s="1186"/>
      <c r="O35" s="1187"/>
      <c r="P35" s="311"/>
    </row>
    <row r="36" spans="1:17" s="312" customFormat="1" ht="27.95" customHeight="1">
      <c r="A36" s="18">
        <v>29</v>
      </c>
      <c r="B36" s="301" t="s">
        <v>249</v>
      </c>
      <c r="C36" s="302" t="s">
        <v>548</v>
      </c>
      <c r="D36" s="303">
        <v>5179064730.8328705</v>
      </c>
      <c r="E36" s="347">
        <f t="shared" si="11"/>
        <v>4.3249800000000008E-3</v>
      </c>
      <c r="F36" s="305">
        <v>14</v>
      </c>
      <c r="G36" s="394">
        <v>1</v>
      </c>
      <c r="H36" s="387">
        <f t="shared" si="12"/>
        <v>4.3249800000000008E-3</v>
      </c>
      <c r="I36" s="390">
        <f t="shared" si="5"/>
        <v>5179064730.8328705</v>
      </c>
      <c r="J36" s="513"/>
      <c r="K36" s="343">
        <f t="shared" si="13"/>
        <v>0</v>
      </c>
      <c r="L36" s="308">
        <f t="shared" si="14"/>
        <v>0</v>
      </c>
      <c r="M36" s="1185"/>
      <c r="N36" s="1186"/>
      <c r="O36" s="1187"/>
      <c r="P36" s="311"/>
    </row>
    <row r="37" spans="1:17" s="312" customFormat="1" ht="27.95" customHeight="1">
      <c r="A37" s="18">
        <v>30</v>
      </c>
      <c r="B37" s="301" t="s">
        <v>250</v>
      </c>
      <c r="C37" s="302" t="s">
        <v>549</v>
      </c>
      <c r="D37" s="303">
        <v>4143251784.666296</v>
      </c>
      <c r="E37" s="347">
        <f t="shared" si="11"/>
        <v>3.4599840000000006E-3</v>
      </c>
      <c r="F37" s="305">
        <v>14</v>
      </c>
      <c r="G37" s="394">
        <v>1</v>
      </c>
      <c r="H37" s="387">
        <f t="shared" si="12"/>
        <v>3.4599840000000006E-3</v>
      </c>
      <c r="I37" s="390">
        <f t="shared" si="5"/>
        <v>4143251784.666296</v>
      </c>
      <c r="J37" s="513"/>
      <c r="K37" s="343">
        <f t="shared" si="13"/>
        <v>0</v>
      </c>
      <c r="L37" s="308">
        <f t="shared" si="14"/>
        <v>0</v>
      </c>
      <c r="M37" s="1185"/>
      <c r="N37" s="1186"/>
      <c r="O37" s="1187"/>
      <c r="P37" s="311"/>
    </row>
    <row r="38" spans="1:17" s="312" customFormat="1" ht="27.95" customHeight="1">
      <c r="A38" s="18">
        <v>31</v>
      </c>
      <c r="B38" s="301" t="s">
        <v>251</v>
      </c>
      <c r="C38" s="302" t="s">
        <v>550</v>
      </c>
      <c r="D38" s="303">
        <v>2589532365.4164352</v>
      </c>
      <c r="E38" s="347">
        <f t="shared" si="11"/>
        <v>2.1624900000000004E-3</v>
      </c>
      <c r="F38" s="305">
        <v>14</v>
      </c>
      <c r="G38" s="394">
        <v>1</v>
      </c>
      <c r="H38" s="387">
        <f t="shared" si="12"/>
        <v>2.1624900000000004E-3</v>
      </c>
      <c r="I38" s="390">
        <f t="shared" si="5"/>
        <v>2589532365.4164352</v>
      </c>
      <c r="J38" s="513"/>
      <c r="K38" s="343">
        <f t="shared" si="13"/>
        <v>0</v>
      </c>
      <c r="L38" s="308">
        <f t="shared" si="14"/>
        <v>0</v>
      </c>
      <c r="M38" s="1185"/>
      <c r="N38" s="1186"/>
      <c r="O38" s="1187"/>
      <c r="P38" s="311"/>
    </row>
    <row r="39" spans="1:17" s="312" customFormat="1" ht="27.95" customHeight="1">
      <c r="A39" s="18">
        <v>32</v>
      </c>
      <c r="B39" s="301" t="s">
        <v>252</v>
      </c>
      <c r="C39" s="302" t="s">
        <v>551</v>
      </c>
      <c r="D39" s="303">
        <v>2071625892.333148</v>
      </c>
      <c r="E39" s="347">
        <f t="shared" si="11"/>
        <v>1.7299920000000003E-3</v>
      </c>
      <c r="F39" s="305">
        <v>23</v>
      </c>
      <c r="G39" s="394">
        <v>1</v>
      </c>
      <c r="H39" s="387">
        <f t="shared" si="12"/>
        <v>1.7299920000000003E-3</v>
      </c>
      <c r="I39" s="390">
        <f t="shared" si="5"/>
        <v>2071625892.333148</v>
      </c>
      <c r="J39" s="514">
        <f>J34</f>
        <v>0.99862083232769028</v>
      </c>
      <c r="K39" s="343">
        <f t="shared" si="13"/>
        <v>1.7276060509602458E-3</v>
      </c>
      <c r="L39" s="308">
        <f t="shared" si="14"/>
        <v>2068768772.8733225</v>
      </c>
      <c r="M39" s="1185"/>
      <c r="N39" s="1186"/>
      <c r="O39" s="1187"/>
      <c r="P39" s="311"/>
    </row>
    <row r="40" spans="1:17" s="408" customFormat="1" ht="27.95" customHeight="1">
      <c r="A40" s="18">
        <v>33</v>
      </c>
      <c r="B40" s="301" t="s">
        <v>253</v>
      </c>
      <c r="C40" s="302" t="s">
        <v>552</v>
      </c>
      <c r="D40" s="303">
        <v>1294766182.7082176</v>
      </c>
      <c r="E40" s="347">
        <f t="shared" si="11"/>
        <v>1.0812450000000002E-3</v>
      </c>
      <c r="F40" s="305">
        <v>23</v>
      </c>
      <c r="G40" s="394">
        <v>0</v>
      </c>
      <c r="H40" s="387">
        <f t="shared" si="12"/>
        <v>0</v>
      </c>
      <c r="I40" s="390">
        <f t="shared" si="5"/>
        <v>0</v>
      </c>
      <c r="J40" s="513"/>
      <c r="K40" s="343">
        <f t="shared" si="13"/>
        <v>0</v>
      </c>
      <c r="L40" s="308">
        <f t="shared" si="14"/>
        <v>0</v>
      </c>
      <c r="M40" s="1185"/>
      <c r="N40" s="1186"/>
      <c r="O40" s="1187"/>
      <c r="P40" s="311"/>
      <c r="Q40" s="409"/>
    </row>
    <row r="41" spans="1:17" s="312" customFormat="1" ht="27.95" customHeight="1">
      <c r="A41" s="18">
        <v>34</v>
      </c>
      <c r="B41" s="301" t="s">
        <v>254</v>
      </c>
      <c r="C41" s="302" t="s">
        <v>553</v>
      </c>
      <c r="D41" s="303">
        <v>2589532365.4164352</v>
      </c>
      <c r="E41" s="347">
        <f t="shared" si="11"/>
        <v>2.1624900000000004E-3</v>
      </c>
      <c r="F41" s="305">
        <v>23</v>
      </c>
      <c r="G41" s="394">
        <v>0.5</v>
      </c>
      <c r="H41" s="387">
        <f t="shared" si="12"/>
        <v>1.0812450000000002E-3</v>
      </c>
      <c r="I41" s="390">
        <f t="shared" si="5"/>
        <v>1294766182.7082176</v>
      </c>
      <c r="J41" s="514">
        <f>10977/(14501.5/0.6)</f>
        <v>0.45417370616832742</v>
      </c>
      <c r="K41" s="343">
        <f t="shared" si="13"/>
        <v>9.8214609785194653E-4</v>
      </c>
      <c r="L41" s="308">
        <f t="shared" si="14"/>
        <v>1176097511.6440179</v>
      </c>
      <c r="M41" s="1185"/>
      <c r="N41" s="1186"/>
      <c r="O41" s="1187"/>
      <c r="P41" s="311"/>
    </row>
    <row r="42" spans="1:17" s="312" customFormat="1" ht="27.95" customHeight="1">
      <c r="A42" s="18">
        <v>35</v>
      </c>
      <c r="B42" s="301" t="s">
        <v>255</v>
      </c>
      <c r="C42" s="302" t="s">
        <v>554</v>
      </c>
      <c r="D42" s="303">
        <v>1294766182.7082176</v>
      </c>
      <c r="E42" s="347">
        <f t="shared" si="11"/>
        <v>1.0812450000000002E-3</v>
      </c>
      <c r="F42" s="305">
        <v>23</v>
      </c>
      <c r="G42" s="394">
        <v>0.5</v>
      </c>
      <c r="H42" s="387">
        <f t="shared" si="12"/>
        <v>5.406225000000001E-4</v>
      </c>
      <c r="I42" s="390">
        <f t="shared" si="5"/>
        <v>647383091.35410881</v>
      </c>
      <c r="J42" s="514">
        <f>J41</f>
        <v>0.45417370616832742</v>
      </c>
      <c r="K42" s="343">
        <f t="shared" si="13"/>
        <v>4.9107304892597326E-4</v>
      </c>
      <c r="L42" s="308">
        <f t="shared" si="14"/>
        <v>588048755.82200897</v>
      </c>
      <c r="M42" s="1185"/>
      <c r="N42" s="1186"/>
      <c r="O42" s="1187"/>
      <c r="P42" s="311"/>
    </row>
    <row r="43" spans="1:17" s="408" customFormat="1" ht="27.95" customHeight="1">
      <c r="A43" s="18">
        <v>36</v>
      </c>
      <c r="B43" s="301" t="s">
        <v>256</v>
      </c>
      <c r="C43" s="302" t="s">
        <v>555</v>
      </c>
      <c r="D43" s="303">
        <v>1294766182.7082176</v>
      </c>
      <c r="E43" s="347">
        <f t="shared" si="11"/>
        <v>1.0812450000000002E-3</v>
      </c>
      <c r="F43" s="305">
        <v>23</v>
      </c>
      <c r="G43" s="394">
        <v>0</v>
      </c>
      <c r="H43" s="387">
        <f t="shared" si="12"/>
        <v>0</v>
      </c>
      <c r="I43" s="390">
        <f t="shared" si="5"/>
        <v>0</v>
      </c>
      <c r="J43" s="414"/>
      <c r="K43" s="343">
        <f t="shared" si="13"/>
        <v>0</v>
      </c>
      <c r="L43" s="308">
        <f t="shared" si="14"/>
        <v>0</v>
      </c>
      <c r="M43" s="1185"/>
      <c r="N43" s="1186"/>
      <c r="O43" s="1187"/>
      <c r="P43" s="311"/>
      <c r="Q43" s="409"/>
    </row>
    <row r="44" spans="1:17" s="408" customFormat="1" ht="27.95" customHeight="1">
      <c r="A44" s="18">
        <v>37</v>
      </c>
      <c r="B44" s="301" t="s">
        <v>257</v>
      </c>
      <c r="C44" s="302" t="s">
        <v>556</v>
      </c>
      <c r="D44" s="303">
        <v>7768597096.2493048</v>
      </c>
      <c r="E44" s="347">
        <f t="shared" si="11"/>
        <v>6.4874700000000004E-3</v>
      </c>
      <c r="F44" s="305">
        <v>23</v>
      </c>
      <c r="G44" s="394">
        <v>0</v>
      </c>
      <c r="H44" s="387">
        <f t="shared" si="12"/>
        <v>0</v>
      </c>
      <c r="I44" s="390">
        <f t="shared" si="5"/>
        <v>0</v>
      </c>
      <c r="J44" s="414"/>
      <c r="K44" s="343">
        <f t="shared" si="13"/>
        <v>0</v>
      </c>
      <c r="L44" s="308">
        <f t="shared" si="14"/>
        <v>0</v>
      </c>
      <c r="M44" s="1185"/>
      <c r="N44" s="1186"/>
      <c r="O44" s="1187"/>
      <c r="P44" s="311"/>
      <c r="Q44" s="409"/>
    </row>
    <row r="45" spans="1:17" s="312" customFormat="1" ht="27.95" customHeight="1">
      <c r="A45" s="18">
        <v>38</v>
      </c>
      <c r="B45" s="301" t="s">
        <v>258</v>
      </c>
      <c r="C45" s="302" t="s">
        <v>557</v>
      </c>
      <c r="D45" s="303">
        <v>3107438838.499722</v>
      </c>
      <c r="E45" s="347">
        <f t="shared" si="11"/>
        <v>2.5949880000000003E-3</v>
      </c>
      <c r="F45" s="305">
        <v>23</v>
      </c>
      <c r="G45" s="394">
        <v>0</v>
      </c>
      <c r="H45" s="387">
        <f t="shared" si="12"/>
        <v>0</v>
      </c>
      <c r="I45" s="390">
        <f t="shared" si="5"/>
        <v>0</v>
      </c>
      <c r="J45" s="414"/>
      <c r="K45" s="343">
        <f t="shared" si="13"/>
        <v>0</v>
      </c>
      <c r="L45" s="308">
        <f t="shared" si="14"/>
        <v>0</v>
      </c>
      <c r="M45" s="1185"/>
      <c r="N45" s="1186"/>
      <c r="O45" s="1187"/>
      <c r="P45" s="311"/>
    </row>
    <row r="46" spans="1:17" s="312" customFormat="1" ht="27.95" customHeight="1">
      <c r="A46" s="18">
        <v>39</v>
      </c>
      <c r="B46" s="301" t="s">
        <v>259</v>
      </c>
      <c r="C46" s="302" t="s">
        <v>558</v>
      </c>
      <c r="D46" s="303">
        <v>3107438838.499722</v>
      </c>
      <c r="E46" s="347">
        <f t="shared" si="11"/>
        <v>2.5949880000000003E-3</v>
      </c>
      <c r="F46" s="305">
        <v>23</v>
      </c>
      <c r="G46" s="394">
        <v>0</v>
      </c>
      <c r="H46" s="387">
        <f t="shared" si="12"/>
        <v>0</v>
      </c>
      <c r="I46" s="390">
        <f t="shared" si="5"/>
        <v>0</v>
      </c>
      <c r="J46" s="414"/>
      <c r="K46" s="343">
        <f t="shared" si="13"/>
        <v>0</v>
      </c>
      <c r="L46" s="308">
        <f t="shared" si="14"/>
        <v>0</v>
      </c>
      <c r="M46" s="1185"/>
      <c r="N46" s="1186"/>
      <c r="O46" s="1187"/>
      <c r="P46" s="311"/>
    </row>
    <row r="47" spans="1:17" s="312" customFormat="1" ht="27.95" customHeight="1">
      <c r="A47" s="18">
        <v>40</v>
      </c>
      <c r="B47" s="301" t="s">
        <v>260</v>
      </c>
      <c r="C47" s="302" t="s">
        <v>559</v>
      </c>
      <c r="D47" s="303">
        <v>2071625892.333148</v>
      </c>
      <c r="E47" s="347">
        <f t="shared" si="11"/>
        <v>1.7299920000000003E-3</v>
      </c>
      <c r="F47" s="305">
        <v>23</v>
      </c>
      <c r="G47" s="394">
        <v>0</v>
      </c>
      <c r="H47" s="387">
        <f t="shared" si="12"/>
        <v>0</v>
      </c>
      <c r="I47" s="390">
        <f t="shared" si="5"/>
        <v>0</v>
      </c>
      <c r="J47" s="414"/>
      <c r="K47" s="343">
        <f t="shared" si="13"/>
        <v>0</v>
      </c>
      <c r="L47" s="308">
        <f t="shared" si="14"/>
        <v>0</v>
      </c>
      <c r="M47" s="1185"/>
      <c r="N47" s="1186"/>
      <c r="O47" s="1187"/>
      <c r="P47" s="311"/>
    </row>
    <row r="48" spans="1:17" s="312" customFormat="1" ht="27.95" customHeight="1">
      <c r="A48" s="18">
        <v>41</v>
      </c>
      <c r="B48" s="301" t="s">
        <v>261</v>
      </c>
      <c r="C48" s="302" t="s">
        <v>560</v>
      </c>
      <c r="D48" s="303">
        <v>2071625892.333148</v>
      </c>
      <c r="E48" s="347">
        <f t="shared" si="11"/>
        <v>1.7299920000000003E-3</v>
      </c>
      <c r="F48" s="305">
        <v>23</v>
      </c>
      <c r="G48" s="394">
        <v>0</v>
      </c>
      <c r="H48" s="387">
        <f t="shared" si="12"/>
        <v>0</v>
      </c>
      <c r="I48" s="390">
        <f t="shared" si="5"/>
        <v>0</v>
      </c>
      <c r="J48" s="414"/>
      <c r="K48" s="343">
        <f t="shared" si="13"/>
        <v>0</v>
      </c>
      <c r="L48" s="308">
        <f t="shared" si="14"/>
        <v>0</v>
      </c>
      <c r="M48" s="1185"/>
      <c r="N48" s="1186"/>
      <c r="O48" s="1187"/>
      <c r="P48" s="311"/>
    </row>
    <row r="49" spans="1:17" s="312" customFormat="1" ht="27.95" customHeight="1">
      <c r="A49" s="18">
        <v>42</v>
      </c>
      <c r="B49" s="301" t="s">
        <v>262</v>
      </c>
      <c r="C49" s="302" t="s">
        <v>561</v>
      </c>
      <c r="D49" s="303">
        <v>1294766182.7082176</v>
      </c>
      <c r="E49" s="347">
        <f t="shared" si="11"/>
        <v>1.0812450000000002E-3</v>
      </c>
      <c r="F49" s="305">
        <v>23</v>
      </c>
      <c r="G49" s="394">
        <v>0</v>
      </c>
      <c r="H49" s="387">
        <f t="shared" si="12"/>
        <v>0</v>
      </c>
      <c r="I49" s="390">
        <f t="shared" si="5"/>
        <v>0</v>
      </c>
      <c r="J49" s="414"/>
      <c r="K49" s="343">
        <f t="shared" si="13"/>
        <v>0</v>
      </c>
      <c r="L49" s="308">
        <f t="shared" si="14"/>
        <v>0</v>
      </c>
      <c r="M49" s="1185"/>
      <c r="N49" s="1186"/>
      <c r="O49" s="1187"/>
      <c r="P49" s="311"/>
    </row>
    <row r="50" spans="1:17" s="312" customFormat="1" ht="27.95" customHeight="1">
      <c r="A50" s="18">
        <v>43</v>
      </c>
      <c r="B50" s="301" t="s">
        <v>263</v>
      </c>
      <c r="C50" s="302" t="s">
        <v>563</v>
      </c>
      <c r="D50" s="303">
        <v>1087603593.4749029</v>
      </c>
      <c r="E50" s="347">
        <f t="shared" si="11"/>
        <v>9.0824580000000029E-4</v>
      </c>
      <c r="F50" s="305">
        <v>23</v>
      </c>
      <c r="G50" s="394">
        <v>0</v>
      </c>
      <c r="H50" s="387">
        <f t="shared" si="12"/>
        <v>0</v>
      </c>
      <c r="I50" s="390">
        <f t="shared" si="5"/>
        <v>0</v>
      </c>
      <c r="J50" s="414"/>
      <c r="K50" s="343">
        <f t="shared" si="13"/>
        <v>0</v>
      </c>
      <c r="L50" s="308">
        <f t="shared" si="14"/>
        <v>0</v>
      </c>
      <c r="M50" s="1188"/>
      <c r="N50" s="1189"/>
      <c r="O50" s="1190"/>
      <c r="P50" s="311"/>
    </row>
    <row r="51" spans="1:17" s="437" customFormat="1" ht="35.1" customHeight="1">
      <c r="A51" s="423">
        <v>44</v>
      </c>
      <c r="B51" s="424" t="s">
        <v>207</v>
      </c>
      <c r="C51" s="425" t="s">
        <v>451</v>
      </c>
      <c r="D51" s="426">
        <f>D52+D62</f>
        <v>27645661259.843578</v>
      </c>
      <c r="E51" s="427">
        <f>E52+E62</f>
        <v>2.3086587685180397E-2</v>
      </c>
      <c r="F51" s="428"/>
      <c r="G51" s="429"/>
      <c r="H51" s="430">
        <f>H52+H62</f>
        <v>1.6718152472223385E-2</v>
      </c>
      <c r="I51" s="637">
        <f>I52+I62</f>
        <v>20019605601.315727</v>
      </c>
      <c r="J51" s="431">
        <f>L51/D51</f>
        <v>0.59017676082964221</v>
      </c>
      <c r="K51" s="432">
        <f>K52+K62</f>
        <v>1.3625167538649275E-2</v>
      </c>
      <c r="L51" s="441">
        <f>L52+L62</f>
        <v>16315826813.328009</v>
      </c>
      <c r="M51" s="434"/>
      <c r="N51" s="434">
        <f>N52+N62</f>
        <v>0</v>
      </c>
      <c r="O51" s="435">
        <f>O52+O62</f>
        <v>0</v>
      </c>
      <c r="P51" s="424"/>
    </row>
    <row r="52" spans="1:17" s="456" customFormat="1" ht="27.95" customHeight="1">
      <c r="A52" s="443">
        <v>45</v>
      </c>
      <c r="B52" s="444" t="s">
        <v>264</v>
      </c>
      <c r="C52" s="445" t="s">
        <v>569</v>
      </c>
      <c r="D52" s="446">
        <f>SUM(D53:D61)</f>
        <v>15205113692.913967</v>
      </c>
      <c r="E52" s="447">
        <f>SUM(E53:E61)</f>
        <v>1.2697623226849218E-2</v>
      </c>
      <c r="F52" s="448"/>
      <c r="G52" s="449"/>
      <c r="H52" s="458">
        <f>SUM(H53:H61)</f>
        <v>1.2697623226849218E-2</v>
      </c>
      <c r="I52" s="459">
        <f>SUM(I53:I61)</f>
        <v>15205113692.913967</v>
      </c>
      <c r="J52" s="449">
        <f>L52/D52</f>
        <v>1</v>
      </c>
      <c r="K52" s="460">
        <f>SUM(K53:K61)</f>
        <v>1.2697623226849218E-2</v>
      </c>
      <c r="L52" s="461">
        <f>SUM(L53:L61)</f>
        <v>15205113692.913967</v>
      </c>
      <c r="M52" s="454"/>
      <c r="N52" s="454">
        <f>SUM(N53:N61)</f>
        <v>0</v>
      </c>
      <c r="O52" s="455">
        <f>SUM(O53:O61)</f>
        <v>0</v>
      </c>
      <c r="P52" s="444"/>
      <c r="Q52" s="457"/>
    </row>
    <row r="53" spans="1:17" s="312" customFormat="1" ht="27.95" customHeight="1">
      <c r="A53" s="18">
        <v>46</v>
      </c>
      <c r="B53" s="301" t="s">
        <v>265</v>
      </c>
      <c r="C53" s="302" t="s">
        <v>530</v>
      </c>
      <c r="D53" s="303">
        <v>760255684.64569831</v>
      </c>
      <c r="E53" s="347">
        <f t="shared" ref="E53:E77" si="15">D53/$L$4</f>
        <v>6.3488116134246099E-4</v>
      </c>
      <c r="F53" s="305">
        <v>3</v>
      </c>
      <c r="G53" s="394">
        <v>1</v>
      </c>
      <c r="H53" s="387">
        <f t="shared" ref="H53:H77" si="16">G53*E53</f>
        <v>6.3488116134246099E-4</v>
      </c>
      <c r="I53" s="390">
        <f t="shared" ref="I53:I77" si="17">H53*$L$4</f>
        <v>760255684.64569831</v>
      </c>
      <c r="J53" s="414">
        <v>1</v>
      </c>
      <c r="K53" s="343">
        <f t="shared" ref="K53:K61" si="18">J53*E53</f>
        <v>6.3488116134246099E-4</v>
      </c>
      <c r="L53" s="308">
        <f t="shared" ref="L53:L61" si="19">K53*$L$4</f>
        <v>760255684.64569831</v>
      </c>
      <c r="M53" s="309"/>
      <c r="N53" s="309">
        <f t="shared" ref="N53:N61" si="20">M53*E53</f>
        <v>0</v>
      </c>
      <c r="O53" s="310">
        <f t="shared" ref="O53:O61" si="21">N53*$L$4</f>
        <v>0</v>
      </c>
      <c r="P53" s="311"/>
    </row>
    <row r="54" spans="1:17" s="312" customFormat="1" ht="27.95" customHeight="1">
      <c r="A54" s="18">
        <v>47</v>
      </c>
      <c r="B54" s="301" t="s">
        <v>266</v>
      </c>
      <c r="C54" s="302" t="s">
        <v>531</v>
      </c>
      <c r="D54" s="303">
        <v>1520511369.2913966</v>
      </c>
      <c r="E54" s="347">
        <f t="shared" si="15"/>
        <v>1.269762322684922E-3</v>
      </c>
      <c r="F54" s="305">
        <v>3</v>
      </c>
      <c r="G54" s="394">
        <v>1</v>
      </c>
      <c r="H54" s="387">
        <f t="shared" si="16"/>
        <v>1.269762322684922E-3</v>
      </c>
      <c r="I54" s="390">
        <f t="shared" si="17"/>
        <v>1520511369.2913966</v>
      </c>
      <c r="J54" s="414">
        <v>1</v>
      </c>
      <c r="K54" s="343">
        <f t="shared" si="18"/>
        <v>1.269762322684922E-3</v>
      </c>
      <c r="L54" s="308">
        <f t="shared" si="19"/>
        <v>1520511369.2913966</v>
      </c>
      <c r="M54" s="309"/>
      <c r="N54" s="309">
        <f t="shared" si="20"/>
        <v>0</v>
      </c>
      <c r="O54" s="310">
        <f t="shared" si="21"/>
        <v>0</v>
      </c>
      <c r="P54" s="311"/>
    </row>
    <row r="55" spans="1:17" s="312" customFormat="1" ht="27.95" customHeight="1">
      <c r="A55" s="18">
        <v>48</v>
      </c>
      <c r="B55" s="301" t="s">
        <v>267</v>
      </c>
      <c r="C55" s="302" t="s">
        <v>532</v>
      </c>
      <c r="D55" s="303">
        <v>1520511369.2913966</v>
      </c>
      <c r="E55" s="347">
        <f t="shared" si="15"/>
        <v>1.269762322684922E-3</v>
      </c>
      <c r="F55" s="305">
        <v>3</v>
      </c>
      <c r="G55" s="394">
        <v>1</v>
      </c>
      <c r="H55" s="387">
        <f t="shared" si="16"/>
        <v>1.269762322684922E-3</v>
      </c>
      <c r="I55" s="390">
        <f t="shared" si="17"/>
        <v>1520511369.2913966</v>
      </c>
      <c r="J55" s="414">
        <v>1</v>
      </c>
      <c r="K55" s="343">
        <f t="shared" si="18"/>
        <v>1.269762322684922E-3</v>
      </c>
      <c r="L55" s="308">
        <f t="shared" si="19"/>
        <v>1520511369.2913966</v>
      </c>
      <c r="M55" s="309"/>
      <c r="N55" s="309">
        <f t="shared" si="20"/>
        <v>0</v>
      </c>
      <c r="O55" s="310">
        <f t="shared" si="21"/>
        <v>0</v>
      </c>
      <c r="P55" s="311"/>
    </row>
    <row r="56" spans="1:17" s="312" customFormat="1" ht="27.95" customHeight="1">
      <c r="A56" s="18">
        <v>49</v>
      </c>
      <c r="B56" s="301" t="s">
        <v>268</v>
      </c>
      <c r="C56" s="302" t="s">
        <v>533</v>
      </c>
      <c r="D56" s="303">
        <v>3041022738.5827932</v>
      </c>
      <c r="E56" s="347">
        <f t="shared" si="15"/>
        <v>2.539524645369844E-3</v>
      </c>
      <c r="F56" s="305">
        <v>14</v>
      </c>
      <c r="G56" s="394">
        <v>1</v>
      </c>
      <c r="H56" s="387">
        <f t="shared" si="16"/>
        <v>2.539524645369844E-3</v>
      </c>
      <c r="I56" s="390">
        <f t="shared" si="17"/>
        <v>3041022738.5827932</v>
      </c>
      <c r="J56" s="414">
        <v>1</v>
      </c>
      <c r="K56" s="343">
        <f t="shared" si="18"/>
        <v>2.539524645369844E-3</v>
      </c>
      <c r="L56" s="308">
        <f t="shared" si="19"/>
        <v>3041022738.5827932</v>
      </c>
      <c r="M56" s="309"/>
      <c r="N56" s="309">
        <f t="shared" si="20"/>
        <v>0</v>
      </c>
      <c r="O56" s="310">
        <f t="shared" si="21"/>
        <v>0</v>
      </c>
      <c r="P56" s="311"/>
    </row>
    <row r="57" spans="1:17" s="312" customFormat="1" ht="27.95" customHeight="1">
      <c r="A57" s="18">
        <v>50</v>
      </c>
      <c r="B57" s="301" t="s">
        <v>269</v>
      </c>
      <c r="C57" s="302" t="s">
        <v>534</v>
      </c>
      <c r="D57" s="303">
        <v>2280767053.9370942</v>
      </c>
      <c r="E57" s="347">
        <f t="shared" si="15"/>
        <v>1.9046434840273823E-3</v>
      </c>
      <c r="F57" s="305">
        <v>3</v>
      </c>
      <c r="G57" s="394">
        <v>1</v>
      </c>
      <c r="H57" s="387">
        <f t="shared" si="16"/>
        <v>1.9046434840273823E-3</v>
      </c>
      <c r="I57" s="390">
        <f t="shared" si="17"/>
        <v>2280767053.9370942</v>
      </c>
      <c r="J57" s="414">
        <v>1</v>
      </c>
      <c r="K57" s="343">
        <f t="shared" si="18"/>
        <v>1.9046434840273823E-3</v>
      </c>
      <c r="L57" s="308">
        <f t="shared" si="19"/>
        <v>2280767053.9370942</v>
      </c>
      <c r="M57" s="309"/>
      <c r="N57" s="309">
        <f t="shared" si="20"/>
        <v>0</v>
      </c>
      <c r="O57" s="310">
        <f t="shared" si="21"/>
        <v>0</v>
      </c>
      <c r="P57" s="311"/>
    </row>
    <row r="58" spans="1:17" s="312" customFormat="1" ht="27.95" customHeight="1">
      <c r="A58" s="18">
        <v>51</v>
      </c>
      <c r="B58" s="301" t="s">
        <v>270</v>
      </c>
      <c r="C58" s="302" t="s">
        <v>535</v>
      </c>
      <c r="D58" s="303">
        <v>1368460232.3622568</v>
      </c>
      <c r="E58" s="347">
        <f t="shared" si="15"/>
        <v>1.1427860904164296E-3</v>
      </c>
      <c r="F58" s="305">
        <v>14</v>
      </c>
      <c r="G58" s="394">
        <v>1</v>
      </c>
      <c r="H58" s="387">
        <f t="shared" si="16"/>
        <v>1.1427860904164296E-3</v>
      </c>
      <c r="I58" s="390">
        <f t="shared" si="17"/>
        <v>1368460232.3622568</v>
      </c>
      <c r="J58" s="414">
        <v>1</v>
      </c>
      <c r="K58" s="343">
        <f t="shared" si="18"/>
        <v>1.1427860904164296E-3</v>
      </c>
      <c r="L58" s="308">
        <f t="shared" si="19"/>
        <v>1368460232.3622568</v>
      </c>
      <c r="M58" s="309"/>
      <c r="N58" s="309">
        <f t="shared" si="20"/>
        <v>0</v>
      </c>
      <c r="O58" s="310">
        <f t="shared" si="21"/>
        <v>0</v>
      </c>
      <c r="P58" s="311"/>
    </row>
    <row r="59" spans="1:17" s="312" customFormat="1" ht="27.95" customHeight="1">
      <c r="A59" s="18">
        <v>52</v>
      </c>
      <c r="B59" s="301" t="s">
        <v>271</v>
      </c>
      <c r="C59" s="302" t="s">
        <v>536</v>
      </c>
      <c r="D59" s="303">
        <v>912306821.5748378</v>
      </c>
      <c r="E59" s="347">
        <f t="shared" si="15"/>
        <v>7.6185739361095308E-4</v>
      </c>
      <c r="F59" s="305">
        <v>3</v>
      </c>
      <c r="G59" s="394">
        <v>1</v>
      </c>
      <c r="H59" s="387">
        <f t="shared" si="16"/>
        <v>7.6185739361095308E-4</v>
      </c>
      <c r="I59" s="390">
        <f t="shared" si="17"/>
        <v>912306821.5748378</v>
      </c>
      <c r="J59" s="414">
        <v>1</v>
      </c>
      <c r="K59" s="343">
        <f t="shared" si="18"/>
        <v>7.6185739361095308E-4</v>
      </c>
      <c r="L59" s="308">
        <f t="shared" si="19"/>
        <v>912306821.5748378</v>
      </c>
      <c r="M59" s="309"/>
      <c r="N59" s="309">
        <f t="shared" si="20"/>
        <v>0</v>
      </c>
      <c r="O59" s="310">
        <f t="shared" si="21"/>
        <v>0</v>
      </c>
      <c r="P59" s="311"/>
    </row>
    <row r="60" spans="1:17" s="312" customFormat="1" ht="27.95" customHeight="1">
      <c r="A60" s="18">
        <v>53</v>
      </c>
      <c r="B60" s="301" t="s">
        <v>272</v>
      </c>
      <c r="C60" s="302" t="s">
        <v>765</v>
      </c>
      <c r="D60" s="303">
        <v>3041022738.5827932</v>
      </c>
      <c r="E60" s="347">
        <f t="shared" si="15"/>
        <v>2.539524645369844E-3</v>
      </c>
      <c r="F60" s="305">
        <v>14</v>
      </c>
      <c r="G60" s="394">
        <v>1</v>
      </c>
      <c r="H60" s="387">
        <f t="shared" si="16"/>
        <v>2.539524645369844E-3</v>
      </c>
      <c r="I60" s="390">
        <f t="shared" si="17"/>
        <v>3041022738.5827932</v>
      </c>
      <c r="J60" s="414">
        <v>1</v>
      </c>
      <c r="K60" s="343">
        <f t="shared" si="18"/>
        <v>2.539524645369844E-3</v>
      </c>
      <c r="L60" s="308">
        <f t="shared" si="19"/>
        <v>3041022738.5827932</v>
      </c>
      <c r="M60" s="309"/>
      <c r="N60" s="309">
        <f t="shared" si="20"/>
        <v>0</v>
      </c>
      <c r="O60" s="310">
        <f t="shared" si="21"/>
        <v>0</v>
      </c>
      <c r="P60" s="311"/>
    </row>
    <row r="61" spans="1:17" s="312" customFormat="1" ht="27.95" customHeight="1">
      <c r="A61" s="18">
        <v>54</v>
      </c>
      <c r="B61" s="301" t="s">
        <v>630</v>
      </c>
      <c r="C61" s="302" t="s">
        <v>539</v>
      </c>
      <c r="D61" s="303">
        <v>760255684.64569831</v>
      </c>
      <c r="E61" s="347">
        <f t="shared" si="15"/>
        <v>6.3488116134246099E-4</v>
      </c>
      <c r="F61" s="305">
        <v>3</v>
      </c>
      <c r="G61" s="394">
        <v>1</v>
      </c>
      <c r="H61" s="387">
        <f t="shared" si="16"/>
        <v>6.3488116134246099E-4</v>
      </c>
      <c r="I61" s="390">
        <f t="shared" si="17"/>
        <v>760255684.64569831</v>
      </c>
      <c r="J61" s="414">
        <v>1</v>
      </c>
      <c r="K61" s="343">
        <f t="shared" si="18"/>
        <v>6.3488116134246099E-4</v>
      </c>
      <c r="L61" s="308">
        <f t="shared" si="19"/>
        <v>760255684.64569831</v>
      </c>
      <c r="M61" s="309"/>
      <c r="N61" s="309">
        <f t="shared" si="20"/>
        <v>0</v>
      </c>
      <c r="O61" s="310">
        <f t="shared" si="21"/>
        <v>0</v>
      </c>
      <c r="P61" s="311"/>
    </row>
    <row r="62" spans="1:17" s="456" customFormat="1" ht="27.95" customHeight="1">
      <c r="A62" s="443">
        <v>55</v>
      </c>
      <c r="B62" s="444" t="s">
        <v>632</v>
      </c>
      <c r="C62" s="445" t="s">
        <v>565</v>
      </c>
      <c r="D62" s="446">
        <f>SUM(D63:D77)</f>
        <v>12440547566.929611</v>
      </c>
      <c r="E62" s="447">
        <f>SUM(E63:E77)</f>
        <v>1.0388964458331181E-2</v>
      </c>
      <c r="F62" s="448"/>
      <c r="G62" s="449"/>
      <c r="H62" s="458">
        <f>SUM(H63:H77)</f>
        <v>4.0205292453741664E-3</v>
      </c>
      <c r="I62" s="459">
        <f t="shared" si="17"/>
        <v>4814491908.4017582</v>
      </c>
      <c r="J62" s="515">
        <f>L62/D62</f>
        <v>8.9281690732538319E-2</v>
      </c>
      <c r="K62" s="460">
        <f>SUM(K63:K77)</f>
        <v>9.2754431180005689E-4</v>
      </c>
      <c r="L62" s="461">
        <f>SUM(L63:L77)</f>
        <v>1110713120.4140415</v>
      </c>
      <c r="M62" s="454"/>
      <c r="N62" s="454">
        <f>SUM(N63:N77)</f>
        <v>0</v>
      </c>
      <c r="O62" s="455">
        <f>SUM(O63:O77)</f>
        <v>0</v>
      </c>
      <c r="P62" s="444"/>
    </row>
    <row r="63" spans="1:17" s="312" customFormat="1" ht="27.95" customHeight="1">
      <c r="A63" s="18">
        <v>56</v>
      </c>
      <c r="B63" s="301" t="s">
        <v>634</v>
      </c>
      <c r="C63" s="302" t="s">
        <v>545</v>
      </c>
      <c r="D63" s="303">
        <v>124405475.66929606</v>
      </c>
      <c r="E63" s="347">
        <f t="shared" si="15"/>
        <v>1.0388964458331177E-4</v>
      </c>
      <c r="F63" s="305">
        <v>21</v>
      </c>
      <c r="G63" s="394">
        <v>1</v>
      </c>
      <c r="H63" s="387">
        <f t="shared" si="16"/>
        <v>1.0388964458331177E-4</v>
      </c>
      <c r="I63" s="390">
        <f t="shared" si="17"/>
        <v>124405475.66929606</v>
      </c>
      <c r="J63" s="511">
        <f>1/3</f>
        <v>0.33333333333333331</v>
      </c>
      <c r="K63" s="343">
        <f t="shared" ref="K63:K77" si="22">J63*E63</f>
        <v>3.462988152777059E-5</v>
      </c>
      <c r="L63" s="308">
        <f t="shared" ref="L63:L77" si="23">K63*$L$4</f>
        <v>41468491.889765352</v>
      </c>
      <c r="M63" s="1191" t="s">
        <v>891</v>
      </c>
      <c r="N63" s="1192"/>
      <c r="O63" s="1193"/>
      <c r="P63" s="311"/>
    </row>
    <row r="64" spans="1:17" s="312" customFormat="1" ht="27.95" customHeight="1">
      <c r="A64" s="18">
        <v>57</v>
      </c>
      <c r="B64" s="301" t="s">
        <v>635</v>
      </c>
      <c r="C64" s="302" t="s">
        <v>605</v>
      </c>
      <c r="D64" s="303">
        <v>3072815249.0316129</v>
      </c>
      <c r="E64" s="347">
        <f t="shared" si="15"/>
        <v>2.566074221207801E-3</v>
      </c>
      <c r="F64" s="305">
        <v>14</v>
      </c>
      <c r="G64" s="394">
        <v>1</v>
      </c>
      <c r="H64" s="387">
        <f t="shared" si="16"/>
        <v>2.566074221207801E-3</v>
      </c>
      <c r="I64" s="390">
        <f t="shared" si="17"/>
        <v>3072815249.0316129</v>
      </c>
      <c r="J64" s="511">
        <f>681/(681+2394+880)</f>
        <v>0.17218710493046777</v>
      </c>
      <c r="K64" s="343">
        <f t="shared" si="22"/>
        <v>4.4184489118647601E-4</v>
      </c>
      <c r="L64" s="308">
        <f t="shared" si="23"/>
        <v>529099161.71694779</v>
      </c>
      <c r="M64" s="1194"/>
      <c r="N64" s="1195"/>
      <c r="O64" s="1196"/>
      <c r="P64" s="311"/>
    </row>
    <row r="65" spans="1:17" s="312" customFormat="1" ht="27.95" customHeight="1">
      <c r="A65" s="18">
        <v>58</v>
      </c>
      <c r="B65" s="301" t="s">
        <v>639</v>
      </c>
      <c r="C65" s="302" t="s">
        <v>606</v>
      </c>
      <c r="D65" s="303">
        <v>1169411471.2913828</v>
      </c>
      <c r="E65" s="347">
        <f t="shared" si="15"/>
        <v>9.7656265908313057E-4</v>
      </c>
      <c r="F65" s="305">
        <v>14</v>
      </c>
      <c r="G65" s="394">
        <v>1</v>
      </c>
      <c r="H65" s="387">
        <f t="shared" si="16"/>
        <v>9.7656265908313057E-4</v>
      </c>
      <c r="I65" s="390">
        <f t="shared" si="17"/>
        <v>1169411471.2913828</v>
      </c>
      <c r="J65" s="511">
        <f>J64</f>
        <v>0.17218710493046777</v>
      </c>
      <c r="K65" s="343">
        <f t="shared" si="22"/>
        <v>1.6815149705072362E-4</v>
      </c>
      <c r="L65" s="308">
        <f t="shared" si="23"/>
        <v>201357575.71414202</v>
      </c>
      <c r="M65" s="1194"/>
      <c r="N65" s="1195"/>
      <c r="O65" s="1196"/>
      <c r="P65" s="311"/>
    </row>
    <row r="66" spans="1:17" s="312" customFormat="1" ht="27.95" customHeight="1">
      <c r="A66" s="18">
        <v>59</v>
      </c>
      <c r="B66" s="301" t="s">
        <v>645</v>
      </c>
      <c r="C66" s="302" t="s">
        <v>751</v>
      </c>
      <c r="D66" s="303">
        <v>447859712.40946579</v>
      </c>
      <c r="E66" s="347">
        <f t="shared" si="15"/>
        <v>3.7400272049992238E-4</v>
      </c>
      <c r="F66" s="305">
        <v>23</v>
      </c>
      <c r="G66" s="394">
        <v>1</v>
      </c>
      <c r="H66" s="387">
        <f t="shared" si="16"/>
        <v>3.7400272049992238E-4</v>
      </c>
      <c r="I66" s="390">
        <f t="shared" si="17"/>
        <v>447859712.40946579</v>
      </c>
      <c r="J66" s="511">
        <f>(949+150)/(100+99.69+154.43+1098.7)</f>
        <v>0.75645985049765274</v>
      </c>
      <c r="K66" s="343">
        <f t="shared" si="22"/>
        <v>2.8291804203508668E-4</v>
      </c>
      <c r="L66" s="308">
        <f t="shared" si="23"/>
        <v>338787891.09318626</v>
      </c>
      <c r="M66" s="1194"/>
      <c r="N66" s="1195"/>
      <c r="O66" s="1196"/>
      <c r="P66" s="311"/>
    </row>
    <row r="67" spans="1:17" s="312" customFormat="1" ht="27.95" customHeight="1">
      <c r="A67" s="18">
        <v>60</v>
      </c>
      <c r="B67" s="301" t="s">
        <v>647</v>
      </c>
      <c r="C67" s="302" t="s">
        <v>752</v>
      </c>
      <c r="D67" s="303">
        <v>547384092.94490266</v>
      </c>
      <c r="E67" s="347">
        <f t="shared" si="15"/>
        <v>4.5711443616657183E-4</v>
      </c>
      <c r="F67" s="305">
        <v>23</v>
      </c>
      <c r="G67" s="394">
        <v>0</v>
      </c>
      <c r="H67" s="387">
        <f t="shared" si="16"/>
        <v>0</v>
      </c>
      <c r="I67" s="390">
        <f t="shared" si="17"/>
        <v>0</v>
      </c>
      <c r="J67" s="414"/>
      <c r="K67" s="343">
        <f t="shared" si="22"/>
        <v>0</v>
      </c>
      <c r="L67" s="308">
        <f t="shared" si="23"/>
        <v>0</v>
      </c>
      <c r="M67" s="1194"/>
      <c r="N67" s="1195"/>
      <c r="O67" s="1196"/>
      <c r="P67" s="311"/>
    </row>
    <row r="68" spans="1:17" s="408" customFormat="1" ht="36" customHeight="1">
      <c r="A68" s="18">
        <v>61</v>
      </c>
      <c r="B68" s="301" t="s">
        <v>649</v>
      </c>
      <c r="C68" s="302" t="s">
        <v>753</v>
      </c>
      <c r="D68" s="303">
        <v>634467925.91340983</v>
      </c>
      <c r="E68" s="347">
        <f t="shared" si="15"/>
        <v>5.2983718737489003E-4</v>
      </c>
      <c r="F68" s="305">
        <v>23</v>
      </c>
      <c r="G68" s="394">
        <v>0</v>
      </c>
      <c r="H68" s="387">
        <f t="shared" si="16"/>
        <v>0</v>
      </c>
      <c r="I68" s="390">
        <f t="shared" si="17"/>
        <v>0</v>
      </c>
      <c r="J68" s="414"/>
      <c r="K68" s="343">
        <f t="shared" si="22"/>
        <v>0</v>
      </c>
      <c r="L68" s="308">
        <f t="shared" si="23"/>
        <v>0</v>
      </c>
      <c r="M68" s="1194"/>
      <c r="N68" s="1195"/>
      <c r="O68" s="1196"/>
      <c r="P68" s="311"/>
    </row>
    <row r="69" spans="1:17" s="312" customFormat="1" ht="27.95" customHeight="1">
      <c r="A69" s="18">
        <v>62</v>
      </c>
      <c r="B69" s="301" t="s">
        <v>700</v>
      </c>
      <c r="C69" s="302" t="s">
        <v>754</v>
      </c>
      <c r="D69" s="303">
        <v>298573141.60631049</v>
      </c>
      <c r="E69" s="347">
        <f t="shared" si="15"/>
        <v>2.4933514699994824E-4</v>
      </c>
      <c r="F69" s="305">
        <v>23</v>
      </c>
      <c r="G69" s="394">
        <v>0</v>
      </c>
      <c r="H69" s="387">
        <f t="shared" si="16"/>
        <v>0</v>
      </c>
      <c r="I69" s="390">
        <f t="shared" si="17"/>
        <v>0</v>
      </c>
      <c r="J69" s="414"/>
      <c r="K69" s="343">
        <f t="shared" si="22"/>
        <v>0</v>
      </c>
      <c r="L69" s="308">
        <f t="shared" si="23"/>
        <v>0</v>
      </c>
      <c r="M69" s="1194"/>
      <c r="N69" s="1195"/>
      <c r="O69" s="1196"/>
      <c r="P69" s="311"/>
    </row>
    <row r="70" spans="1:17" s="312" customFormat="1" ht="27.95" customHeight="1">
      <c r="A70" s="18">
        <v>63</v>
      </c>
      <c r="B70" s="301" t="s">
        <v>701</v>
      </c>
      <c r="C70" s="302" t="s">
        <v>655</v>
      </c>
      <c r="D70" s="303">
        <v>2861325940.3938093</v>
      </c>
      <c r="E70" s="347">
        <f t="shared" si="15"/>
        <v>2.389461825416171E-3</v>
      </c>
      <c r="F70" s="305">
        <v>23</v>
      </c>
      <c r="G70" s="394">
        <v>0</v>
      </c>
      <c r="H70" s="387">
        <f t="shared" si="16"/>
        <v>0</v>
      </c>
      <c r="I70" s="390">
        <f t="shared" si="17"/>
        <v>0</v>
      </c>
      <c r="J70" s="414"/>
      <c r="K70" s="343">
        <f t="shared" si="22"/>
        <v>0</v>
      </c>
      <c r="L70" s="308">
        <f t="shared" si="23"/>
        <v>0</v>
      </c>
      <c r="M70" s="1194"/>
      <c r="N70" s="1195"/>
      <c r="O70" s="1196"/>
      <c r="P70" s="311"/>
    </row>
    <row r="71" spans="1:17" s="312" customFormat="1" ht="27.95" customHeight="1">
      <c r="A71" s="18">
        <v>64</v>
      </c>
      <c r="B71" s="301" t="s">
        <v>702</v>
      </c>
      <c r="C71" s="302" t="s">
        <v>618</v>
      </c>
      <c r="D71" s="303">
        <v>273692046.47245133</v>
      </c>
      <c r="E71" s="347">
        <f t="shared" si="15"/>
        <v>2.2855721808328591E-4</v>
      </c>
      <c r="F71" s="305">
        <v>23</v>
      </c>
      <c r="G71" s="394">
        <v>0</v>
      </c>
      <c r="H71" s="387">
        <f t="shared" si="16"/>
        <v>0</v>
      </c>
      <c r="I71" s="390">
        <f t="shared" si="17"/>
        <v>0</v>
      </c>
      <c r="J71" s="414"/>
      <c r="K71" s="343">
        <f t="shared" si="22"/>
        <v>0</v>
      </c>
      <c r="L71" s="308">
        <f t="shared" si="23"/>
        <v>0</v>
      </c>
      <c r="M71" s="1194"/>
      <c r="N71" s="1195"/>
      <c r="O71" s="1196"/>
      <c r="P71" s="311"/>
    </row>
    <row r="72" spans="1:17" s="312" customFormat="1" ht="27.95" customHeight="1">
      <c r="A72" s="18">
        <v>65</v>
      </c>
      <c r="B72" s="301" t="s">
        <v>703</v>
      </c>
      <c r="C72" s="302" t="s">
        <v>557</v>
      </c>
      <c r="D72" s="303">
        <v>733992306.4488467</v>
      </c>
      <c r="E72" s="347">
        <f t="shared" si="15"/>
        <v>6.1294890304153943E-4</v>
      </c>
      <c r="F72" s="305">
        <v>23</v>
      </c>
      <c r="G72" s="394">
        <v>0</v>
      </c>
      <c r="H72" s="387">
        <f t="shared" si="16"/>
        <v>0</v>
      </c>
      <c r="I72" s="390">
        <f t="shared" si="17"/>
        <v>0</v>
      </c>
      <c r="J72" s="414"/>
      <c r="K72" s="343">
        <f t="shared" si="22"/>
        <v>0</v>
      </c>
      <c r="L72" s="308">
        <f t="shared" si="23"/>
        <v>0</v>
      </c>
      <c r="M72" s="1194"/>
      <c r="N72" s="1195"/>
      <c r="O72" s="1196"/>
      <c r="P72" s="311"/>
    </row>
    <row r="73" spans="1:17" s="312" customFormat="1" ht="27.95" customHeight="1">
      <c r="A73" s="18">
        <v>66</v>
      </c>
      <c r="B73" s="301" t="s">
        <v>704</v>
      </c>
      <c r="C73" s="302" t="s">
        <v>558</v>
      </c>
      <c r="D73" s="303">
        <v>733992306.4488467</v>
      </c>
      <c r="E73" s="347">
        <f t="shared" si="15"/>
        <v>6.1294890304153943E-4</v>
      </c>
      <c r="F73" s="305">
        <v>23</v>
      </c>
      <c r="G73" s="394">
        <v>0</v>
      </c>
      <c r="H73" s="387">
        <f t="shared" si="16"/>
        <v>0</v>
      </c>
      <c r="I73" s="390">
        <f t="shared" si="17"/>
        <v>0</v>
      </c>
      <c r="J73" s="414"/>
      <c r="K73" s="343">
        <f t="shared" si="22"/>
        <v>0</v>
      </c>
      <c r="L73" s="308">
        <f t="shared" si="23"/>
        <v>0</v>
      </c>
      <c r="M73" s="1194"/>
      <c r="N73" s="1195"/>
      <c r="O73" s="1196"/>
      <c r="P73" s="311"/>
    </row>
    <row r="74" spans="1:17" s="312" customFormat="1" ht="27.95" customHeight="1">
      <c r="A74" s="18">
        <v>67</v>
      </c>
      <c r="B74" s="301" t="s">
        <v>705</v>
      </c>
      <c r="C74" s="302" t="s">
        <v>559</v>
      </c>
      <c r="D74" s="303">
        <v>497621902.67718422</v>
      </c>
      <c r="E74" s="347">
        <f t="shared" si="15"/>
        <v>4.1555857833324708E-4</v>
      </c>
      <c r="F74" s="305">
        <v>23</v>
      </c>
      <c r="G74" s="394">
        <v>0</v>
      </c>
      <c r="H74" s="387">
        <f t="shared" si="16"/>
        <v>0</v>
      </c>
      <c r="I74" s="390">
        <f t="shared" si="17"/>
        <v>0</v>
      </c>
      <c r="J74" s="414"/>
      <c r="K74" s="343">
        <f t="shared" si="22"/>
        <v>0</v>
      </c>
      <c r="L74" s="308">
        <f t="shared" si="23"/>
        <v>0</v>
      </c>
      <c r="M74" s="1194"/>
      <c r="N74" s="1195"/>
      <c r="O74" s="1196"/>
      <c r="P74" s="311"/>
    </row>
    <row r="75" spans="1:17" s="312" customFormat="1" ht="27.95" customHeight="1">
      <c r="A75" s="18">
        <v>68</v>
      </c>
      <c r="B75" s="301" t="s">
        <v>706</v>
      </c>
      <c r="C75" s="302" t="s">
        <v>560</v>
      </c>
      <c r="D75" s="303">
        <v>497621902.67718422</v>
      </c>
      <c r="E75" s="347">
        <f t="shared" si="15"/>
        <v>4.1555857833324708E-4</v>
      </c>
      <c r="F75" s="305">
        <v>23</v>
      </c>
      <c r="G75" s="394">
        <v>0</v>
      </c>
      <c r="H75" s="387">
        <f t="shared" si="16"/>
        <v>0</v>
      </c>
      <c r="I75" s="390">
        <f t="shared" si="17"/>
        <v>0</v>
      </c>
      <c r="J75" s="414"/>
      <c r="K75" s="343">
        <f t="shared" si="22"/>
        <v>0</v>
      </c>
      <c r="L75" s="308">
        <f t="shared" si="23"/>
        <v>0</v>
      </c>
      <c r="M75" s="1194"/>
      <c r="N75" s="1195"/>
      <c r="O75" s="1196"/>
      <c r="P75" s="311"/>
    </row>
    <row r="76" spans="1:17" s="312" customFormat="1" ht="27.95" customHeight="1">
      <c r="A76" s="18">
        <v>69</v>
      </c>
      <c r="B76" s="301" t="s">
        <v>707</v>
      </c>
      <c r="C76" s="302" t="s">
        <v>561</v>
      </c>
      <c r="D76" s="303">
        <v>273692046.47245133</v>
      </c>
      <c r="E76" s="347">
        <f t="shared" si="15"/>
        <v>2.2855721808328591E-4</v>
      </c>
      <c r="F76" s="305">
        <v>23</v>
      </c>
      <c r="G76" s="394">
        <v>0</v>
      </c>
      <c r="H76" s="387">
        <f t="shared" si="16"/>
        <v>0</v>
      </c>
      <c r="I76" s="390">
        <f t="shared" si="17"/>
        <v>0</v>
      </c>
      <c r="J76" s="414"/>
      <c r="K76" s="343">
        <f t="shared" si="22"/>
        <v>0</v>
      </c>
      <c r="L76" s="308">
        <f t="shared" si="23"/>
        <v>0</v>
      </c>
      <c r="M76" s="1194"/>
      <c r="N76" s="1195"/>
      <c r="O76" s="1196"/>
      <c r="P76" s="311"/>
    </row>
    <row r="77" spans="1:17" s="312" customFormat="1" ht="27.95" customHeight="1">
      <c r="A77" s="18">
        <v>70</v>
      </c>
      <c r="B77" s="301" t="s">
        <v>708</v>
      </c>
      <c r="C77" s="302" t="s">
        <v>563</v>
      </c>
      <c r="D77" s="303">
        <v>273692046.47245133</v>
      </c>
      <c r="E77" s="347">
        <f t="shared" si="15"/>
        <v>2.2855721808328591E-4</v>
      </c>
      <c r="F77" s="305">
        <v>23</v>
      </c>
      <c r="G77" s="394">
        <v>0</v>
      </c>
      <c r="H77" s="387">
        <f t="shared" si="16"/>
        <v>0</v>
      </c>
      <c r="I77" s="390">
        <f t="shared" si="17"/>
        <v>0</v>
      </c>
      <c r="J77" s="414"/>
      <c r="K77" s="343">
        <f t="shared" si="22"/>
        <v>0</v>
      </c>
      <c r="L77" s="308">
        <f t="shared" si="23"/>
        <v>0</v>
      </c>
      <c r="M77" s="1197"/>
      <c r="N77" s="1198"/>
      <c r="O77" s="1199"/>
      <c r="P77" s="311"/>
    </row>
    <row r="78" spans="1:17" s="437" customFormat="1" ht="35.1" customHeight="1">
      <c r="A78" s="423">
        <v>71</v>
      </c>
      <c r="B78" s="424" t="s">
        <v>208</v>
      </c>
      <c r="C78" s="425" t="s">
        <v>566</v>
      </c>
      <c r="D78" s="426">
        <f>D79+D89+D101</f>
        <v>156941355479.54877</v>
      </c>
      <c r="E78" s="427">
        <f>E79+E89+E101</f>
        <v>0.13105999999980361</v>
      </c>
      <c r="F78" s="428"/>
      <c r="G78" s="429"/>
      <c r="H78" s="438">
        <f>H79+H89+H101</f>
        <v>0.10614418339980866</v>
      </c>
      <c r="I78" s="439">
        <f>I79+I89+I101</f>
        <v>127105234389.29308</v>
      </c>
      <c r="J78" s="431">
        <f>L78/D78</f>
        <v>0.64876220106615179</v>
      </c>
      <c r="K78" s="440">
        <f>K79+K89+K101</f>
        <v>8.5026774071602459E-2</v>
      </c>
      <c r="L78" s="441">
        <f>L79+L89+L101</f>
        <v>101817619219.21742</v>
      </c>
      <c r="M78" s="434"/>
      <c r="N78" s="434">
        <f>N79+N89+N101</f>
        <v>0</v>
      </c>
      <c r="O78" s="435">
        <f t="shared" ref="O78:O88" si="24">N78*$L$4</f>
        <v>0</v>
      </c>
      <c r="P78" s="424"/>
      <c r="Q78" s="442"/>
    </row>
    <row r="79" spans="1:17" s="456" customFormat="1" ht="27.95" customHeight="1">
      <c r="A79" s="443">
        <v>72</v>
      </c>
      <c r="B79" s="444" t="s">
        <v>293</v>
      </c>
      <c r="C79" s="445" t="s">
        <v>529</v>
      </c>
      <c r="D79" s="446">
        <f>SUM(D80:D88)</f>
        <v>58068301527.620056</v>
      </c>
      <c r="E79" s="447">
        <f>SUM(E80:E88)</f>
        <v>4.8492200000083516E-2</v>
      </c>
      <c r="F79" s="448"/>
      <c r="G79" s="449"/>
      <c r="H79" s="450">
        <f>SUM(H80:H88)</f>
        <v>4.8492200000083516E-2</v>
      </c>
      <c r="I79" s="451">
        <f>SUM(I80:I88)</f>
        <v>58068301527.620056</v>
      </c>
      <c r="J79" s="449">
        <f>L79/D79</f>
        <v>1</v>
      </c>
      <c r="K79" s="452">
        <f>SUM(K80:K88)</f>
        <v>4.8492200000083516E-2</v>
      </c>
      <c r="L79" s="453">
        <f>SUM(L80:L88)</f>
        <v>58068301527.620056</v>
      </c>
      <c r="M79" s="454"/>
      <c r="N79" s="454">
        <f>SUM(N80:N88)</f>
        <v>0</v>
      </c>
      <c r="O79" s="455">
        <f t="shared" si="24"/>
        <v>0</v>
      </c>
      <c r="P79" s="444"/>
    </row>
    <row r="80" spans="1:17" s="312" customFormat="1" ht="27.95" customHeight="1">
      <c r="A80" s="18">
        <v>73</v>
      </c>
      <c r="B80" s="301" t="s">
        <v>294</v>
      </c>
      <c r="C80" s="302" t="s">
        <v>530</v>
      </c>
      <c r="D80" s="303">
        <v>2903415076.3760033</v>
      </c>
      <c r="E80" s="347">
        <f t="shared" ref="E80:E88" si="25">D80/$L$4</f>
        <v>2.4246100000000007E-3</v>
      </c>
      <c r="F80" s="305">
        <v>3</v>
      </c>
      <c r="G80" s="394">
        <v>1</v>
      </c>
      <c r="H80" s="387">
        <f t="shared" ref="H80:H88" si="26">G80*E80</f>
        <v>2.4246100000000007E-3</v>
      </c>
      <c r="I80" s="390">
        <f t="shared" ref="I80:I89" si="27">H80*$L$4</f>
        <v>2903415076.3760033</v>
      </c>
      <c r="J80" s="414">
        <v>1</v>
      </c>
      <c r="K80" s="343">
        <f t="shared" ref="K80:K88" si="28">J80*E80</f>
        <v>2.4246100000000007E-3</v>
      </c>
      <c r="L80" s="308">
        <f t="shared" ref="L80:L89" si="29">K80*$L$4</f>
        <v>2903415076.3760033</v>
      </c>
      <c r="M80" s="309"/>
      <c r="N80" s="309">
        <f t="shared" ref="N80:N88" si="30">M80*E80</f>
        <v>0</v>
      </c>
      <c r="O80" s="310">
        <f t="shared" si="24"/>
        <v>0</v>
      </c>
      <c r="P80" s="311"/>
      <c r="Q80" s="339"/>
    </row>
    <row r="81" spans="1:17" s="312" customFormat="1" ht="27.95" customHeight="1">
      <c r="A81" s="18">
        <v>74</v>
      </c>
      <c r="B81" s="301" t="s">
        <v>295</v>
      </c>
      <c r="C81" s="302" t="s">
        <v>531</v>
      </c>
      <c r="D81" s="303">
        <v>5806830152.7520065</v>
      </c>
      <c r="E81" s="347">
        <f t="shared" si="25"/>
        <v>4.8492200000000013E-3</v>
      </c>
      <c r="F81" s="305">
        <v>3</v>
      </c>
      <c r="G81" s="394">
        <v>1</v>
      </c>
      <c r="H81" s="387">
        <f t="shared" si="26"/>
        <v>4.8492200000000013E-3</v>
      </c>
      <c r="I81" s="390">
        <f t="shared" si="27"/>
        <v>5806830152.7520065</v>
      </c>
      <c r="J81" s="414">
        <v>1</v>
      </c>
      <c r="K81" s="343">
        <f t="shared" si="28"/>
        <v>4.8492200000000013E-3</v>
      </c>
      <c r="L81" s="308">
        <f t="shared" si="29"/>
        <v>5806830152.7520065</v>
      </c>
      <c r="M81" s="309"/>
      <c r="N81" s="309">
        <f t="shared" si="30"/>
        <v>0</v>
      </c>
      <c r="O81" s="310">
        <f t="shared" si="24"/>
        <v>0</v>
      </c>
      <c r="P81" s="311"/>
    </row>
    <row r="82" spans="1:17" s="312" customFormat="1" ht="27.95" customHeight="1">
      <c r="A82" s="18">
        <v>75</v>
      </c>
      <c r="B82" s="301" t="s">
        <v>296</v>
      </c>
      <c r="C82" s="302" t="s">
        <v>532</v>
      </c>
      <c r="D82" s="303">
        <v>5806830152.7520065</v>
      </c>
      <c r="E82" s="347">
        <f t="shared" si="25"/>
        <v>4.8492200000000013E-3</v>
      </c>
      <c r="F82" s="305">
        <v>3</v>
      </c>
      <c r="G82" s="394">
        <v>1</v>
      </c>
      <c r="H82" s="387">
        <f t="shared" si="26"/>
        <v>4.8492200000000013E-3</v>
      </c>
      <c r="I82" s="390">
        <f t="shared" si="27"/>
        <v>5806830152.7520065</v>
      </c>
      <c r="J82" s="414">
        <v>1</v>
      </c>
      <c r="K82" s="343">
        <f t="shared" si="28"/>
        <v>4.8492200000000013E-3</v>
      </c>
      <c r="L82" s="308">
        <f t="shared" si="29"/>
        <v>5806830152.7520065</v>
      </c>
      <c r="M82" s="309"/>
      <c r="N82" s="309">
        <f t="shared" si="30"/>
        <v>0</v>
      </c>
      <c r="O82" s="310">
        <f t="shared" si="24"/>
        <v>0</v>
      </c>
      <c r="P82" s="311"/>
    </row>
    <row r="83" spans="1:17" s="312" customFormat="1" ht="27.95" customHeight="1">
      <c r="A83" s="18">
        <v>76</v>
      </c>
      <c r="B83" s="301" t="s">
        <v>297</v>
      </c>
      <c r="C83" s="302" t="s">
        <v>533</v>
      </c>
      <c r="D83" s="303">
        <v>11613660305.504013</v>
      </c>
      <c r="E83" s="347">
        <f t="shared" si="25"/>
        <v>9.6984400000000026E-3</v>
      </c>
      <c r="F83" s="305">
        <v>14</v>
      </c>
      <c r="G83" s="394">
        <v>1</v>
      </c>
      <c r="H83" s="387">
        <f t="shared" si="26"/>
        <v>9.6984400000000026E-3</v>
      </c>
      <c r="I83" s="390">
        <f t="shared" si="27"/>
        <v>11613660305.504013</v>
      </c>
      <c r="J83" s="414">
        <v>1</v>
      </c>
      <c r="K83" s="343">
        <f t="shared" si="28"/>
        <v>9.6984400000000026E-3</v>
      </c>
      <c r="L83" s="308">
        <f t="shared" si="29"/>
        <v>11613660305.504013</v>
      </c>
      <c r="M83" s="309"/>
      <c r="N83" s="309">
        <f t="shared" si="30"/>
        <v>0</v>
      </c>
      <c r="O83" s="310">
        <f t="shared" si="24"/>
        <v>0</v>
      </c>
      <c r="P83" s="311"/>
    </row>
    <row r="84" spans="1:17" s="312" customFormat="1" ht="27.95" customHeight="1">
      <c r="A84" s="18">
        <v>77</v>
      </c>
      <c r="B84" s="301" t="s">
        <v>298</v>
      </c>
      <c r="C84" s="302" t="s">
        <v>534</v>
      </c>
      <c r="D84" s="303">
        <v>8710245229.1280079</v>
      </c>
      <c r="E84" s="347">
        <f t="shared" si="25"/>
        <v>7.2738300000000002E-3</v>
      </c>
      <c r="F84" s="305">
        <v>3</v>
      </c>
      <c r="G84" s="394">
        <v>1</v>
      </c>
      <c r="H84" s="387">
        <f t="shared" si="26"/>
        <v>7.2738300000000002E-3</v>
      </c>
      <c r="I84" s="390">
        <f t="shared" si="27"/>
        <v>8710245229.1280079</v>
      </c>
      <c r="J84" s="414">
        <v>1</v>
      </c>
      <c r="K84" s="343">
        <f t="shared" si="28"/>
        <v>7.2738300000000002E-3</v>
      </c>
      <c r="L84" s="308">
        <f t="shared" si="29"/>
        <v>8710245229.1280079</v>
      </c>
      <c r="M84" s="309"/>
      <c r="N84" s="309">
        <f t="shared" si="30"/>
        <v>0</v>
      </c>
      <c r="O84" s="310">
        <f t="shared" si="24"/>
        <v>0</v>
      </c>
      <c r="P84" s="311"/>
    </row>
    <row r="85" spans="1:17" s="312" customFormat="1" ht="27.95" customHeight="1">
      <c r="A85" s="18">
        <v>78</v>
      </c>
      <c r="B85" s="301" t="s">
        <v>299</v>
      </c>
      <c r="C85" s="302" t="s">
        <v>535</v>
      </c>
      <c r="D85" s="303">
        <v>6677854675.6648073</v>
      </c>
      <c r="E85" s="347">
        <f t="shared" si="25"/>
        <v>5.5766030000000012E-3</v>
      </c>
      <c r="F85" s="305">
        <v>14</v>
      </c>
      <c r="G85" s="394">
        <v>1</v>
      </c>
      <c r="H85" s="387">
        <f t="shared" si="26"/>
        <v>5.5766030000000012E-3</v>
      </c>
      <c r="I85" s="390">
        <f t="shared" si="27"/>
        <v>6677854675.6648073</v>
      </c>
      <c r="J85" s="414">
        <v>1</v>
      </c>
      <c r="K85" s="343">
        <f t="shared" si="28"/>
        <v>5.5766030000000012E-3</v>
      </c>
      <c r="L85" s="308">
        <f t="shared" si="29"/>
        <v>6677854675.6648073</v>
      </c>
      <c r="M85" s="309"/>
      <c r="N85" s="309">
        <f t="shared" si="30"/>
        <v>0</v>
      </c>
      <c r="O85" s="310">
        <f t="shared" si="24"/>
        <v>0</v>
      </c>
      <c r="P85" s="311"/>
    </row>
    <row r="86" spans="1:17" s="312" customFormat="1" ht="27.95" customHeight="1">
      <c r="A86" s="18">
        <v>79</v>
      </c>
      <c r="B86" s="301" t="s">
        <v>300</v>
      </c>
      <c r="C86" s="302" t="s">
        <v>536</v>
      </c>
      <c r="D86" s="303">
        <v>4935805629.8392048</v>
      </c>
      <c r="E86" s="347">
        <f t="shared" si="25"/>
        <v>4.1218370000000006E-3</v>
      </c>
      <c r="F86" s="305">
        <v>3</v>
      </c>
      <c r="G86" s="394">
        <v>1</v>
      </c>
      <c r="H86" s="387">
        <f t="shared" si="26"/>
        <v>4.1218370000000006E-3</v>
      </c>
      <c r="I86" s="390">
        <f t="shared" si="27"/>
        <v>4935805629.8392048</v>
      </c>
      <c r="J86" s="414">
        <v>1</v>
      </c>
      <c r="K86" s="343">
        <f t="shared" si="28"/>
        <v>4.1218370000000006E-3</v>
      </c>
      <c r="L86" s="308">
        <f t="shared" si="29"/>
        <v>4935805629.8392048</v>
      </c>
      <c r="M86" s="309"/>
      <c r="N86" s="309">
        <f t="shared" si="30"/>
        <v>0</v>
      </c>
      <c r="O86" s="310">
        <f t="shared" si="24"/>
        <v>0</v>
      </c>
      <c r="P86" s="311"/>
    </row>
    <row r="87" spans="1:17" s="312" customFormat="1" ht="27.95" customHeight="1">
      <c r="A87" s="18">
        <v>80</v>
      </c>
      <c r="B87" s="301" t="s">
        <v>301</v>
      </c>
      <c r="C87" s="302" t="s">
        <v>755</v>
      </c>
      <c r="D87" s="303">
        <v>8710245229.1280079</v>
      </c>
      <c r="E87" s="347">
        <f t="shared" si="25"/>
        <v>7.2738300000000002E-3</v>
      </c>
      <c r="F87" s="305">
        <v>14</v>
      </c>
      <c r="G87" s="394">
        <v>1</v>
      </c>
      <c r="H87" s="387">
        <f t="shared" si="26"/>
        <v>7.2738300000000002E-3</v>
      </c>
      <c r="I87" s="390">
        <f t="shared" si="27"/>
        <v>8710245229.1280079</v>
      </c>
      <c r="J87" s="414">
        <v>1</v>
      </c>
      <c r="K87" s="343">
        <f t="shared" si="28"/>
        <v>7.2738300000000002E-3</v>
      </c>
      <c r="L87" s="308">
        <f t="shared" si="29"/>
        <v>8710245229.1280079</v>
      </c>
      <c r="M87" s="309"/>
      <c r="N87" s="309">
        <f t="shared" si="30"/>
        <v>0</v>
      </c>
      <c r="O87" s="310">
        <f t="shared" si="24"/>
        <v>0</v>
      </c>
      <c r="P87" s="311"/>
    </row>
    <row r="88" spans="1:17" s="312" customFormat="1" ht="27.95" customHeight="1">
      <c r="A88" s="18">
        <v>81</v>
      </c>
      <c r="B88" s="301" t="s">
        <v>653</v>
      </c>
      <c r="C88" s="302" t="s">
        <v>539</v>
      </c>
      <c r="D88" s="303">
        <v>2903415076.4759998</v>
      </c>
      <c r="E88" s="347">
        <f t="shared" si="25"/>
        <v>2.4246100000835068E-3</v>
      </c>
      <c r="F88" s="305">
        <v>3</v>
      </c>
      <c r="G88" s="394">
        <v>1</v>
      </c>
      <c r="H88" s="387">
        <f t="shared" si="26"/>
        <v>2.4246100000835068E-3</v>
      </c>
      <c r="I88" s="390">
        <f t="shared" si="27"/>
        <v>2903415076.4759998</v>
      </c>
      <c r="J88" s="414">
        <v>1</v>
      </c>
      <c r="K88" s="343">
        <f t="shared" si="28"/>
        <v>2.4246100000835068E-3</v>
      </c>
      <c r="L88" s="308">
        <f t="shared" si="29"/>
        <v>2903415076.4759998</v>
      </c>
      <c r="M88" s="309"/>
      <c r="N88" s="309">
        <f t="shared" si="30"/>
        <v>0</v>
      </c>
      <c r="O88" s="310">
        <f t="shared" si="24"/>
        <v>0</v>
      </c>
      <c r="P88" s="311"/>
    </row>
    <row r="89" spans="1:17" s="456" customFormat="1" ht="27.95" customHeight="1">
      <c r="A89" s="443">
        <v>82</v>
      </c>
      <c r="B89" s="444" t="s">
        <v>303</v>
      </c>
      <c r="C89" s="445" t="s">
        <v>542</v>
      </c>
      <c r="D89" s="446">
        <f>SUM(D90:D99)</f>
        <v>47082406643.599998</v>
      </c>
      <c r="E89" s="467">
        <f>SUM(E90:E99)</f>
        <v>3.9317999999720105E-2</v>
      </c>
      <c r="F89" s="448"/>
      <c r="G89" s="449"/>
      <c r="H89" s="467">
        <f>SUM(H90:H99)</f>
        <v>3.9097819199725145E-2</v>
      </c>
      <c r="I89" s="451">
        <f t="shared" si="27"/>
        <v>46818745166.400009</v>
      </c>
      <c r="J89" s="449"/>
      <c r="K89" s="468">
        <f>SUM(K90:K99)</f>
        <v>3.1627399199774843E-2</v>
      </c>
      <c r="L89" s="453">
        <f t="shared" si="29"/>
        <v>37873087904.111832</v>
      </c>
      <c r="M89" s="454"/>
      <c r="N89" s="454"/>
      <c r="O89" s="455"/>
      <c r="P89" s="444"/>
    </row>
    <row r="90" spans="1:17" s="312" customFormat="1" ht="27.95" customHeight="1">
      <c r="A90" s="18">
        <v>83</v>
      </c>
      <c r="B90" s="301" t="s">
        <v>304</v>
      </c>
      <c r="C90" s="302" t="s">
        <v>743</v>
      </c>
      <c r="D90" s="303">
        <v>1600801826</v>
      </c>
      <c r="E90" s="304">
        <f>D90/$L$4</f>
        <v>1.3368120000886898E-3</v>
      </c>
      <c r="F90" s="317">
        <v>3</v>
      </c>
      <c r="G90" s="394">
        <v>1</v>
      </c>
      <c r="H90" s="387">
        <f t="shared" ref="H90:H100" si="31">G90*E90</f>
        <v>1.3368120000886898E-3</v>
      </c>
      <c r="I90" s="390">
        <f t="shared" ref="I90:I100" si="32">H90*$L$4</f>
        <v>1600801826</v>
      </c>
      <c r="J90" s="510">
        <f>1-19.56%</f>
        <v>0.8044</v>
      </c>
      <c r="K90" s="343">
        <f>J90*E90</f>
        <v>1.0753315728713421E-3</v>
      </c>
      <c r="L90" s="308">
        <f>J90*D90</f>
        <v>1287684988.8343999</v>
      </c>
      <c r="M90" s="1200" t="s">
        <v>877</v>
      </c>
      <c r="N90" s="1201"/>
      <c r="O90" s="1202"/>
      <c r="P90" s="311"/>
      <c r="Q90" s="339"/>
    </row>
    <row r="91" spans="1:17" s="312" customFormat="1" ht="27.95" customHeight="1">
      <c r="A91" s="18">
        <v>84</v>
      </c>
      <c r="B91" s="301" t="s">
        <v>756</v>
      </c>
      <c r="C91" s="302" t="s">
        <v>540</v>
      </c>
      <c r="D91" s="303">
        <v>8474833196</v>
      </c>
      <c r="E91" s="304">
        <f t="shared" ref="E91:E99" si="33">D91/$L$4</f>
        <v>7.077240000076551E-3</v>
      </c>
      <c r="F91" s="317">
        <v>8</v>
      </c>
      <c r="G91" s="394">
        <v>1</v>
      </c>
      <c r="H91" s="387">
        <f t="shared" si="31"/>
        <v>7.077240000076551E-3</v>
      </c>
      <c r="I91" s="390">
        <f t="shared" si="32"/>
        <v>8474833196</v>
      </c>
      <c r="J91" s="510">
        <f t="shared" ref="J91:J99" si="34">1-19.56%</f>
        <v>0.8044</v>
      </c>
      <c r="K91" s="343">
        <f t="shared" ref="K91:K100" si="35">J91*E91</f>
        <v>5.6929318560615776E-3</v>
      </c>
      <c r="L91" s="308">
        <f t="shared" ref="L91:L100" si="36">J91*D91</f>
        <v>6817155822.8624001</v>
      </c>
      <c r="M91" s="1185"/>
      <c r="N91" s="1186"/>
      <c r="O91" s="1187"/>
      <c r="P91" s="311"/>
      <c r="Q91" s="339"/>
    </row>
    <row r="92" spans="1:17" s="312" customFormat="1" ht="27.95" customHeight="1">
      <c r="A92" s="18">
        <v>85</v>
      </c>
      <c r="B92" s="301" t="s">
        <v>709</v>
      </c>
      <c r="C92" s="302" t="s">
        <v>744</v>
      </c>
      <c r="D92" s="303">
        <v>16949666392</v>
      </c>
      <c r="E92" s="304">
        <f t="shared" si="33"/>
        <v>1.4154480000153102E-2</v>
      </c>
      <c r="F92" s="317">
        <v>9</v>
      </c>
      <c r="G92" s="394">
        <v>1</v>
      </c>
      <c r="H92" s="387">
        <f t="shared" si="31"/>
        <v>1.4154480000153102E-2</v>
      </c>
      <c r="I92" s="390">
        <f t="shared" si="32"/>
        <v>16949666392</v>
      </c>
      <c r="J92" s="510">
        <f t="shared" si="34"/>
        <v>0.8044</v>
      </c>
      <c r="K92" s="343">
        <f t="shared" si="35"/>
        <v>1.1385863712123155E-2</v>
      </c>
      <c r="L92" s="308">
        <f t="shared" si="36"/>
        <v>13634311645.7248</v>
      </c>
      <c r="M92" s="1185"/>
      <c r="N92" s="1186"/>
      <c r="O92" s="1187"/>
      <c r="P92" s="311"/>
      <c r="Q92" s="339"/>
    </row>
    <row r="93" spans="1:17" s="312" customFormat="1" ht="27.95" customHeight="1">
      <c r="A93" s="18">
        <v>86</v>
      </c>
      <c r="B93" s="301" t="s">
        <v>757</v>
      </c>
      <c r="C93" s="302" t="s">
        <v>745</v>
      </c>
      <c r="D93" s="303">
        <v>8474833196</v>
      </c>
      <c r="E93" s="304">
        <f t="shared" si="33"/>
        <v>7.077240000076551E-3</v>
      </c>
      <c r="F93" s="375" t="s">
        <v>846</v>
      </c>
      <c r="G93" s="394">
        <v>1</v>
      </c>
      <c r="H93" s="387">
        <f t="shared" si="31"/>
        <v>7.077240000076551E-3</v>
      </c>
      <c r="I93" s="390">
        <f t="shared" si="32"/>
        <v>8474833196</v>
      </c>
      <c r="J93" s="510">
        <f t="shared" si="34"/>
        <v>0.8044</v>
      </c>
      <c r="K93" s="343">
        <f t="shared" si="35"/>
        <v>5.6929318560615776E-3</v>
      </c>
      <c r="L93" s="308">
        <f t="shared" si="36"/>
        <v>6817155822.8624001</v>
      </c>
      <c r="M93" s="1185"/>
      <c r="N93" s="1186"/>
      <c r="O93" s="1187"/>
      <c r="P93" s="311"/>
      <c r="Q93" s="339"/>
    </row>
    <row r="94" spans="1:17" s="312" customFormat="1" ht="27.95" customHeight="1">
      <c r="A94" s="18">
        <v>87</v>
      </c>
      <c r="B94" s="301" t="s">
        <v>758</v>
      </c>
      <c r="C94" s="302" t="s">
        <v>746</v>
      </c>
      <c r="D94" s="303">
        <v>470824066</v>
      </c>
      <c r="E94" s="304">
        <f t="shared" si="33"/>
        <v>3.9317999963310216E-4</v>
      </c>
      <c r="F94" s="317">
        <v>16</v>
      </c>
      <c r="G94" s="394">
        <v>1</v>
      </c>
      <c r="H94" s="387">
        <f t="shared" si="31"/>
        <v>3.9317999963310216E-4</v>
      </c>
      <c r="I94" s="390">
        <f t="shared" si="32"/>
        <v>470824066</v>
      </c>
      <c r="J94" s="510">
        <f t="shared" si="34"/>
        <v>0.8044</v>
      </c>
      <c r="K94" s="343">
        <f t="shared" si="35"/>
        <v>3.1627399170486737E-4</v>
      </c>
      <c r="L94" s="308">
        <f t="shared" si="36"/>
        <v>378730878.6904</v>
      </c>
      <c r="M94" s="1185"/>
      <c r="N94" s="1186"/>
      <c r="O94" s="1187"/>
      <c r="P94" s="311"/>
      <c r="Q94" s="339"/>
    </row>
    <row r="95" spans="1:17" s="312" customFormat="1" ht="38.25">
      <c r="A95" s="18">
        <v>88</v>
      </c>
      <c r="B95" s="301" t="s">
        <v>759</v>
      </c>
      <c r="C95" s="302" t="s">
        <v>747</v>
      </c>
      <c r="D95" s="303">
        <v>847483320</v>
      </c>
      <c r="E95" s="304">
        <f t="shared" si="33"/>
        <v>7.0772400034169072E-4</v>
      </c>
      <c r="F95" s="317">
        <v>6</v>
      </c>
      <c r="G95" s="394">
        <v>1</v>
      </c>
      <c r="H95" s="387">
        <f t="shared" si="31"/>
        <v>7.0772400034169072E-4</v>
      </c>
      <c r="I95" s="390">
        <f t="shared" si="32"/>
        <v>847483320</v>
      </c>
      <c r="J95" s="510">
        <f t="shared" si="34"/>
        <v>0.8044</v>
      </c>
      <c r="K95" s="343">
        <f t="shared" si="35"/>
        <v>5.6929318587485599E-4</v>
      </c>
      <c r="L95" s="308">
        <f t="shared" si="36"/>
        <v>681715582.60800004</v>
      </c>
      <c r="M95" s="1185"/>
      <c r="N95" s="1186"/>
      <c r="O95" s="1187"/>
      <c r="P95" s="311"/>
      <c r="Q95" s="339"/>
    </row>
    <row r="96" spans="1:17" s="312" customFormat="1" ht="27.95" customHeight="1">
      <c r="A96" s="18">
        <v>89</v>
      </c>
      <c r="B96" s="301" t="s">
        <v>760</v>
      </c>
      <c r="C96" s="302" t="s">
        <v>748</v>
      </c>
      <c r="D96" s="303">
        <v>2636614772</v>
      </c>
      <c r="E96" s="304">
        <f t="shared" si="33"/>
        <v>2.2018079999495859E-3</v>
      </c>
      <c r="F96" s="317">
        <v>11</v>
      </c>
      <c r="G96" s="394">
        <v>0.9</v>
      </c>
      <c r="H96" s="387">
        <f t="shared" si="31"/>
        <v>1.9816271999546272E-3</v>
      </c>
      <c r="I96" s="390">
        <f t="shared" si="32"/>
        <v>2372953294.8000002</v>
      </c>
      <c r="J96" s="510">
        <f t="shared" si="34"/>
        <v>0.8044</v>
      </c>
      <c r="K96" s="343">
        <f t="shared" si="35"/>
        <v>1.7711343551594469E-3</v>
      </c>
      <c r="L96" s="308">
        <f t="shared" si="36"/>
        <v>2120892922.5968001</v>
      </c>
      <c r="M96" s="1185"/>
      <c r="N96" s="1186"/>
      <c r="O96" s="1187"/>
      <c r="P96" s="311"/>
      <c r="Q96" s="339"/>
    </row>
    <row r="97" spans="1:17" s="312" customFormat="1" ht="27.95" customHeight="1">
      <c r="A97" s="18">
        <v>90</v>
      </c>
      <c r="B97" s="301" t="s">
        <v>761</v>
      </c>
      <c r="C97" s="302" t="s">
        <v>749</v>
      </c>
      <c r="D97" s="303">
        <v>3954922158</v>
      </c>
      <c r="E97" s="304">
        <f t="shared" si="33"/>
        <v>3.3027119999243788E-3</v>
      </c>
      <c r="F97" s="317">
        <v>3</v>
      </c>
      <c r="G97" s="394">
        <v>1</v>
      </c>
      <c r="H97" s="387">
        <f t="shared" si="31"/>
        <v>3.3027119999243788E-3</v>
      </c>
      <c r="I97" s="390">
        <f t="shared" si="32"/>
        <v>3954922158</v>
      </c>
      <c r="J97" s="510">
        <f t="shared" si="34"/>
        <v>0.8044</v>
      </c>
      <c r="K97" s="343">
        <f t="shared" si="35"/>
        <v>2.6567015327391705E-3</v>
      </c>
      <c r="L97" s="308">
        <f t="shared" si="36"/>
        <v>3181339383.8952003</v>
      </c>
      <c r="M97" s="1185"/>
      <c r="N97" s="1186"/>
      <c r="O97" s="1187"/>
      <c r="P97" s="311"/>
      <c r="Q97" s="339"/>
    </row>
    <row r="98" spans="1:17" s="312" customFormat="1" ht="27.95" customHeight="1">
      <c r="A98" s="18">
        <v>91</v>
      </c>
      <c r="B98" s="301" t="s">
        <v>762</v>
      </c>
      <c r="C98" s="302" t="s">
        <v>750</v>
      </c>
      <c r="D98" s="303">
        <v>1318307386</v>
      </c>
      <c r="E98" s="304">
        <f t="shared" si="33"/>
        <v>1.1009039999747929E-3</v>
      </c>
      <c r="F98" s="317">
        <v>20</v>
      </c>
      <c r="G98" s="394">
        <v>1</v>
      </c>
      <c r="H98" s="387">
        <f t="shared" si="31"/>
        <v>1.1009039999747929E-3</v>
      </c>
      <c r="I98" s="390">
        <f t="shared" si="32"/>
        <v>1318307386</v>
      </c>
      <c r="J98" s="510">
        <f t="shared" si="34"/>
        <v>0.8044</v>
      </c>
      <c r="K98" s="343">
        <f t="shared" si="35"/>
        <v>8.8556717757972347E-4</v>
      </c>
      <c r="L98" s="308">
        <f t="shared" si="36"/>
        <v>1060446461.2984</v>
      </c>
      <c r="M98" s="1185"/>
      <c r="N98" s="1186"/>
      <c r="O98" s="1187"/>
      <c r="P98" s="311"/>
      <c r="Q98" s="339"/>
    </row>
    <row r="99" spans="1:17" s="312" customFormat="1" ht="27.95" customHeight="1">
      <c r="A99" s="18">
        <v>92</v>
      </c>
      <c r="B99" s="301" t="s">
        <v>763</v>
      </c>
      <c r="C99" s="302" t="s">
        <v>539</v>
      </c>
      <c r="D99" s="303">
        <v>2354120331.5999999</v>
      </c>
      <c r="E99" s="304">
        <f t="shared" si="33"/>
        <v>1.965899999501653E-3</v>
      </c>
      <c r="F99" s="317">
        <v>3</v>
      </c>
      <c r="G99" s="394">
        <v>1</v>
      </c>
      <c r="H99" s="387">
        <f t="shared" si="31"/>
        <v>1.965899999501653E-3</v>
      </c>
      <c r="I99" s="390">
        <f t="shared" si="32"/>
        <v>2354120331.5999994</v>
      </c>
      <c r="J99" s="510">
        <f t="shared" si="34"/>
        <v>0.8044</v>
      </c>
      <c r="K99" s="343">
        <f t="shared" si="35"/>
        <v>1.5813699595991298E-3</v>
      </c>
      <c r="L99" s="308">
        <f t="shared" si="36"/>
        <v>1893654394.7390399</v>
      </c>
      <c r="M99" s="1185"/>
      <c r="N99" s="1186"/>
      <c r="O99" s="1187"/>
      <c r="P99" s="311"/>
      <c r="Q99" s="339"/>
    </row>
    <row r="100" spans="1:17" s="312" customFormat="1" ht="27.95" customHeight="1">
      <c r="A100" s="18">
        <v>93</v>
      </c>
      <c r="B100" s="301" t="s">
        <v>764</v>
      </c>
      <c r="C100" s="302" t="s">
        <v>562</v>
      </c>
      <c r="D100" s="303"/>
      <c r="E100" s="304"/>
      <c r="F100" s="317"/>
      <c r="G100" s="394"/>
      <c r="H100" s="387">
        <f t="shared" si="31"/>
        <v>0</v>
      </c>
      <c r="I100" s="390">
        <f t="shared" si="32"/>
        <v>0</v>
      </c>
      <c r="J100" s="414"/>
      <c r="K100" s="343">
        <f t="shared" si="35"/>
        <v>0</v>
      </c>
      <c r="L100" s="308">
        <f t="shared" si="36"/>
        <v>0</v>
      </c>
      <c r="M100" s="1188"/>
      <c r="N100" s="1189"/>
      <c r="O100" s="1190"/>
      <c r="P100" s="311"/>
    </row>
    <row r="101" spans="1:17" s="456" customFormat="1" ht="27.95" customHeight="1">
      <c r="A101" s="462">
        <v>94</v>
      </c>
      <c r="B101" s="462" t="s">
        <v>311</v>
      </c>
      <c r="C101" s="469" t="s">
        <v>543</v>
      </c>
      <c r="D101" s="463">
        <f>SUM(D102:D119)</f>
        <v>51790647308.328705</v>
      </c>
      <c r="E101" s="464">
        <f>SUM(E102:E119)</f>
        <v>4.3249800000000005E-2</v>
      </c>
      <c r="F101" s="465"/>
      <c r="G101" s="466"/>
      <c r="H101" s="470">
        <f>SUM(H102:H119)</f>
        <v>1.8554164200000004E-2</v>
      </c>
      <c r="I101" s="471">
        <f>SUM(I102:I119)</f>
        <v>22218187695.273014</v>
      </c>
      <c r="J101" s="472">
        <f>L101/D101</f>
        <v>0.11346121535230445</v>
      </c>
      <c r="K101" s="473">
        <f>SUM(K102:K119)</f>
        <v>4.9071748717440982E-3</v>
      </c>
      <c r="L101" s="474">
        <f>SUM(L102:L119)</f>
        <v>5876229787.4855299</v>
      </c>
      <c r="M101" s="454"/>
      <c r="N101" s="454">
        <f>SUM(N102:N119)</f>
        <v>0</v>
      </c>
      <c r="O101" s="455">
        <f>SUM(O102:O119)</f>
        <v>0</v>
      </c>
      <c r="P101" s="462"/>
    </row>
    <row r="102" spans="1:17" s="312" customFormat="1" ht="27.95" customHeight="1">
      <c r="A102" s="18">
        <v>95</v>
      </c>
      <c r="B102" s="301" t="s">
        <v>312</v>
      </c>
      <c r="C102" s="302" t="s">
        <v>545</v>
      </c>
      <c r="D102" s="303">
        <v>517906473.083287</v>
      </c>
      <c r="E102" s="304">
        <f t="shared" ref="E102:E119" si="37">D102/$L$4</f>
        <v>4.3249800000000007E-4</v>
      </c>
      <c r="F102" s="305">
        <v>21</v>
      </c>
      <c r="G102" s="394">
        <v>1</v>
      </c>
      <c r="H102" s="387">
        <f t="shared" ref="H102:H119" si="38">G102*E102</f>
        <v>4.3249800000000007E-4</v>
      </c>
      <c r="I102" s="390">
        <f t="shared" ref="I102:I119" si="39">H102*$L$4</f>
        <v>517906473.083287</v>
      </c>
      <c r="J102" s="511">
        <f>1/3</f>
        <v>0.33333333333333331</v>
      </c>
      <c r="K102" s="343">
        <f t="shared" ref="K102:K119" si="40">J102*E102</f>
        <v>1.4416600000000002E-4</v>
      </c>
      <c r="L102" s="308">
        <f t="shared" ref="L102:L119" si="41">K102*$L$4</f>
        <v>172635491.02776232</v>
      </c>
      <c r="M102" s="1191" t="s">
        <v>891</v>
      </c>
      <c r="N102" s="1192"/>
      <c r="O102" s="1193"/>
      <c r="P102" s="311"/>
    </row>
    <row r="103" spans="1:17" s="312" customFormat="1" ht="27.95" customHeight="1">
      <c r="A103" s="18">
        <v>96</v>
      </c>
      <c r="B103" s="301" t="s">
        <v>313</v>
      </c>
      <c r="C103" s="302" t="s">
        <v>546</v>
      </c>
      <c r="D103" s="303">
        <v>5127274083.5245419</v>
      </c>
      <c r="E103" s="304">
        <f t="shared" si="37"/>
        <v>4.281730200000001E-3</v>
      </c>
      <c r="F103" s="305">
        <v>14</v>
      </c>
      <c r="G103" s="394">
        <v>1</v>
      </c>
      <c r="H103" s="387">
        <f t="shared" si="38"/>
        <v>4.281730200000001E-3</v>
      </c>
      <c r="I103" s="390">
        <f t="shared" si="39"/>
        <v>5127274083.5245419</v>
      </c>
      <c r="J103" s="511">
        <f>11443/(14443)</f>
        <v>0.79228692099979225</v>
      </c>
      <c r="K103" s="343">
        <f t="shared" si="40"/>
        <v>3.3923588367098254E-3</v>
      </c>
      <c r="L103" s="308">
        <f t="shared" si="41"/>
        <v>4062272196.7576909</v>
      </c>
      <c r="M103" s="1194"/>
      <c r="N103" s="1195"/>
      <c r="O103" s="1196"/>
      <c r="P103" s="311"/>
    </row>
    <row r="104" spans="1:17" s="312" customFormat="1" ht="27.95" customHeight="1">
      <c r="A104" s="18">
        <v>97</v>
      </c>
      <c r="B104" s="301" t="s">
        <v>314</v>
      </c>
      <c r="C104" s="302" t="s">
        <v>547</v>
      </c>
      <c r="D104" s="303">
        <v>5179064730.8328705</v>
      </c>
      <c r="E104" s="304">
        <f t="shared" si="37"/>
        <v>4.3249800000000008E-3</v>
      </c>
      <c r="F104" s="305">
        <v>14</v>
      </c>
      <c r="G104" s="394">
        <v>1</v>
      </c>
      <c r="H104" s="387">
        <f t="shared" si="38"/>
        <v>4.3249800000000008E-3</v>
      </c>
      <c r="I104" s="390">
        <f t="shared" si="39"/>
        <v>5179064730.8328705</v>
      </c>
      <c r="J104" s="512"/>
      <c r="K104" s="343">
        <f t="shared" si="40"/>
        <v>0</v>
      </c>
      <c r="L104" s="308">
        <f t="shared" si="41"/>
        <v>0</v>
      </c>
      <c r="M104" s="1194"/>
      <c r="N104" s="1195"/>
      <c r="O104" s="1196"/>
      <c r="P104" s="311"/>
    </row>
    <row r="105" spans="1:17" s="312" customFormat="1" ht="27.95" customHeight="1">
      <c r="A105" s="18">
        <v>98</v>
      </c>
      <c r="B105" s="301" t="s">
        <v>315</v>
      </c>
      <c r="C105" s="302" t="s">
        <v>548</v>
      </c>
      <c r="D105" s="303">
        <v>5179064730.8328705</v>
      </c>
      <c r="E105" s="304">
        <f t="shared" si="37"/>
        <v>4.3249800000000008E-3</v>
      </c>
      <c r="F105" s="305">
        <v>14</v>
      </c>
      <c r="G105" s="394">
        <v>0.5</v>
      </c>
      <c r="H105" s="387">
        <f t="shared" si="38"/>
        <v>2.1624900000000004E-3</v>
      </c>
      <c r="I105" s="390">
        <f t="shared" si="39"/>
        <v>2589532365.4164352</v>
      </c>
      <c r="J105" s="512"/>
      <c r="K105" s="343">
        <f t="shared" si="40"/>
        <v>0</v>
      </c>
      <c r="L105" s="308">
        <f t="shared" si="41"/>
        <v>0</v>
      </c>
      <c r="M105" s="1194"/>
      <c r="N105" s="1195"/>
      <c r="O105" s="1196"/>
      <c r="P105" s="311"/>
    </row>
    <row r="106" spans="1:17" s="312" customFormat="1" ht="27.95" customHeight="1">
      <c r="A106" s="18">
        <v>99</v>
      </c>
      <c r="B106" s="301" t="s">
        <v>316</v>
      </c>
      <c r="C106" s="302" t="s">
        <v>549</v>
      </c>
      <c r="D106" s="303">
        <v>4143251784.666296</v>
      </c>
      <c r="E106" s="304">
        <f t="shared" si="37"/>
        <v>3.4599840000000006E-3</v>
      </c>
      <c r="F106" s="305">
        <v>14</v>
      </c>
      <c r="G106" s="394">
        <v>1</v>
      </c>
      <c r="H106" s="387">
        <f t="shared" si="38"/>
        <v>3.4599840000000006E-3</v>
      </c>
      <c r="I106" s="390">
        <f t="shared" si="39"/>
        <v>4143251784.666296</v>
      </c>
      <c r="J106" s="512"/>
      <c r="K106" s="343">
        <f t="shared" si="40"/>
        <v>0</v>
      </c>
      <c r="L106" s="308">
        <f t="shared" si="41"/>
        <v>0</v>
      </c>
      <c r="M106" s="1194"/>
      <c r="N106" s="1195"/>
      <c r="O106" s="1196"/>
      <c r="P106" s="311"/>
    </row>
    <row r="107" spans="1:17" s="312" customFormat="1" ht="27.95" customHeight="1">
      <c r="A107" s="18">
        <v>100</v>
      </c>
      <c r="B107" s="301" t="s">
        <v>317</v>
      </c>
      <c r="C107" s="302" t="s">
        <v>550</v>
      </c>
      <c r="D107" s="303">
        <v>2589532365.4164352</v>
      </c>
      <c r="E107" s="304">
        <f t="shared" si="37"/>
        <v>2.1624900000000004E-3</v>
      </c>
      <c r="F107" s="305">
        <v>14</v>
      </c>
      <c r="G107" s="394">
        <v>0.5</v>
      </c>
      <c r="H107" s="387">
        <f t="shared" si="38"/>
        <v>1.0812450000000002E-3</v>
      </c>
      <c r="I107" s="390">
        <f t="shared" si="39"/>
        <v>1294766182.7082176</v>
      </c>
      <c r="J107" s="512"/>
      <c r="K107" s="343">
        <f t="shared" si="40"/>
        <v>0</v>
      </c>
      <c r="L107" s="308">
        <f t="shared" si="41"/>
        <v>0</v>
      </c>
      <c r="M107" s="1194"/>
      <c r="N107" s="1195"/>
      <c r="O107" s="1196"/>
      <c r="P107" s="311"/>
    </row>
    <row r="108" spans="1:17" s="312" customFormat="1" ht="27.95" customHeight="1">
      <c r="A108" s="18">
        <v>101</v>
      </c>
      <c r="B108" s="301" t="s">
        <v>318</v>
      </c>
      <c r="C108" s="302" t="s">
        <v>551</v>
      </c>
      <c r="D108" s="303">
        <v>2071625892.333148</v>
      </c>
      <c r="E108" s="304">
        <f t="shared" si="37"/>
        <v>1.7299920000000003E-3</v>
      </c>
      <c r="F108" s="305">
        <v>23</v>
      </c>
      <c r="G108" s="394">
        <v>1</v>
      </c>
      <c r="H108" s="387">
        <f t="shared" si="38"/>
        <v>1.7299920000000003E-3</v>
      </c>
      <c r="I108" s="390">
        <f t="shared" si="39"/>
        <v>2071625892.333148</v>
      </c>
      <c r="J108" s="511">
        <f>J103</f>
        <v>0.79228692099979225</v>
      </c>
      <c r="K108" s="343">
        <f t="shared" si="40"/>
        <v>1.3706500350342727E-3</v>
      </c>
      <c r="L108" s="308">
        <f t="shared" si="41"/>
        <v>1641322099.7000768</v>
      </c>
      <c r="M108" s="1194"/>
      <c r="N108" s="1195"/>
      <c r="O108" s="1196"/>
      <c r="P108" s="311"/>
    </row>
    <row r="109" spans="1:17" s="408" customFormat="1" ht="27.95" customHeight="1">
      <c r="A109" s="18">
        <v>102</v>
      </c>
      <c r="B109" s="301" t="s">
        <v>319</v>
      </c>
      <c r="C109" s="302" t="s">
        <v>552</v>
      </c>
      <c r="D109" s="303">
        <v>1294766182.7082176</v>
      </c>
      <c r="E109" s="304">
        <f t="shared" si="37"/>
        <v>1.0812450000000002E-3</v>
      </c>
      <c r="F109" s="305">
        <v>23</v>
      </c>
      <c r="G109" s="394">
        <v>0</v>
      </c>
      <c r="H109" s="387">
        <f t="shared" si="38"/>
        <v>0</v>
      </c>
      <c r="I109" s="390">
        <f t="shared" si="39"/>
        <v>0</v>
      </c>
      <c r="J109" s="414"/>
      <c r="K109" s="343">
        <f t="shared" si="40"/>
        <v>0</v>
      </c>
      <c r="L109" s="308">
        <f t="shared" si="41"/>
        <v>0</v>
      </c>
      <c r="M109" s="1194"/>
      <c r="N109" s="1195"/>
      <c r="O109" s="1196"/>
      <c r="P109" s="311"/>
      <c r="Q109" s="409"/>
    </row>
    <row r="110" spans="1:17" s="312" customFormat="1" ht="27.95" customHeight="1">
      <c r="A110" s="18">
        <v>103</v>
      </c>
      <c r="B110" s="301" t="s">
        <v>320</v>
      </c>
      <c r="C110" s="302" t="s">
        <v>553</v>
      </c>
      <c r="D110" s="303">
        <v>2589532365.4164352</v>
      </c>
      <c r="E110" s="304">
        <f t="shared" si="37"/>
        <v>2.1624900000000004E-3</v>
      </c>
      <c r="F110" s="305">
        <v>23</v>
      </c>
      <c r="G110" s="394">
        <v>0.5</v>
      </c>
      <c r="H110" s="387">
        <f t="shared" si="38"/>
        <v>1.0812450000000002E-3</v>
      </c>
      <c r="I110" s="390">
        <f t="shared" si="39"/>
        <v>1294766182.7082176</v>
      </c>
      <c r="J110" s="414"/>
      <c r="K110" s="343">
        <f t="shared" si="40"/>
        <v>0</v>
      </c>
      <c r="L110" s="308">
        <f t="shared" si="41"/>
        <v>0</v>
      </c>
      <c r="M110" s="1194"/>
      <c r="N110" s="1195"/>
      <c r="O110" s="1196"/>
      <c r="P110" s="311"/>
    </row>
    <row r="111" spans="1:17" s="312" customFormat="1" ht="27.95" customHeight="1">
      <c r="A111" s="18">
        <v>104</v>
      </c>
      <c r="B111" s="301" t="s">
        <v>321</v>
      </c>
      <c r="C111" s="302" t="s">
        <v>554</v>
      </c>
      <c r="D111" s="303">
        <v>1294766182.7082176</v>
      </c>
      <c r="E111" s="304">
        <f t="shared" si="37"/>
        <v>1.0812450000000002E-3</v>
      </c>
      <c r="F111" s="305">
        <v>23</v>
      </c>
      <c r="G111" s="394">
        <v>0</v>
      </c>
      <c r="H111" s="387">
        <f t="shared" si="38"/>
        <v>0</v>
      </c>
      <c r="I111" s="390">
        <f t="shared" si="39"/>
        <v>0</v>
      </c>
      <c r="J111" s="414"/>
      <c r="K111" s="343">
        <f t="shared" si="40"/>
        <v>0</v>
      </c>
      <c r="L111" s="308">
        <f t="shared" si="41"/>
        <v>0</v>
      </c>
      <c r="M111" s="1194"/>
      <c r="N111" s="1195"/>
      <c r="O111" s="1196"/>
      <c r="P111" s="311"/>
    </row>
    <row r="112" spans="1:17" s="408" customFormat="1" ht="27.95" customHeight="1">
      <c r="A112" s="18">
        <v>105</v>
      </c>
      <c r="B112" s="301" t="s">
        <v>322</v>
      </c>
      <c r="C112" s="302" t="s">
        <v>555</v>
      </c>
      <c r="D112" s="303">
        <v>1294766182.7082176</v>
      </c>
      <c r="E112" s="304">
        <f t="shared" si="37"/>
        <v>1.0812450000000002E-3</v>
      </c>
      <c r="F112" s="305">
        <v>23</v>
      </c>
      <c r="G112" s="394">
        <v>0</v>
      </c>
      <c r="H112" s="387">
        <f t="shared" si="38"/>
        <v>0</v>
      </c>
      <c r="I112" s="390">
        <f t="shared" si="39"/>
        <v>0</v>
      </c>
      <c r="J112" s="414"/>
      <c r="K112" s="343">
        <f t="shared" si="40"/>
        <v>0</v>
      </c>
      <c r="L112" s="308">
        <f t="shared" si="41"/>
        <v>0</v>
      </c>
      <c r="M112" s="1194"/>
      <c r="N112" s="1195"/>
      <c r="O112" s="1196"/>
      <c r="P112" s="311"/>
      <c r="Q112" s="409"/>
    </row>
    <row r="113" spans="1:17" s="408" customFormat="1" ht="27.95" customHeight="1">
      <c r="A113" s="18">
        <v>106</v>
      </c>
      <c r="B113" s="301" t="s">
        <v>323</v>
      </c>
      <c r="C113" s="302" t="s">
        <v>556</v>
      </c>
      <c r="D113" s="303">
        <v>7768597096.2493048</v>
      </c>
      <c r="E113" s="304">
        <f t="shared" si="37"/>
        <v>6.4874700000000004E-3</v>
      </c>
      <c r="F113" s="305">
        <v>23</v>
      </c>
      <c r="G113" s="394">
        <v>0</v>
      </c>
      <c r="H113" s="387">
        <f t="shared" si="38"/>
        <v>0</v>
      </c>
      <c r="I113" s="390">
        <f t="shared" si="39"/>
        <v>0</v>
      </c>
      <c r="J113" s="414"/>
      <c r="K113" s="343">
        <f t="shared" si="40"/>
        <v>0</v>
      </c>
      <c r="L113" s="308">
        <f t="shared" si="41"/>
        <v>0</v>
      </c>
      <c r="M113" s="1194"/>
      <c r="N113" s="1195"/>
      <c r="O113" s="1196"/>
      <c r="P113" s="311"/>
      <c r="Q113" s="409"/>
    </row>
    <row r="114" spans="1:17" s="312" customFormat="1" ht="27.95" customHeight="1">
      <c r="A114" s="18">
        <v>107</v>
      </c>
      <c r="B114" s="301" t="s">
        <v>324</v>
      </c>
      <c r="C114" s="302" t="s">
        <v>557</v>
      </c>
      <c r="D114" s="303">
        <v>3107438838.499722</v>
      </c>
      <c r="E114" s="304">
        <f t="shared" si="37"/>
        <v>2.5949880000000003E-3</v>
      </c>
      <c r="F114" s="305">
        <v>23</v>
      </c>
      <c r="G114" s="394">
        <v>0</v>
      </c>
      <c r="H114" s="387">
        <f t="shared" si="38"/>
        <v>0</v>
      </c>
      <c r="I114" s="390">
        <f t="shared" si="39"/>
        <v>0</v>
      </c>
      <c r="J114" s="414"/>
      <c r="K114" s="343">
        <f t="shared" si="40"/>
        <v>0</v>
      </c>
      <c r="L114" s="308">
        <f t="shared" si="41"/>
        <v>0</v>
      </c>
      <c r="M114" s="1194"/>
      <c r="N114" s="1195"/>
      <c r="O114" s="1196"/>
      <c r="P114" s="311"/>
    </row>
    <row r="115" spans="1:17" s="312" customFormat="1" ht="27.95" customHeight="1">
      <c r="A115" s="18">
        <v>108</v>
      </c>
      <c r="B115" s="301" t="s">
        <v>325</v>
      </c>
      <c r="C115" s="302" t="s">
        <v>558</v>
      </c>
      <c r="D115" s="303">
        <v>3107438838.499722</v>
      </c>
      <c r="E115" s="304">
        <f t="shared" si="37"/>
        <v>2.5949880000000003E-3</v>
      </c>
      <c r="F115" s="305">
        <v>23</v>
      </c>
      <c r="G115" s="394">
        <v>0</v>
      </c>
      <c r="H115" s="387">
        <f t="shared" si="38"/>
        <v>0</v>
      </c>
      <c r="I115" s="390">
        <f t="shared" si="39"/>
        <v>0</v>
      </c>
      <c r="J115" s="414"/>
      <c r="K115" s="343">
        <f t="shared" si="40"/>
        <v>0</v>
      </c>
      <c r="L115" s="308">
        <f t="shared" si="41"/>
        <v>0</v>
      </c>
      <c r="M115" s="1194"/>
      <c r="N115" s="1195"/>
      <c r="O115" s="1196"/>
      <c r="P115" s="311"/>
    </row>
    <row r="116" spans="1:17" s="312" customFormat="1" ht="27.95" customHeight="1">
      <c r="A116" s="18">
        <v>109</v>
      </c>
      <c r="B116" s="301" t="s">
        <v>326</v>
      </c>
      <c r="C116" s="302" t="s">
        <v>559</v>
      </c>
      <c r="D116" s="303">
        <v>2071625892.333148</v>
      </c>
      <c r="E116" s="304">
        <f t="shared" si="37"/>
        <v>1.7299920000000003E-3</v>
      </c>
      <c r="F116" s="305">
        <v>23</v>
      </c>
      <c r="G116" s="394">
        <v>0</v>
      </c>
      <c r="H116" s="387">
        <f t="shared" si="38"/>
        <v>0</v>
      </c>
      <c r="I116" s="390">
        <f t="shared" si="39"/>
        <v>0</v>
      </c>
      <c r="J116" s="414"/>
      <c r="K116" s="343">
        <f t="shared" si="40"/>
        <v>0</v>
      </c>
      <c r="L116" s="308">
        <f t="shared" si="41"/>
        <v>0</v>
      </c>
      <c r="M116" s="1194"/>
      <c r="N116" s="1195"/>
      <c r="O116" s="1196"/>
      <c r="P116" s="311"/>
    </row>
    <row r="117" spans="1:17" s="312" customFormat="1" ht="27.95" customHeight="1">
      <c r="A117" s="18">
        <v>110</v>
      </c>
      <c r="B117" s="301" t="s">
        <v>327</v>
      </c>
      <c r="C117" s="302" t="s">
        <v>560</v>
      </c>
      <c r="D117" s="303">
        <v>2071625892.333148</v>
      </c>
      <c r="E117" s="304">
        <f t="shared" si="37"/>
        <v>1.7299920000000003E-3</v>
      </c>
      <c r="F117" s="305">
        <v>23</v>
      </c>
      <c r="G117" s="394">
        <v>0</v>
      </c>
      <c r="H117" s="387">
        <f t="shared" si="38"/>
        <v>0</v>
      </c>
      <c r="I117" s="390">
        <f t="shared" si="39"/>
        <v>0</v>
      </c>
      <c r="J117" s="414"/>
      <c r="K117" s="343">
        <f t="shared" si="40"/>
        <v>0</v>
      </c>
      <c r="L117" s="308">
        <f t="shared" si="41"/>
        <v>0</v>
      </c>
      <c r="M117" s="1194"/>
      <c r="N117" s="1195"/>
      <c r="O117" s="1196"/>
      <c r="P117" s="311"/>
    </row>
    <row r="118" spans="1:17" s="312" customFormat="1" ht="27.95" customHeight="1">
      <c r="A118" s="18">
        <v>111</v>
      </c>
      <c r="B118" s="301" t="s">
        <v>328</v>
      </c>
      <c r="C118" s="302" t="s">
        <v>561</v>
      </c>
      <c r="D118" s="303">
        <v>1294766182.7082176</v>
      </c>
      <c r="E118" s="304">
        <f t="shared" si="37"/>
        <v>1.0812450000000002E-3</v>
      </c>
      <c r="F118" s="305">
        <v>23</v>
      </c>
      <c r="G118" s="394">
        <v>0</v>
      </c>
      <c r="H118" s="387">
        <f t="shared" si="38"/>
        <v>0</v>
      </c>
      <c r="I118" s="390">
        <f t="shared" si="39"/>
        <v>0</v>
      </c>
      <c r="J118" s="414"/>
      <c r="K118" s="343">
        <f t="shared" si="40"/>
        <v>0</v>
      </c>
      <c r="L118" s="308">
        <f t="shared" si="41"/>
        <v>0</v>
      </c>
      <c r="M118" s="1194"/>
      <c r="N118" s="1195"/>
      <c r="O118" s="1196"/>
      <c r="P118" s="311"/>
    </row>
    <row r="119" spans="1:17" s="312" customFormat="1" ht="27.95" customHeight="1">
      <c r="A119" s="18">
        <v>112</v>
      </c>
      <c r="B119" s="301" t="s">
        <v>329</v>
      </c>
      <c r="C119" s="302" t="s">
        <v>563</v>
      </c>
      <c r="D119" s="303">
        <v>1087603593.4749029</v>
      </c>
      <c r="E119" s="304">
        <f t="shared" si="37"/>
        <v>9.0824580000000029E-4</v>
      </c>
      <c r="F119" s="305">
        <v>23</v>
      </c>
      <c r="G119" s="394">
        <v>0</v>
      </c>
      <c r="H119" s="387">
        <f t="shared" si="38"/>
        <v>0</v>
      </c>
      <c r="I119" s="390">
        <f t="shared" si="39"/>
        <v>0</v>
      </c>
      <c r="J119" s="414"/>
      <c r="K119" s="343">
        <f t="shared" si="40"/>
        <v>0</v>
      </c>
      <c r="L119" s="308">
        <f t="shared" si="41"/>
        <v>0</v>
      </c>
      <c r="M119" s="1197"/>
      <c r="N119" s="1198"/>
      <c r="O119" s="1199"/>
      <c r="P119" s="311"/>
    </row>
    <row r="120" spans="1:17" s="437" customFormat="1" ht="35.1" customHeight="1">
      <c r="A120" s="423">
        <v>113</v>
      </c>
      <c r="B120" s="424" t="s">
        <v>209</v>
      </c>
      <c r="C120" s="425" t="s">
        <v>452</v>
      </c>
      <c r="D120" s="426">
        <f>D121+D131</f>
        <v>27702849792.653996</v>
      </c>
      <c r="E120" s="427">
        <f>E121+E131</f>
        <v>2.3134345199999996E-2</v>
      </c>
      <c r="F120" s="428"/>
      <c r="G120" s="429"/>
      <c r="H120" s="430">
        <f>H121+H131</f>
        <v>1.6748025993645072E-2</v>
      </c>
      <c r="I120" s="637">
        <f>I121+I131</f>
        <v>20055378460.653996</v>
      </c>
      <c r="J120" s="431">
        <f>L120/D120</f>
        <v>0.52067275678125058</v>
      </c>
      <c r="K120" s="432">
        <f>K121+K131</f>
        <v>1.2045423291613093E-2</v>
      </c>
      <c r="L120" s="441">
        <f>L121+L131</f>
        <v>14424119172.238052</v>
      </c>
      <c r="M120" s="434"/>
      <c r="N120" s="434">
        <f>N121+N131</f>
        <v>0</v>
      </c>
      <c r="O120" s="435">
        <f t="shared" ref="O120:O158" si="42">N120*$L$4</f>
        <v>0</v>
      </c>
      <c r="P120" s="424"/>
      <c r="Q120" s="436"/>
    </row>
    <row r="121" spans="1:17" s="456" customFormat="1" ht="27.95" customHeight="1">
      <c r="A121" s="443">
        <v>114</v>
      </c>
      <c r="B121" s="444" t="s">
        <v>330</v>
      </c>
      <c r="C121" s="445" t="s">
        <v>529</v>
      </c>
      <c r="D121" s="446">
        <f>SUM(D122:D130)</f>
        <v>15231849332</v>
      </c>
      <c r="E121" s="447">
        <f>SUM(E122:E130)</f>
        <v>1.2719949865025011E-2</v>
      </c>
      <c r="F121" s="448"/>
      <c r="G121" s="449"/>
      <c r="H121" s="458">
        <f>SUM(H122:H130)</f>
        <v>1.2719949865025011E-2</v>
      </c>
      <c r="I121" s="459">
        <f>SUM(I122:I130)</f>
        <v>15231849332</v>
      </c>
      <c r="J121" s="449">
        <f>L121/D121</f>
        <v>0.90047440533457179</v>
      </c>
      <c r="K121" s="460">
        <f>SUM(K122:K130)</f>
        <v>1.1453989290593965E-2</v>
      </c>
      <c r="L121" s="461">
        <f>SUM(L122:L130)</f>
        <v>13715890469.378494</v>
      </c>
      <c r="M121" s="454"/>
      <c r="N121" s="454">
        <f>SUM(N122:N130)</f>
        <v>0</v>
      </c>
      <c r="O121" s="455">
        <f t="shared" si="42"/>
        <v>0</v>
      </c>
      <c r="P121" s="444"/>
      <c r="Q121" s="475"/>
    </row>
    <row r="122" spans="1:17" s="312" customFormat="1" ht="27.95" customHeight="1">
      <c r="A122" s="18">
        <v>115</v>
      </c>
      <c r="B122" s="301" t="s">
        <v>331</v>
      </c>
      <c r="C122" s="302" t="s">
        <v>530</v>
      </c>
      <c r="D122" s="303">
        <v>761828369</v>
      </c>
      <c r="E122" s="304">
        <f t="shared" ref="E122:E130" si="43">D122/$L$4</f>
        <v>6.3619449275115604E-4</v>
      </c>
      <c r="F122" s="305">
        <v>3</v>
      </c>
      <c r="G122" s="394">
        <v>1</v>
      </c>
      <c r="H122" s="387">
        <f t="shared" ref="H122:H130" si="44">G122*E122</f>
        <v>6.3619449275115604E-4</v>
      </c>
      <c r="I122" s="390">
        <f t="shared" ref="I122:I130" si="45">H122*$L$4</f>
        <v>761828369</v>
      </c>
      <c r="J122" s="516">
        <f>100%-150/1507.15</f>
        <v>0.9004744053345719</v>
      </c>
      <c r="K122" s="343">
        <f t="shared" ref="K122:K130" si="46">J122*E122</f>
        <v>5.7287685753722682E-4</v>
      </c>
      <c r="L122" s="308">
        <f t="shared" ref="L122:L130" si="47">K122*$L$4</f>
        <v>686006947.54228175</v>
      </c>
      <c r="M122" s="1191" t="s">
        <v>889</v>
      </c>
      <c r="N122" s="1192"/>
      <c r="O122" s="1193"/>
      <c r="P122" s="311"/>
    </row>
    <row r="123" spans="1:17" s="312" customFormat="1" ht="27.95" customHeight="1">
      <c r="A123" s="18">
        <v>116</v>
      </c>
      <c r="B123" s="301" t="s">
        <v>332</v>
      </c>
      <c r="C123" s="302" t="s">
        <v>531</v>
      </c>
      <c r="D123" s="303">
        <v>1523656739</v>
      </c>
      <c r="E123" s="304">
        <f t="shared" si="43"/>
        <v>1.2723889863374012E-3</v>
      </c>
      <c r="F123" s="305">
        <v>3</v>
      </c>
      <c r="G123" s="394">
        <v>1</v>
      </c>
      <c r="H123" s="387">
        <f t="shared" si="44"/>
        <v>1.2723889863374012E-3</v>
      </c>
      <c r="I123" s="390">
        <f t="shared" si="45"/>
        <v>1523656739</v>
      </c>
      <c r="J123" s="516">
        <f t="shared" ref="J123:J130" si="48">100%-150/1507.15</f>
        <v>0.9004744053345719</v>
      </c>
      <c r="K123" s="343">
        <f t="shared" si="46"/>
        <v>1.14575371582643E-3</v>
      </c>
      <c r="L123" s="308">
        <f t="shared" si="47"/>
        <v>1372013895.985038</v>
      </c>
      <c r="M123" s="1194"/>
      <c r="N123" s="1195"/>
      <c r="O123" s="1196"/>
      <c r="P123" s="311"/>
    </row>
    <row r="124" spans="1:17" s="312" customFormat="1" ht="27.95" customHeight="1">
      <c r="A124" s="18">
        <v>117</v>
      </c>
      <c r="B124" s="301" t="s">
        <v>333</v>
      </c>
      <c r="C124" s="302" t="s">
        <v>532</v>
      </c>
      <c r="D124" s="303">
        <v>1523656739</v>
      </c>
      <c r="E124" s="304">
        <f t="shared" si="43"/>
        <v>1.2723889863374012E-3</v>
      </c>
      <c r="F124" s="305">
        <v>3</v>
      </c>
      <c r="G124" s="394">
        <v>1</v>
      </c>
      <c r="H124" s="387">
        <f t="shared" si="44"/>
        <v>1.2723889863374012E-3</v>
      </c>
      <c r="I124" s="390">
        <f t="shared" si="45"/>
        <v>1523656739</v>
      </c>
      <c r="J124" s="516">
        <f t="shared" si="48"/>
        <v>0.9004744053345719</v>
      </c>
      <c r="K124" s="343">
        <f t="shared" si="46"/>
        <v>1.14575371582643E-3</v>
      </c>
      <c r="L124" s="308">
        <f t="shared" si="47"/>
        <v>1372013895.985038</v>
      </c>
      <c r="M124" s="1194"/>
      <c r="N124" s="1195"/>
      <c r="O124" s="1196"/>
      <c r="P124" s="311"/>
    </row>
    <row r="125" spans="1:17" s="312" customFormat="1" ht="27.95" customHeight="1">
      <c r="A125" s="18">
        <v>118</v>
      </c>
      <c r="B125" s="301" t="s">
        <v>334</v>
      </c>
      <c r="C125" s="302" t="s">
        <v>533</v>
      </c>
      <c r="D125" s="303">
        <v>3047313477</v>
      </c>
      <c r="E125" s="304">
        <f t="shared" si="43"/>
        <v>2.5447779718397131E-3</v>
      </c>
      <c r="F125" s="305">
        <v>14</v>
      </c>
      <c r="G125" s="394">
        <v>1</v>
      </c>
      <c r="H125" s="387">
        <f t="shared" si="44"/>
        <v>2.5447779718397131E-3</v>
      </c>
      <c r="I125" s="390">
        <f t="shared" si="45"/>
        <v>3047313477</v>
      </c>
      <c r="J125" s="516">
        <f t="shared" si="48"/>
        <v>0.9004744053345719</v>
      </c>
      <c r="K125" s="343">
        <f t="shared" si="46"/>
        <v>2.2915074309008835E-3</v>
      </c>
      <c r="L125" s="308">
        <f t="shared" si="47"/>
        <v>2744027791.0696011</v>
      </c>
      <c r="M125" s="1194"/>
      <c r="N125" s="1195"/>
      <c r="O125" s="1196"/>
      <c r="P125" s="311"/>
    </row>
    <row r="126" spans="1:17" s="312" customFormat="1" ht="27.95" customHeight="1">
      <c r="A126" s="18">
        <v>119</v>
      </c>
      <c r="B126" s="301" t="s">
        <v>335</v>
      </c>
      <c r="C126" s="302" t="s">
        <v>534</v>
      </c>
      <c r="D126" s="303">
        <v>2285485108</v>
      </c>
      <c r="E126" s="304">
        <f t="shared" si="43"/>
        <v>1.9085834790885572E-3</v>
      </c>
      <c r="F126" s="305">
        <v>3</v>
      </c>
      <c r="G126" s="394">
        <v>1</v>
      </c>
      <c r="H126" s="387">
        <f t="shared" si="44"/>
        <v>1.9085834790885572E-3</v>
      </c>
      <c r="I126" s="390">
        <f t="shared" si="45"/>
        <v>2285485108</v>
      </c>
      <c r="J126" s="516">
        <f t="shared" si="48"/>
        <v>0.9004744053345719</v>
      </c>
      <c r="K126" s="343">
        <f t="shared" si="46"/>
        <v>1.718630573363657E-3</v>
      </c>
      <c r="L126" s="308">
        <f t="shared" si="47"/>
        <v>2058020843.5273199</v>
      </c>
      <c r="M126" s="1194"/>
      <c r="N126" s="1195"/>
      <c r="O126" s="1196"/>
      <c r="P126" s="311"/>
    </row>
    <row r="127" spans="1:17" s="312" customFormat="1" ht="27.95" customHeight="1">
      <c r="A127" s="18">
        <v>120</v>
      </c>
      <c r="B127" s="301" t="s">
        <v>336</v>
      </c>
      <c r="C127" s="302" t="s">
        <v>535</v>
      </c>
      <c r="D127" s="303">
        <v>1368460232</v>
      </c>
      <c r="E127" s="304">
        <f t="shared" si="43"/>
        <v>1.1427860901139131E-3</v>
      </c>
      <c r="F127" s="305">
        <v>14</v>
      </c>
      <c r="G127" s="394">
        <v>1</v>
      </c>
      <c r="H127" s="387">
        <f t="shared" si="44"/>
        <v>1.1427860901139131E-3</v>
      </c>
      <c r="I127" s="390">
        <f t="shared" si="45"/>
        <v>1368460232</v>
      </c>
      <c r="J127" s="516">
        <f t="shared" si="48"/>
        <v>0.9004744053345719</v>
      </c>
      <c r="K127" s="343">
        <f t="shared" si="46"/>
        <v>1.0290496249199465E-3</v>
      </c>
      <c r="L127" s="308">
        <f t="shared" si="47"/>
        <v>1232263413.6342106</v>
      </c>
      <c r="M127" s="1194"/>
      <c r="N127" s="1195"/>
      <c r="O127" s="1196"/>
      <c r="P127" s="311"/>
    </row>
    <row r="128" spans="1:17" s="312" customFormat="1" ht="27.95" customHeight="1">
      <c r="A128" s="18">
        <v>121</v>
      </c>
      <c r="B128" s="301" t="s">
        <v>337</v>
      </c>
      <c r="C128" s="302" t="s">
        <v>536</v>
      </c>
      <c r="D128" s="303">
        <v>912306822</v>
      </c>
      <c r="E128" s="304">
        <f t="shared" si="43"/>
        <v>7.6185739396600132E-4</v>
      </c>
      <c r="F128" s="305">
        <v>3</v>
      </c>
      <c r="G128" s="394">
        <v>1</v>
      </c>
      <c r="H128" s="387">
        <f t="shared" si="44"/>
        <v>7.6185739396600132E-4</v>
      </c>
      <c r="I128" s="390">
        <f t="shared" si="45"/>
        <v>912306822</v>
      </c>
      <c r="J128" s="516">
        <f t="shared" si="48"/>
        <v>0.9004744053345719</v>
      </c>
      <c r="K128" s="343">
        <f t="shared" si="46"/>
        <v>6.8603308378128167E-4</v>
      </c>
      <c r="L128" s="308">
        <f t="shared" si="47"/>
        <v>821508943.02312303</v>
      </c>
      <c r="M128" s="1194"/>
      <c r="N128" s="1195"/>
      <c r="O128" s="1196"/>
      <c r="P128" s="311"/>
    </row>
    <row r="129" spans="1:16" s="312" customFormat="1" ht="27.95" customHeight="1">
      <c r="A129" s="18">
        <v>122</v>
      </c>
      <c r="B129" s="301" t="s">
        <v>338</v>
      </c>
      <c r="C129" s="302" t="s">
        <v>765</v>
      </c>
      <c r="D129" s="303">
        <v>3047313477</v>
      </c>
      <c r="E129" s="304">
        <f t="shared" si="43"/>
        <v>2.5447779718397131E-3</v>
      </c>
      <c r="F129" s="305">
        <v>14</v>
      </c>
      <c r="G129" s="394">
        <v>1</v>
      </c>
      <c r="H129" s="387">
        <f t="shared" si="44"/>
        <v>2.5447779718397131E-3</v>
      </c>
      <c r="I129" s="390">
        <f t="shared" si="45"/>
        <v>3047313477</v>
      </c>
      <c r="J129" s="516">
        <f t="shared" si="48"/>
        <v>0.9004744053345719</v>
      </c>
      <c r="K129" s="343">
        <f t="shared" si="46"/>
        <v>2.2915074309008835E-3</v>
      </c>
      <c r="L129" s="308">
        <f t="shared" si="47"/>
        <v>2744027791.0696011</v>
      </c>
      <c r="M129" s="1194"/>
      <c r="N129" s="1195"/>
      <c r="O129" s="1196"/>
      <c r="P129" s="311"/>
    </row>
    <row r="130" spans="1:16" s="312" customFormat="1" ht="27.95" customHeight="1">
      <c r="A130" s="18">
        <v>123</v>
      </c>
      <c r="B130" s="301" t="s">
        <v>665</v>
      </c>
      <c r="C130" s="302" t="s">
        <v>539</v>
      </c>
      <c r="D130" s="303">
        <v>761828369</v>
      </c>
      <c r="E130" s="304">
        <f t="shared" si="43"/>
        <v>6.3619449275115604E-4</v>
      </c>
      <c r="F130" s="305">
        <v>3</v>
      </c>
      <c r="G130" s="394">
        <v>1</v>
      </c>
      <c r="H130" s="387">
        <f t="shared" si="44"/>
        <v>6.3619449275115604E-4</v>
      </c>
      <c r="I130" s="390">
        <f t="shared" si="45"/>
        <v>761828369</v>
      </c>
      <c r="J130" s="516">
        <f t="shared" si="48"/>
        <v>0.9004744053345719</v>
      </c>
      <c r="K130" s="343">
        <f t="shared" si="46"/>
        <v>5.7287685753722682E-4</v>
      </c>
      <c r="L130" s="308">
        <f t="shared" si="47"/>
        <v>686006947.54228175</v>
      </c>
      <c r="M130" s="1194"/>
      <c r="N130" s="1195"/>
      <c r="O130" s="1196"/>
      <c r="P130" s="311"/>
    </row>
    <row r="131" spans="1:16" s="456" customFormat="1" ht="27.95" customHeight="1">
      <c r="A131" s="443">
        <v>124</v>
      </c>
      <c r="B131" s="444" t="s">
        <v>666</v>
      </c>
      <c r="C131" s="445" t="s">
        <v>565</v>
      </c>
      <c r="D131" s="446">
        <f>SUM(D132:D146)</f>
        <v>12471000460.653996</v>
      </c>
      <c r="E131" s="447">
        <f>SUM(E132:E146)</f>
        <v>1.0414395334974987E-2</v>
      </c>
      <c r="F131" s="448"/>
      <c r="G131" s="449"/>
      <c r="H131" s="458">
        <f>SUM(H132:H146)</f>
        <v>4.0280761286200601E-3</v>
      </c>
      <c r="I131" s="476">
        <f>SUM(I132:I146)</f>
        <v>4823529128.6539955</v>
      </c>
      <c r="J131" s="515">
        <f>L131/D131</f>
        <v>5.6790047045064296E-2</v>
      </c>
      <c r="K131" s="460">
        <f>SUM(K132:K146)</f>
        <v>5.9143400101912755E-4</v>
      </c>
      <c r="L131" s="461">
        <f>SUM(L132:L146)</f>
        <v>708228702.85955894</v>
      </c>
      <c r="M131" s="454"/>
      <c r="N131" s="454">
        <f>SUM(N132:N146)</f>
        <v>0</v>
      </c>
      <c r="O131" s="455">
        <f t="shared" si="42"/>
        <v>0</v>
      </c>
      <c r="P131" s="444"/>
    </row>
    <row r="132" spans="1:16" s="312" customFormat="1" ht="27.95" customHeight="1">
      <c r="A132" s="18">
        <v>125</v>
      </c>
      <c r="B132" s="301" t="s">
        <v>667</v>
      </c>
      <c r="C132" s="302" t="s">
        <v>545</v>
      </c>
      <c r="D132" s="303">
        <v>124754834</v>
      </c>
      <c r="E132" s="304">
        <f>D132/$L$4</f>
        <v>1.0418138988321749E-4</v>
      </c>
      <c r="F132" s="305">
        <v>21</v>
      </c>
      <c r="G132" s="394">
        <v>1</v>
      </c>
      <c r="H132" s="387">
        <f t="shared" ref="H132:H146" si="49">G132*E132</f>
        <v>1.0418138988321749E-4</v>
      </c>
      <c r="I132" s="390">
        <f t="shared" ref="I132:I146" si="50">H132*$L$4</f>
        <v>124754834</v>
      </c>
      <c r="J132" s="511">
        <f>1/3</f>
        <v>0.33333333333333331</v>
      </c>
      <c r="K132" s="343">
        <f t="shared" ref="K132:K146" si="51">J132*E132</f>
        <v>3.4727129961072497E-5</v>
      </c>
      <c r="L132" s="308">
        <f t="shared" ref="L132:L146" si="52">K132*$L$4</f>
        <v>41584944.666666672</v>
      </c>
      <c r="M132" s="1191" t="s">
        <v>891</v>
      </c>
      <c r="N132" s="1192"/>
      <c r="O132" s="1193"/>
      <c r="P132" s="311"/>
    </row>
    <row r="133" spans="1:16" s="312" customFormat="1" ht="27.95" customHeight="1">
      <c r="A133" s="18">
        <v>126</v>
      </c>
      <c r="B133" s="301" t="s">
        <v>668</v>
      </c>
      <c r="C133" s="302" t="s">
        <v>605</v>
      </c>
      <c r="D133" s="303">
        <v>3076961450.6539955</v>
      </c>
      <c r="E133" s="304">
        <f t="shared" ref="E133:E146" si="53">D133/$L$4</f>
        <v>2.5695366685848371E-3</v>
      </c>
      <c r="F133" s="305">
        <v>14</v>
      </c>
      <c r="G133" s="394">
        <v>1</v>
      </c>
      <c r="H133" s="387">
        <f t="shared" si="49"/>
        <v>2.5695366685848371E-3</v>
      </c>
      <c r="I133" s="390">
        <f t="shared" si="50"/>
        <v>3076961450.6539955</v>
      </c>
      <c r="J133" s="512">
        <f>370/(370+3031+1120)</f>
        <v>8.1840300818403003E-2</v>
      </c>
      <c r="K133" s="343">
        <f t="shared" si="51"/>
        <v>2.1029165392090016E-4</v>
      </c>
      <c r="L133" s="308">
        <f t="shared" si="52"/>
        <v>251819450.72815266</v>
      </c>
      <c r="M133" s="1194"/>
      <c r="N133" s="1195"/>
      <c r="O133" s="1196"/>
      <c r="P133" s="311"/>
    </row>
    <row r="134" spans="1:16" s="312" customFormat="1" ht="27.95" customHeight="1">
      <c r="A134" s="18">
        <v>127</v>
      </c>
      <c r="B134" s="301" t="s">
        <v>670</v>
      </c>
      <c r="C134" s="302" t="s">
        <v>606</v>
      </c>
      <c r="D134" s="303">
        <v>1172695441</v>
      </c>
      <c r="E134" s="304">
        <f t="shared" si="53"/>
        <v>9.7930506607136905E-4</v>
      </c>
      <c r="F134" s="305">
        <v>14</v>
      </c>
      <c r="G134" s="394">
        <v>1</v>
      </c>
      <c r="H134" s="387">
        <f t="shared" si="49"/>
        <v>9.7930506607136905E-4</v>
      </c>
      <c r="I134" s="390">
        <f t="shared" si="50"/>
        <v>1172695441</v>
      </c>
      <c r="J134" s="512">
        <f>J133</f>
        <v>8.1840300818403003E-2</v>
      </c>
      <c r="K134" s="343">
        <f t="shared" si="51"/>
        <v>8.0146621200266873E-5</v>
      </c>
      <c r="L134" s="308">
        <f t="shared" si="52"/>
        <v>95973747.659809783</v>
      </c>
      <c r="M134" s="1194"/>
      <c r="N134" s="1195"/>
      <c r="O134" s="1196"/>
      <c r="P134" s="311"/>
    </row>
    <row r="135" spans="1:16" s="312" customFormat="1" ht="27.95" customHeight="1">
      <c r="A135" s="18">
        <v>128</v>
      </c>
      <c r="B135" s="301" t="s">
        <v>673</v>
      </c>
      <c r="C135" s="302" t="s">
        <v>751</v>
      </c>
      <c r="D135" s="303">
        <v>449117403</v>
      </c>
      <c r="E135" s="304">
        <f t="shared" si="53"/>
        <v>3.7505300408063636E-4</v>
      </c>
      <c r="F135" s="305">
        <v>23</v>
      </c>
      <c r="G135" s="394">
        <v>1</v>
      </c>
      <c r="H135" s="387">
        <f t="shared" si="49"/>
        <v>3.7505300408063636E-4</v>
      </c>
      <c r="I135" s="390">
        <f t="shared" si="50"/>
        <v>449117403</v>
      </c>
      <c r="J135" s="511">
        <f>(920+150)/(150+66+210+1081.15)</f>
        <v>0.7099492419467206</v>
      </c>
      <c r="K135" s="343">
        <f t="shared" si="51"/>
        <v>2.6626859593688811E-4</v>
      </c>
      <c r="L135" s="308">
        <f t="shared" si="52"/>
        <v>318850559.80492985</v>
      </c>
      <c r="M135" s="1194"/>
      <c r="N135" s="1195"/>
      <c r="O135" s="1196"/>
      <c r="P135" s="311"/>
    </row>
    <row r="136" spans="1:16" s="312" customFormat="1" ht="27.95" customHeight="1">
      <c r="A136" s="18">
        <v>129</v>
      </c>
      <c r="B136" s="301" t="s">
        <v>674</v>
      </c>
      <c r="C136" s="302" t="s">
        <v>752</v>
      </c>
      <c r="D136" s="303">
        <v>548921270</v>
      </c>
      <c r="E136" s="304">
        <f t="shared" si="53"/>
        <v>4.5839811582019257E-4</v>
      </c>
      <c r="F136" s="305">
        <v>22</v>
      </c>
      <c r="G136" s="394">
        <v>0</v>
      </c>
      <c r="H136" s="387">
        <f t="shared" si="49"/>
        <v>0</v>
      </c>
      <c r="I136" s="390">
        <f t="shared" si="50"/>
        <v>0</v>
      </c>
      <c r="J136" s="512"/>
      <c r="K136" s="343">
        <f t="shared" si="51"/>
        <v>0</v>
      </c>
      <c r="L136" s="308">
        <f t="shared" si="52"/>
        <v>0</v>
      </c>
      <c r="M136" s="1194"/>
      <c r="N136" s="1195"/>
      <c r="O136" s="1196"/>
      <c r="P136" s="311"/>
    </row>
    <row r="137" spans="1:16" s="312" customFormat="1" ht="41.25" customHeight="1">
      <c r="A137" s="18">
        <v>130</v>
      </c>
      <c r="B137" s="301" t="s">
        <v>675</v>
      </c>
      <c r="C137" s="302" t="s">
        <v>753</v>
      </c>
      <c r="D137" s="303">
        <v>636249654</v>
      </c>
      <c r="E137" s="304">
        <f t="shared" si="53"/>
        <v>5.3132508890546255E-4</v>
      </c>
      <c r="F137" s="305">
        <v>22</v>
      </c>
      <c r="G137" s="394">
        <v>0</v>
      </c>
      <c r="H137" s="387">
        <f t="shared" si="49"/>
        <v>0</v>
      </c>
      <c r="I137" s="390">
        <f t="shared" si="50"/>
        <v>0</v>
      </c>
      <c r="J137" s="414"/>
      <c r="K137" s="343">
        <f t="shared" si="51"/>
        <v>0</v>
      </c>
      <c r="L137" s="308">
        <f t="shared" si="52"/>
        <v>0</v>
      </c>
      <c r="M137" s="1194"/>
      <c r="N137" s="1195"/>
      <c r="O137" s="1196"/>
      <c r="P137" s="311"/>
    </row>
    <row r="138" spans="1:16" s="312" customFormat="1" ht="27.95" customHeight="1">
      <c r="A138" s="18">
        <v>131</v>
      </c>
      <c r="B138" s="301" t="s">
        <v>676</v>
      </c>
      <c r="C138" s="302" t="s">
        <v>754</v>
      </c>
      <c r="D138" s="303">
        <v>299411602</v>
      </c>
      <c r="E138" s="304">
        <f t="shared" si="53"/>
        <v>2.5003533605375759E-4</v>
      </c>
      <c r="F138" s="305">
        <v>23</v>
      </c>
      <c r="G138" s="394">
        <v>0</v>
      </c>
      <c r="H138" s="387">
        <f t="shared" si="49"/>
        <v>0</v>
      </c>
      <c r="I138" s="390">
        <f t="shared" si="50"/>
        <v>0</v>
      </c>
      <c r="J138" s="414"/>
      <c r="K138" s="343">
        <f t="shared" si="51"/>
        <v>0</v>
      </c>
      <c r="L138" s="308">
        <f t="shared" si="52"/>
        <v>0</v>
      </c>
      <c r="M138" s="1194"/>
      <c r="N138" s="1195"/>
      <c r="O138" s="1196"/>
      <c r="P138" s="311"/>
    </row>
    <row r="139" spans="1:16" s="312" customFormat="1" ht="27.95" customHeight="1">
      <c r="A139" s="18">
        <v>132</v>
      </c>
      <c r="B139" s="301" t="s">
        <v>710</v>
      </c>
      <c r="C139" s="302" t="s">
        <v>544</v>
      </c>
      <c r="D139" s="303">
        <v>2869361185</v>
      </c>
      <c r="E139" s="304">
        <f t="shared" si="53"/>
        <v>2.3961719698192691E-3</v>
      </c>
      <c r="F139" s="305">
        <v>23</v>
      </c>
      <c r="G139" s="394">
        <v>0</v>
      </c>
      <c r="H139" s="387">
        <f t="shared" si="49"/>
        <v>0</v>
      </c>
      <c r="I139" s="390">
        <f t="shared" si="50"/>
        <v>0</v>
      </c>
      <c r="J139" s="414"/>
      <c r="K139" s="343">
        <f t="shared" si="51"/>
        <v>0</v>
      </c>
      <c r="L139" s="308">
        <f t="shared" si="52"/>
        <v>0</v>
      </c>
      <c r="M139" s="1194"/>
      <c r="N139" s="1195"/>
      <c r="O139" s="1196"/>
      <c r="P139" s="311"/>
    </row>
    <row r="140" spans="1:16" s="312" customFormat="1" ht="27.95" customHeight="1">
      <c r="A140" s="18">
        <v>133</v>
      </c>
      <c r="B140" s="301" t="s">
        <v>711</v>
      </c>
      <c r="C140" s="302" t="s">
        <v>618</v>
      </c>
      <c r="D140" s="303">
        <v>274460635</v>
      </c>
      <c r="E140" s="304">
        <f t="shared" si="53"/>
        <v>2.2919905791009629E-4</v>
      </c>
      <c r="F140" s="305">
        <v>23</v>
      </c>
      <c r="G140" s="394">
        <v>0</v>
      </c>
      <c r="H140" s="387">
        <f t="shared" si="49"/>
        <v>0</v>
      </c>
      <c r="I140" s="390">
        <f t="shared" si="50"/>
        <v>0</v>
      </c>
      <c r="J140" s="414"/>
      <c r="K140" s="343">
        <f t="shared" si="51"/>
        <v>0</v>
      </c>
      <c r="L140" s="308">
        <f t="shared" si="52"/>
        <v>0</v>
      </c>
      <c r="M140" s="1194"/>
      <c r="N140" s="1195"/>
      <c r="O140" s="1196"/>
      <c r="P140" s="311"/>
    </row>
    <row r="141" spans="1:16" s="312" customFormat="1" ht="27.95" customHeight="1">
      <c r="A141" s="18">
        <v>134</v>
      </c>
      <c r="B141" s="301" t="s">
        <v>712</v>
      </c>
      <c r="C141" s="302" t="s">
        <v>557</v>
      </c>
      <c r="D141" s="303">
        <v>736053521</v>
      </c>
      <c r="E141" s="304">
        <f t="shared" si="53"/>
        <v>6.1467020064501882E-4</v>
      </c>
      <c r="F141" s="305">
        <v>23</v>
      </c>
      <c r="G141" s="394">
        <v>0</v>
      </c>
      <c r="H141" s="387">
        <f t="shared" si="49"/>
        <v>0</v>
      </c>
      <c r="I141" s="390">
        <f t="shared" si="50"/>
        <v>0</v>
      </c>
      <c r="J141" s="414"/>
      <c r="K141" s="343">
        <f t="shared" si="51"/>
        <v>0</v>
      </c>
      <c r="L141" s="308">
        <f t="shared" si="52"/>
        <v>0</v>
      </c>
      <c r="M141" s="1194"/>
      <c r="N141" s="1195"/>
      <c r="O141" s="1196"/>
      <c r="P141" s="311"/>
    </row>
    <row r="142" spans="1:16" s="312" customFormat="1" ht="27.95" customHeight="1">
      <c r="A142" s="18">
        <v>135</v>
      </c>
      <c r="B142" s="301" t="s">
        <v>713</v>
      </c>
      <c r="C142" s="302" t="s">
        <v>558</v>
      </c>
      <c r="D142" s="303">
        <v>736053521</v>
      </c>
      <c r="E142" s="304">
        <f t="shared" si="53"/>
        <v>6.1467020064501882E-4</v>
      </c>
      <c r="F142" s="305">
        <v>23</v>
      </c>
      <c r="G142" s="394">
        <v>0</v>
      </c>
      <c r="H142" s="387">
        <f t="shared" si="49"/>
        <v>0</v>
      </c>
      <c r="I142" s="390">
        <f t="shared" si="50"/>
        <v>0</v>
      </c>
      <c r="J142" s="414"/>
      <c r="K142" s="343">
        <f t="shared" si="51"/>
        <v>0</v>
      </c>
      <c r="L142" s="308">
        <f t="shared" si="52"/>
        <v>0</v>
      </c>
      <c r="M142" s="1194"/>
      <c r="N142" s="1195"/>
      <c r="O142" s="1196"/>
      <c r="P142" s="311"/>
    </row>
    <row r="143" spans="1:16" s="312" customFormat="1" ht="27.95" customHeight="1">
      <c r="A143" s="18">
        <v>136</v>
      </c>
      <c r="B143" s="301" t="s">
        <v>714</v>
      </c>
      <c r="C143" s="302" t="s">
        <v>559</v>
      </c>
      <c r="D143" s="303">
        <v>499019337</v>
      </c>
      <c r="E143" s="304">
        <f t="shared" si="53"/>
        <v>4.1672556036795896E-4</v>
      </c>
      <c r="F143" s="305">
        <v>23</v>
      </c>
      <c r="G143" s="394">
        <v>0</v>
      </c>
      <c r="H143" s="387">
        <f t="shared" si="49"/>
        <v>0</v>
      </c>
      <c r="I143" s="390">
        <f t="shared" si="50"/>
        <v>0</v>
      </c>
      <c r="J143" s="414"/>
      <c r="K143" s="343">
        <f t="shared" si="51"/>
        <v>0</v>
      </c>
      <c r="L143" s="308">
        <f t="shared" si="52"/>
        <v>0</v>
      </c>
      <c r="M143" s="1194"/>
      <c r="N143" s="1195"/>
      <c r="O143" s="1196"/>
      <c r="P143" s="311"/>
    </row>
    <row r="144" spans="1:16" s="312" customFormat="1" ht="27.95" customHeight="1">
      <c r="A144" s="18">
        <v>137</v>
      </c>
      <c r="B144" s="301" t="s">
        <v>715</v>
      </c>
      <c r="C144" s="302" t="s">
        <v>560</v>
      </c>
      <c r="D144" s="303">
        <v>499019337</v>
      </c>
      <c r="E144" s="304">
        <f t="shared" si="53"/>
        <v>4.1672556036795896E-4</v>
      </c>
      <c r="F144" s="305">
        <v>23</v>
      </c>
      <c r="G144" s="394">
        <v>0</v>
      </c>
      <c r="H144" s="387">
        <f t="shared" si="49"/>
        <v>0</v>
      </c>
      <c r="I144" s="390">
        <f t="shared" si="50"/>
        <v>0</v>
      </c>
      <c r="J144" s="414"/>
      <c r="K144" s="343">
        <f t="shared" si="51"/>
        <v>0</v>
      </c>
      <c r="L144" s="308">
        <f t="shared" si="52"/>
        <v>0</v>
      </c>
      <c r="M144" s="1194"/>
      <c r="N144" s="1195"/>
      <c r="O144" s="1196"/>
      <c r="P144" s="311"/>
    </row>
    <row r="145" spans="1:17" s="312" customFormat="1" ht="27.95" customHeight="1">
      <c r="A145" s="18">
        <v>138</v>
      </c>
      <c r="B145" s="301" t="s">
        <v>716</v>
      </c>
      <c r="C145" s="302" t="s">
        <v>561</v>
      </c>
      <c r="D145" s="303">
        <v>274460635</v>
      </c>
      <c r="E145" s="304">
        <f t="shared" si="53"/>
        <v>2.2919905791009629E-4</v>
      </c>
      <c r="F145" s="305">
        <v>23</v>
      </c>
      <c r="G145" s="394">
        <v>0</v>
      </c>
      <c r="H145" s="387">
        <f t="shared" si="49"/>
        <v>0</v>
      </c>
      <c r="I145" s="390">
        <f t="shared" si="50"/>
        <v>0</v>
      </c>
      <c r="J145" s="414"/>
      <c r="K145" s="343">
        <f t="shared" si="51"/>
        <v>0</v>
      </c>
      <c r="L145" s="308">
        <f t="shared" si="52"/>
        <v>0</v>
      </c>
      <c r="M145" s="1194"/>
      <c r="N145" s="1195"/>
      <c r="O145" s="1196"/>
      <c r="P145" s="311"/>
    </row>
    <row r="146" spans="1:17" s="312" customFormat="1" ht="27.95" customHeight="1">
      <c r="A146" s="18">
        <v>139</v>
      </c>
      <c r="B146" s="301" t="s">
        <v>717</v>
      </c>
      <c r="C146" s="302" t="s">
        <v>563</v>
      </c>
      <c r="D146" s="303">
        <v>274460635</v>
      </c>
      <c r="E146" s="304">
        <f t="shared" si="53"/>
        <v>2.2919905791009629E-4</v>
      </c>
      <c r="F146" s="305">
        <v>23</v>
      </c>
      <c r="G146" s="394">
        <v>0</v>
      </c>
      <c r="H146" s="387">
        <f t="shared" si="49"/>
        <v>0</v>
      </c>
      <c r="I146" s="390">
        <f t="shared" si="50"/>
        <v>0</v>
      </c>
      <c r="J146" s="414"/>
      <c r="K146" s="343">
        <f t="shared" si="51"/>
        <v>0</v>
      </c>
      <c r="L146" s="308">
        <f t="shared" si="52"/>
        <v>0</v>
      </c>
      <c r="M146" s="1197"/>
      <c r="N146" s="1198"/>
      <c r="O146" s="1199"/>
      <c r="P146" s="311"/>
    </row>
    <row r="147" spans="1:17" s="437" customFormat="1" ht="35.1" customHeight="1">
      <c r="A147" s="423">
        <v>140</v>
      </c>
      <c r="B147" s="424" t="s">
        <v>214</v>
      </c>
      <c r="C147" s="425" t="s">
        <v>567</v>
      </c>
      <c r="D147" s="426">
        <f>D148+D158+D170</f>
        <v>156941355479.94876</v>
      </c>
      <c r="E147" s="427">
        <f>E148+E158+E170</f>
        <v>0.13106000000013765</v>
      </c>
      <c r="F147" s="428"/>
      <c r="G147" s="429"/>
      <c r="H147" s="438">
        <f>H148+H158+H170</f>
        <v>9.7622085536015091E-2</v>
      </c>
      <c r="I147" s="439">
        <f>I148+I158+I170</f>
        <v>116900216914.28061</v>
      </c>
      <c r="J147" s="431">
        <f>L147/D147</f>
        <v>0.66634592037746609</v>
      </c>
      <c r="K147" s="440">
        <f>K148+K158+K170</f>
        <v>8.7331296324762442E-2</v>
      </c>
      <c r="L147" s="441">
        <f>L148+L158+L170</f>
        <v>104577231962.57353</v>
      </c>
      <c r="M147" s="434"/>
      <c r="N147" s="434">
        <f>N148+N158+N170</f>
        <v>0</v>
      </c>
      <c r="O147" s="435">
        <f t="shared" si="42"/>
        <v>0</v>
      </c>
      <c r="P147" s="424"/>
    </row>
    <row r="148" spans="1:17" s="456" customFormat="1" ht="27.95" customHeight="1">
      <c r="A148" s="443">
        <v>141</v>
      </c>
      <c r="B148" s="444" t="s">
        <v>359</v>
      </c>
      <c r="C148" s="445" t="s">
        <v>529</v>
      </c>
      <c r="D148" s="446">
        <f>SUM(D149:D157)</f>
        <v>58068301527.520065</v>
      </c>
      <c r="E148" s="447">
        <f>SUM(E149:E157)</f>
        <v>4.8492200000000013E-2</v>
      </c>
      <c r="F148" s="448"/>
      <c r="G148" s="449"/>
      <c r="H148" s="450">
        <f>SUM(H149:H157)</f>
        <v>4.8492200000000013E-2</v>
      </c>
      <c r="I148" s="451">
        <f>SUM(I149:I157)</f>
        <v>58068301527.520065</v>
      </c>
      <c r="J148" s="449">
        <f>L148/D148</f>
        <v>1</v>
      </c>
      <c r="K148" s="452">
        <f>SUM(K149:K157)</f>
        <v>4.8492200000000013E-2</v>
      </c>
      <c r="L148" s="453">
        <f>SUM(L149:L157)</f>
        <v>58068301527.520065</v>
      </c>
      <c r="M148" s="454"/>
      <c r="N148" s="454">
        <f>SUM(N149:N157)</f>
        <v>0</v>
      </c>
      <c r="O148" s="455">
        <f t="shared" si="42"/>
        <v>0</v>
      </c>
      <c r="P148" s="444"/>
    </row>
    <row r="149" spans="1:17" s="312" customFormat="1" ht="27.95" customHeight="1">
      <c r="A149" s="18">
        <v>142</v>
      </c>
      <c r="B149" s="301" t="s">
        <v>360</v>
      </c>
      <c r="C149" s="302" t="s">
        <v>530</v>
      </c>
      <c r="D149" s="303">
        <v>2903415076.3760033</v>
      </c>
      <c r="E149" s="304">
        <f t="shared" ref="E149:E157" si="54">D149/$L$4</f>
        <v>2.4246100000000007E-3</v>
      </c>
      <c r="F149" s="305">
        <v>3</v>
      </c>
      <c r="G149" s="394">
        <v>1</v>
      </c>
      <c r="H149" s="387">
        <f t="shared" ref="H149:H157" si="55">G149*E149</f>
        <v>2.4246100000000007E-3</v>
      </c>
      <c r="I149" s="390">
        <f t="shared" ref="I149:I157" si="56">H149*$L$4</f>
        <v>2903415076.3760033</v>
      </c>
      <c r="J149" s="414">
        <v>1</v>
      </c>
      <c r="K149" s="343">
        <f t="shared" ref="K149:K157" si="57">J149*E149</f>
        <v>2.4246100000000007E-3</v>
      </c>
      <c r="L149" s="308">
        <f>J149*D149</f>
        <v>2903415076.3760033</v>
      </c>
      <c r="M149" s="309"/>
      <c r="N149" s="309">
        <f t="shared" ref="N149:N157" si="58">M149*E149</f>
        <v>0</v>
      </c>
      <c r="O149" s="310">
        <f t="shared" si="42"/>
        <v>0</v>
      </c>
      <c r="P149" s="311"/>
    </row>
    <row r="150" spans="1:17" s="312" customFormat="1" ht="27.95" customHeight="1">
      <c r="A150" s="18">
        <v>143</v>
      </c>
      <c r="B150" s="301" t="s">
        <v>361</v>
      </c>
      <c r="C150" s="302" t="s">
        <v>531</v>
      </c>
      <c r="D150" s="303">
        <v>5806830152.7520065</v>
      </c>
      <c r="E150" s="304">
        <f t="shared" si="54"/>
        <v>4.8492200000000013E-3</v>
      </c>
      <c r="F150" s="305">
        <v>3</v>
      </c>
      <c r="G150" s="394">
        <v>1</v>
      </c>
      <c r="H150" s="387">
        <f t="shared" si="55"/>
        <v>4.8492200000000013E-3</v>
      </c>
      <c r="I150" s="390">
        <f t="shared" si="56"/>
        <v>5806830152.7520065</v>
      </c>
      <c r="J150" s="414">
        <v>1</v>
      </c>
      <c r="K150" s="343">
        <f t="shared" si="57"/>
        <v>4.8492200000000013E-3</v>
      </c>
      <c r="L150" s="308">
        <f t="shared" ref="L150:L157" si="59">J150*D150</f>
        <v>5806830152.7520065</v>
      </c>
      <c r="M150" s="309"/>
      <c r="N150" s="309">
        <f t="shared" si="58"/>
        <v>0</v>
      </c>
      <c r="O150" s="310">
        <f t="shared" si="42"/>
        <v>0</v>
      </c>
      <c r="P150" s="311"/>
    </row>
    <row r="151" spans="1:17" s="312" customFormat="1" ht="27.95" customHeight="1">
      <c r="A151" s="18">
        <v>144</v>
      </c>
      <c r="B151" s="301" t="s">
        <v>362</v>
      </c>
      <c r="C151" s="302" t="s">
        <v>532</v>
      </c>
      <c r="D151" s="303">
        <v>5806830152.7520065</v>
      </c>
      <c r="E151" s="304">
        <f t="shared" si="54"/>
        <v>4.8492200000000013E-3</v>
      </c>
      <c r="F151" s="305">
        <v>3</v>
      </c>
      <c r="G151" s="394">
        <v>1</v>
      </c>
      <c r="H151" s="387">
        <f t="shared" si="55"/>
        <v>4.8492200000000013E-3</v>
      </c>
      <c r="I151" s="390">
        <f t="shared" si="56"/>
        <v>5806830152.7520065</v>
      </c>
      <c r="J151" s="414">
        <v>1</v>
      </c>
      <c r="K151" s="343">
        <f t="shared" si="57"/>
        <v>4.8492200000000013E-3</v>
      </c>
      <c r="L151" s="308">
        <f t="shared" si="59"/>
        <v>5806830152.7520065</v>
      </c>
      <c r="M151" s="309"/>
      <c r="N151" s="309">
        <f t="shared" si="58"/>
        <v>0</v>
      </c>
      <c r="O151" s="310">
        <f t="shared" si="42"/>
        <v>0</v>
      </c>
      <c r="P151" s="311"/>
    </row>
    <row r="152" spans="1:17" s="312" customFormat="1" ht="27.95" customHeight="1">
      <c r="A152" s="18">
        <v>145</v>
      </c>
      <c r="B152" s="301" t="s">
        <v>363</v>
      </c>
      <c r="C152" s="302" t="s">
        <v>533</v>
      </c>
      <c r="D152" s="303">
        <v>11613660305.504013</v>
      </c>
      <c r="E152" s="304">
        <f t="shared" si="54"/>
        <v>9.6984400000000026E-3</v>
      </c>
      <c r="F152" s="305">
        <v>14</v>
      </c>
      <c r="G152" s="394">
        <v>1</v>
      </c>
      <c r="H152" s="387">
        <f t="shared" si="55"/>
        <v>9.6984400000000026E-3</v>
      </c>
      <c r="I152" s="390">
        <f t="shared" si="56"/>
        <v>11613660305.504013</v>
      </c>
      <c r="J152" s="414">
        <v>1</v>
      </c>
      <c r="K152" s="343">
        <f t="shared" si="57"/>
        <v>9.6984400000000026E-3</v>
      </c>
      <c r="L152" s="308">
        <f t="shared" si="59"/>
        <v>11613660305.504013</v>
      </c>
      <c r="M152" s="309"/>
      <c r="N152" s="309">
        <f t="shared" si="58"/>
        <v>0</v>
      </c>
      <c r="O152" s="310">
        <f t="shared" si="42"/>
        <v>0</v>
      </c>
      <c r="P152" s="311"/>
    </row>
    <row r="153" spans="1:17" s="312" customFormat="1" ht="27.95" customHeight="1">
      <c r="A153" s="18">
        <v>146</v>
      </c>
      <c r="B153" s="301" t="s">
        <v>364</v>
      </c>
      <c r="C153" s="302" t="s">
        <v>534</v>
      </c>
      <c r="D153" s="303">
        <v>8710245229.1280079</v>
      </c>
      <c r="E153" s="304">
        <f t="shared" si="54"/>
        <v>7.2738300000000002E-3</v>
      </c>
      <c r="F153" s="305">
        <v>3</v>
      </c>
      <c r="G153" s="394">
        <v>1</v>
      </c>
      <c r="H153" s="387">
        <f t="shared" si="55"/>
        <v>7.2738300000000002E-3</v>
      </c>
      <c r="I153" s="390">
        <f t="shared" si="56"/>
        <v>8710245229.1280079</v>
      </c>
      <c r="J153" s="414">
        <v>1</v>
      </c>
      <c r="K153" s="343">
        <f t="shared" si="57"/>
        <v>7.2738300000000002E-3</v>
      </c>
      <c r="L153" s="308">
        <f t="shared" si="59"/>
        <v>8710245229.1280079</v>
      </c>
      <c r="M153" s="309"/>
      <c r="N153" s="309">
        <f t="shared" si="58"/>
        <v>0</v>
      </c>
      <c r="O153" s="310">
        <f t="shared" si="42"/>
        <v>0</v>
      </c>
      <c r="P153" s="311"/>
    </row>
    <row r="154" spans="1:17" s="312" customFormat="1" ht="27.95" customHeight="1">
      <c r="A154" s="18">
        <v>147</v>
      </c>
      <c r="B154" s="301" t="s">
        <v>365</v>
      </c>
      <c r="C154" s="302" t="s">
        <v>535</v>
      </c>
      <c r="D154" s="303">
        <v>6677854675.6648073</v>
      </c>
      <c r="E154" s="304">
        <f t="shared" si="54"/>
        <v>5.5766030000000012E-3</v>
      </c>
      <c r="F154" s="305">
        <v>14</v>
      </c>
      <c r="G154" s="394">
        <v>1</v>
      </c>
      <c r="H154" s="387">
        <f t="shared" si="55"/>
        <v>5.5766030000000012E-3</v>
      </c>
      <c r="I154" s="390">
        <f t="shared" si="56"/>
        <v>6677854675.6648073</v>
      </c>
      <c r="J154" s="414">
        <v>1</v>
      </c>
      <c r="K154" s="343">
        <f t="shared" si="57"/>
        <v>5.5766030000000012E-3</v>
      </c>
      <c r="L154" s="308">
        <f t="shared" si="59"/>
        <v>6677854675.6648073</v>
      </c>
      <c r="M154" s="309"/>
      <c r="N154" s="309">
        <f t="shared" si="58"/>
        <v>0</v>
      </c>
      <c r="O154" s="310">
        <f t="shared" si="42"/>
        <v>0</v>
      </c>
      <c r="P154" s="311"/>
    </row>
    <row r="155" spans="1:17" s="312" customFormat="1" ht="27.95" customHeight="1">
      <c r="A155" s="18">
        <v>148</v>
      </c>
      <c r="B155" s="301" t="s">
        <v>366</v>
      </c>
      <c r="C155" s="302" t="s">
        <v>536</v>
      </c>
      <c r="D155" s="303">
        <v>4935805629.8392048</v>
      </c>
      <c r="E155" s="304">
        <f t="shared" si="54"/>
        <v>4.1218370000000006E-3</v>
      </c>
      <c r="F155" s="305">
        <v>3</v>
      </c>
      <c r="G155" s="394">
        <v>1</v>
      </c>
      <c r="H155" s="387">
        <f t="shared" si="55"/>
        <v>4.1218370000000006E-3</v>
      </c>
      <c r="I155" s="390">
        <f t="shared" si="56"/>
        <v>4935805629.8392048</v>
      </c>
      <c r="J155" s="414">
        <v>1</v>
      </c>
      <c r="K155" s="343">
        <f t="shared" si="57"/>
        <v>4.1218370000000006E-3</v>
      </c>
      <c r="L155" s="308">
        <f t="shared" si="59"/>
        <v>4935805629.8392048</v>
      </c>
      <c r="M155" s="309"/>
      <c r="N155" s="309">
        <f t="shared" si="58"/>
        <v>0</v>
      </c>
      <c r="O155" s="310">
        <f t="shared" si="42"/>
        <v>0</v>
      </c>
      <c r="P155" s="311"/>
    </row>
    <row r="156" spans="1:17" s="312" customFormat="1" ht="27.95" customHeight="1">
      <c r="A156" s="18">
        <v>149</v>
      </c>
      <c r="B156" s="301" t="s">
        <v>367</v>
      </c>
      <c r="C156" s="302" t="s">
        <v>765</v>
      </c>
      <c r="D156" s="303">
        <v>8710245229.1280079</v>
      </c>
      <c r="E156" s="304">
        <f t="shared" si="54"/>
        <v>7.2738300000000002E-3</v>
      </c>
      <c r="F156" s="305">
        <v>14</v>
      </c>
      <c r="G156" s="394">
        <v>1</v>
      </c>
      <c r="H156" s="387">
        <f t="shared" si="55"/>
        <v>7.2738300000000002E-3</v>
      </c>
      <c r="I156" s="390">
        <f t="shared" si="56"/>
        <v>8710245229.1280079</v>
      </c>
      <c r="J156" s="414">
        <v>1</v>
      </c>
      <c r="K156" s="343">
        <f t="shared" si="57"/>
        <v>7.2738300000000002E-3</v>
      </c>
      <c r="L156" s="308">
        <f t="shared" si="59"/>
        <v>8710245229.1280079</v>
      </c>
      <c r="M156" s="309"/>
      <c r="N156" s="309">
        <f t="shared" si="58"/>
        <v>0</v>
      </c>
      <c r="O156" s="310">
        <f t="shared" si="42"/>
        <v>0</v>
      </c>
      <c r="P156" s="311"/>
    </row>
    <row r="157" spans="1:17" s="312" customFormat="1" ht="27.95" customHeight="1">
      <c r="A157" s="18">
        <v>150</v>
      </c>
      <c r="B157" s="301" t="s">
        <v>677</v>
      </c>
      <c r="C157" s="302" t="s">
        <v>539</v>
      </c>
      <c r="D157" s="303">
        <v>2903415076.3760033</v>
      </c>
      <c r="E157" s="304">
        <f t="shared" si="54"/>
        <v>2.4246100000000007E-3</v>
      </c>
      <c r="F157" s="305">
        <v>3</v>
      </c>
      <c r="G157" s="394">
        <v>1</v>
      </c>
      <c r="H157" s="387">
        <f t="shared" si="55"/>
        <v>2.4246100000000007E-3</v>
      </c>
      <c r="I157" s="390">
        <f t="shared" si="56"/>
        <v>2903415076.3760033</v>
      </c>
      <c r="J157" s="414">
        <v>1</v>
      </c>
      <c r="K157" s="343">
        <f t="shared" si="57"/>
        <v>2.4246100000000007E-3</v>
      </c>
      <c r="L157" s="308">
        <f t="shared" si="59"/>
        <v>2903415076.3760033</v>
      </c>
      <c r="M157" s="309"/>
      <c r="N157" s="309">
        <f t="shared" si="58"/>
        <v>0</v>
      </c>
      <c r="O157" s="310">
        <f t="shared" si="42"/>
        <v>0</v>
      </c>
      <c r="P157" s="311"/>
    </row>
    <row r="158" spans="1:17" s="456" customFormat="1" ht="27.95" customHeight="1">
      <c r="A158" s="443">
        <v>151</v>
      </c>
      <c r="B158" s="444" t="s">
        <v>369</v>
      </c>
      <c r="C158" s="445" t="s">
        <v>542</v>
      </c>
      <c r="D158" s="446">
        <f>SUM(D159:D168)</f>
        <v>47082406644.099991</v>
      </c>
      <c r="E158" s="447">
        <f>SUM(E159:E168)</f>
        <v>3.9318000000137639E-2</v>
      </c>
      <c r="F158" s="448"/>
      <c r="G158" s="449"/>
      <c r="H158" s="450">
        <f>SUM(H159:H168)</f>
        <v>3.8217096000137792E-2</v>
      </c>
      <c r="I158" s="451">
        <f>SUM(I159:I169)</f>
        <v>45764099258.069992</v>
      </c>
      <c r="J158" s="515">
        <f>L158/D158</f>
        <v>0.89749999999999996</v>
      </c>
      <c r="K158" s="452">
        <f>SUM(K159:K168)</f>
        <v>3.5287905000123534E-2</v>
      </c>
      <c r="L158" s="453">
        <f>SUM(L159:L169)</f>
        <v>42256459963.079742</v>
      </c>
      <c r="M158" s="454"/>
      <c r="N158" s="454">
        <f>SUM(N159:N159)</f>
        <v>0</v>
      </c>
      <c r="O158" s="455">
        <f t="shared" si="42"/>
        <v>0</v>
      </c>
      <c r="P158" s="444"/>
      <c r="Q158" s="457"/>
    </row>
    <row r="159" spans="1:17" s="312" customFormat="1" ht="27.95" customHeight="1">
      <c r="A159" s="18">
        <v>152</v>
      </c>
      <c r="B159" s="301" t="s">
        <v>370</v>
      </c>
      <c r="C159" s="302" t="s">
        <v>743</v>
      </c>
      <c r="D159" s="303">
        <v>1600801825.8900001</v>
      </c>
      <c r="E159" s="304">
        <f t="shared" ref="E159:E168" si="60">D159/$L$4</f>
        <v>1.3368119999968302E-3</v>
      </c>
      <c r="F159" s="317">
        <v>3</v>
      </c>
      <c r="G159" s="394">
        <v>1</v>
      </c>
      <c r="H159" s="387">
        <f t="shared" ref="H159:H188" si="61">G159*E159</f>
        <v>1.3368119999968302E-3</v>
      </c>
      <c r="I159" s="390">
        <f t="shared" ref="I159:I169" si="62">H159*$L$4</f>
        <v>1600801825.8900001</v>
      </c>
      <c r="J159" s="510">
        <f>1-10.25%</f>
        <v>0.89749999999999996</v>
      </c>
      <c r="K159" s="343">
        <f>J159*E159</f>
        <v>1.199788769997155E-3</v>
      </c>
      <c r="L159" s="308">
        <f>J159*D159</f>
        <v>1436719638.736275</v>
      </c>
      <c r="M159" s="1200" t="s">
        <v>877</v>
      </c>
      <c r="N159" s="1201"/>
      <c r="O159" s="1202"/>
      <c r="P159" s="311"/>
    </row>
    <row r="160" spans="1:17" s="312" customFormat="1" ht="27.95" customHeight="1">
      <c r="A160" s="18">
        <v>153</v>
      </c>
      <c r="B160" s="301" t="s">
        <v>371</v>
      </c>
      <c r="C160" s="302" t="s">
        <v>540</v>
      </c>
      <c r="D160" s="303">
        <v>8474833196</v>
      </c>
      <c r="E160" s="304">
        <f t="shared" si="60"/>
        <v>7.077240000076551E-3</v>
      </c>
      <c r="F160" s="317">
        <v>8</v>
      </c>
      <c r="G160" s="394">
        <v>1</v>
      </c>
      <c r="H160" s="387">
        <f t="shared" si="61"/>
        <v>7.077240000076551E-3</v>
      </c>
      <c r="I160" s="390">
        <f t="shared" si="62"/>
        <v>8474833196</v>
      </c>
      <c r="J160" s="510">
        <f t="shared" ref="J160:J168" si="63">1-10.25%</f>
        <v>0.89749999999999996</v>
      </c>
      <c r="K160" s="343">
        <f t="shared" ref="K160:K167" si="64">J160*E160</f>
        <v>6.3518229000687045E-3</v>
      </c>
      <c r="L160" s="308">
        <f t="shared" ref="L160:L168" si="65">J160*D160</f>
        <v>7606162793.4099998</v>
      </c>
      <c r="M160" s="1185"/>
      <c r="N160" s="1186"/>
      <c r="O160" s="1187"/>
      <c r="P160" s="311"/>
    </row>
    <row r="161" spans="1:17" s="312" customFormat="1" ht="27.95" customHeight="1">
      <c r="A161" s="18">
        <v>154</v>
      </c>
      <c r="B161" s="301" t="s">
        <v>372</v>
      </c>
      <c r="C161" s="302" t="s">
        <v>744</v>
      </c>
      <c r="D161" s="303">
        <v>16949666392</v>
      </c>
      <c r="E161" s="304">
        <f t="shared" si="60"/>
        <v>1.4154480000153102E-2</v>
      </c>
      <c r="F161" s="317">
        <v>9</v>
      </c>
      <c r="G161" s="394">
        <v>1</v>
      </c>
      <c r="H161" s="387">
        <f t="shared" si="61"/>
        <v>1.4154480000153102E-2</v>
      </c>
      <c r="I161" s="390">
        <f t="shared" si="62"/>
        <v>16949666392</v>
      </c>
      <c r="J161" s="510">
        <f t="shared" si="63"/>
        <v>0.89749999999999996</v>
      </c>
      <c r="K161" s="343">
        <f t="shared" si="64"/>
        <v>1.2703645800137409E-2</v>
      </c>
      <c r="L161" s="308">
        <f t="shared" si="65"/>
        <v>15212325586.82</v>
      </c>
      <c r="M161" s="1185"/>
      <c r="N161" s="1186"/>
      <c r="O161" s="1187"/>
      <c r="P161" s="311"/>
    </row>
    <row r="162" spans="1:17" s="312" customFormat="1" ht="27.95" customHeight="1">
      <c r="A162" s="18">
        <v>155</v>
      </c>
      <c r="B162" s="301" t="s">
        <v>373</v>
      </c>
      <c r="C162" s="302" t="s">
        <v>745</v>
      </c>
      <c r="D162" s="303">
        <v>8474833196</v>
      </c>
      <c r="E162" s="304">
        <f t="shared" si="60"/>
        <v>7.077240000076551E-3</v>
      </c>
      <c r="F162" s="375" t="s">
        <v>846</v>
      </c>
      <c r="G162" s="394">
        <v>1</v>
      </c>
      <c r="H162" s="387">
        <f t="shared" si="61"/>
        <v>7.077240000076551E-3</v>
      </c>
      <c r="I162" s="390">
        <f t="shared" si="62"/>
        <v>8474833196</v>
      </c>
      <c r="J162" s="510">
        <f t="shared" si="63"/>
        <v>0.89749999999999996</v>
      </c>
      <c r="K162" s="343">
        <f t="shared" si="64"/>
        <v>6.3518229000687045E-3</v>
      </c>
      <c r="L162" s="308">
        <f t="shared" si="65"/>
        <v>7606162793.4099998</v>
      </c>
      <c r="M162" s="1185"/>
      <c r="N162" s="1186"/>
      <c r="O162" s="1187"/>
      <c r="P162" s="311"/>
    </row>
    <row r="163" spans="1:17" s="312" customFormat="1" ht="27.95" customHeight="1">
      <c r="A163" s="18">
        <v>156</v>
      </c>
      <c r="B163" s="301" t="s">
        <v>374</v>
      </c>
      <c r="C163" s="302" t="s">
        <v>746</v>
      </c>
      <c r="D163" s="303">
        <v>470824066.44</v>
      </c>
      <c r="E163" s="304">
        <f t="shared" si="60"/>
        <v>3.9318000000054131E-4</v>
      </c>
      <c r="F163" s="317">
        <v>16</v>
      </c>
      <c r="G163" s="394">
        <v>1</v>
      </c>
      <c r="H163" s="387">
        <f t="shared" si="61"/>
        <v>3.9318000000054131E-4</v>
      </c>
      <c r="I163" s="390">
        <f t="shared" si="62"/>
        <v>470824066.44</v>
      </c>
      <c r="J163" s="510">
        <f t="shared" si="63"/>
        <v>0.89749999999999996</v>
      </c>
      <c r="K163" s="343">
        <f t="shared" si="64"/>
        <v>3.528790500004858E-4</v>
      </c>
      <c r="L163" s="308">
        <f t="shared" si="65"/>
        <v>422564599.62989998</v>
      </c>
      <c r="M163" s="1185"/>
      <c r="N163" s="1186"/>
      <c r="O163" s="1187"/>
      <c r="P163" s="311"/>
    </row>
    <row r="164" spans="1:17" s="312" customFormat="1" ht="41.45" customHeight="1">
      <c r="A164" s="18">
        <v>157</v>
      </c>
      <c r="B164" s="301" t="s">
        <v>375</v>
      </c>
      <c r="C164" s="302" t="s">
        <v>747</v>
      </c>
      <c r="D164" s="303">
        <v>847483319.59000003</v>
      </c>
      <c r="E164" s="304">
        <f t="shared" si="60"/>
        <v>7.0772399999930423E-4</v>
      </c>
      <c r="F164" s="317">
        <v>6</v>
      </c>
      <c r="G164" s="394">
        <v>1</v>
      </c>
      <c r="H164" s="387">
        <f t="shared" si="61"/>
        <v>7.0772399999930423E-4</v>
      </c>
      <c r="I164" s="390">
        <f t="shared" si="62"/>
        <v>847483319.59000003</v>
      </c>
      <c r="J164" s="510">
        <f t="shared" si="63"/>
        <v>0.89749999999999996</v>
      </c>
      <c r="K164" s="343">
        <f t="shared" si="64"/>
        <v>6.3518228999937551E-4</v>
      </c>
      <c r="L164" s="308">
        <f t="shared" si="65"/>
        <v>760616279.33202505</v>
      </c>
      <c r="M164" s="1185"/>
      <c r="N164" s="1186"/>
      <c r="O164" s="1187"/>
      <c r="P164" s="311"/>
    </row>
    <row r="165" spans="1:17" s="312" customFormat="1" ht="27.95" customHeight="1">
      <c r="A165" s="18">
        <v>158</v>
      </c>
      <c r="B165" s="301" t="s">
        <v>376</v>
      </c>
      <c r="C165" s="302" t="s">
        <v>748</v>
      </c>
      <c r="D165" s="303">
        <v>2636614772.0599999</v>
      </c>
      <c r="E165" s="304">
        <f t="shared" si="60"/>
        <v>2.2018079999996912E-3</v>
      </c>
      <c r="F165" s="317">
        <v>11</v>
      </c>
      <c r="G165" s="394">
        <v>0.5</v>
      </c>
      <c r="H165" s="387">
        <f t="shared" si="61"/>
        <v>1.1009039999998456E-3</v>
      </c>
      <c r="I165" s="390">
        <f t="shared" si="62"/>
        <v>1318307386.03</v>
      </c>
      <c r="J165" s="510">
        <f t="shared" si="63"/>
        <v>0.89749999999999996</v>
      </c>
      <c r="K165" s="343">
        <f t="shared" si="64"/>
        <v>1.9761226799997226E-3</v>
      </c>
      <c r="L165" s="308">
        <f t="shared" si="65"/>
        <v>2366361757.9238501</v>
      </c>
      <c r="M165" s="1185"/>
      <c r="N165" s="1186"/>
      <c r="O165" s="1187"/>
      <c r="P165" s="311"/>
    </row>
    <row r="166" spans="1:17" s="312" customFormat="1" ht="27.95" customHeight="1">
      <c r="A166" s="18">
        <v>159</v>
      </c>
      <c r="B166" s="301" t="s">
        <v>377</v>
      </c>
      <c r="C166" s="302" t="s">
        <v>749</v>
      </c>
      <c r="D166" s="303">
        <v>3954922158.0900002</v>
      </c>
      <c r="E166" s="304">
        <f t="shared" si="60"/>
        <v>3.302711999999537E-3</v>
      </c>
      <c r="F166" s="317">
        <v>3</v>
      </c>
      <c r="G166" s="394">
        <v>1</v>
      </c>
      <c r="H166" s="387">
        <f t="shared" si="61"/>
        <v>3.302711999999537E-3</v>
      </c>
      <c r="I166" s="390">
        <f t="shared" si="62"/>
        <v>3954922158.0900002</v>
      </c>
      <c r="J166" s="510">
        <f t="shared" si="63"/>
        <v>0.89749999999999996</v>
      </c>
      <c r="K166" s="343">
        <f t="shared" si="64"/>
        <v>2.9641840199995844E-3</v>
      </c>
      <c r="L166" s="308">
        <f t="shared" si="65"/>
        <v>3549542636.8857751</v>
      </c>
      <c r="M166" s="1185"/>
      <c r="N166" s="1186"/>
      <c r="O166" s="1187"/>
      <c r="P166" s="311"/>
    </row>
    <row r="167" spans="1:17" s="312" customFormat="1" ht="27.95" customHeight="1">
      <c r="A167" s="18">
        <v>160</v>
      </c>
      <c r="B167" s="301" t="s">
        <v>678</v>
      </c>
      <c r="C167" s="302" t="s">
        <v>750</v>
      </c>
      <c r="D167" s="303">
        <v>1318307386.03</v>
      </c>
      <c r="E167" s="304">
        <f t="shared" si="60"/>
        <v>1.1009039999998456E-3</v>
      </c>
      <c r="F167" s="317">
        <v>20</v>
      </c>
      <c r="G167" s="394">
        <v>1</v>
      </c>
      <c r="H167" s="387">
        <f t="shared" si="61"/>
        <v>1.1009039999998456E-3</v>
      </c>
      <c r="I167" s="390">
        <f t="shared" si="62"/>
        <v>1318307386.03</v>
      </c>
      <c r="J167" s="510">
        <f t="shared" si="63"/>
        <v>0.89749999999999996</v>
      </c>
      <c r="K167" s="343">
        <f t="shared" si="64"/>
        <v>9.8806133999986131E-4</v>
      </c>
      <c r="L167" s="308">
        <f t="shared" si="65"/>
        <v>1183180878.961925</v>
      </c>
      <c r="M167" s="1185"/>
      <c r="N167" s="1186"/>
      <c r="O167" s="1187"/>
      <c r="P167" s="311"/>
    </row>
    <row r="168" spans="1:17" s="320" customFormat="1" ht="27.95" customHeight="1">
      <c r="A168" s="18">
        <v>161</v>
      </c>
      <c r="B168" s="301" t="s">
        <v>679</v>
      </c>
      <c r="C168" s="302" t="s">
        <v>539</v>
      </c>
      <c r="D168" s="315">
        <v>2354120332</v>
      </c>
      <c r="E168" s="304">
        <f t="shared" si="60"/>
        <v>1.9658999998356888E-3</v>
      </c>
      <c r="F168" s="317">
        <v>3</v>
      </c>
      <c r="G168" s="394">
        <v>1</v>
      </c>
      <c r="H168" s="387">
        <f t="shared" si="61"/>
        <v>1.9658999998356888E-3</v>
      </c>
      <c r="I168" s="390">
        <f t="shared" si="62"/>
        <v>2354120332</v>
      </c>
      <c r="J168" s="510">
        <f t="shared" si="63"/>
        <v>0.89749999999999996</v>
      </c>
      <c r="K168" s="343">
        <f>J168*E168</f>
        <v>1.7643952498525306E-3</v>
      </c>
      <c r="L168" s="308">
        <f t="shared" si="65"/>
        <v>2112822997.97</v>
      </c>
      <c r="M168" s="1185"/>
      <c r="N168" s="1186"/>
      <c r="O168" s="1187"/>
      <c r="P168" s="318"/>
      <c r="Q168" s="319"/>
    </row>
    <row r="169" spans="1:17" s="320" customFormat="1" ht="27.95" customHeight="1">
      <c r="A169" s="18">
        <v>162</v>
      </c>
      <c r="B169" s="301" t="s">
        <v>680</v>
      </c>
      <c r="C169" s="302" t="s">
        <v>562</v>
      </c>
      <c r="D169" s="315" t="s">
        <v>733</v>
      </c>
      <c r="E169" s="316" t="s">
        <v>733</v>
      </c>
      <c r="F169" s="317"/>
      <c r="G169" s="394"/>
      <c r="H169" s="388"/>
      <c r="I169" s="390">
        <f t="shared" si="62"/>
        <v>0</v>
      </c>
      <c r="J169" s="395"/>
      <c r="K169" s="343"/>
      <c r="L169" s="308"/>
      <c r="M169" s="1188"/>
      <c r="N169" s="1189"/>
      <c r="O169" s="1190"/>
      <c r="P169" s="318"/>
      <c r="Q169" s="319"/>
    </row>
    <row r="170" spans="1:17" s="456" customFormat="1" ht="27.95" customHeight="1">
      <c r="A170" s="443">
        <v>163</v>
      </c>
      <c r="B170" s="444" t="s">
        <v>378</v>
      </c>
      <c r="C170" s="469" t="s">
        <v>543</v>
      </c>
      <c r="D170" s="446">
        <f>SUM(D171:D188)</f>
        <v>51790647308.328705</v>
      </c>
      <c r="E170" s="447">
        <f>SUM(E171:E188)</f>
        <v>4.3249800000000005E-2</v>
      </c>
      <c r="F170" s="448"/>
      <c r="G170" s="449"/>
      <c r="H170" s="450">
        <f>SUM(H171:H188)</f>
        <v>1.0912789535877297E-2</v>
      </c>
      <c r="I170" s="451">
        <f>SUM(I171:I188)</f>
        <v>13067816128.690559</v>
      </c>
      <c r="J170" s="515">
        <f>L170/D170</f>
        <v>8.2108849627949551E-2</v>
      </c>
      <c r="K170" s="452">
        <f>SUM(K171:K188)</f>
        <v>3.5511913246388926E-3</v>
      </c>
      <c r="L170" s="453">
        <f>SUM(L171:L188)</f>
        <v>4252470471.9737315</v>
      </c>
      <c r="M170" s="454"/>
      <c r="N170" s="454">
        <f>SUM(N171:N188)</f>
        <v>0</v>
      </c>
      <c r="O170" s="455">
        <f>SUM(O171:O188)</f>
        <v>0</v>
      </c>
      <c r="P170" s="444"/>
    </row>
    <row r="171" spans="1:17" s="312" customFormat="1" ht="27.95" customHeight="1">
      <c r="A171" s="18">
        <v>164</v>
      </c>
      <c r="B171" s="301" t="s">
        <v>379</v>
      </c>
      <c r="C171" s="302" t="s">
        <v>545</v>
      </c>
      <c r="D171" s="303">
        <v>517906473.083287</v>
      </c>
      <c r="E171" s="304">
        <f t="shared" ref="E171:E188" si="66">D171/$L$4</f>
        <v>4.3249800000000007E-4</v>
      </c>
      <c r="F171" s="305">
        <v>21</v>
      </c>
      <c r="G171" s="394">
        <v>1</v>
      </c>
      <c r="H171" s="387">
        <f t="shared" si="61"/>
        <v>4.3249800000000007E-4</v>
      </c>
      <c r="I171" s="390">
        <f t="shared" ref="I171:I188" si="67">H171*$L$4</f>
        <v>517906473.083287</v>
      </c>
      <c r="J171" s="511">
        <f>1/3</f>
        <v>0.33333333333333331</v>
      </c>
      <c r="K171" s="343">
        <f t="shared" ref="K171:K188" si="68">J171*E171</f>
        <v>1.4416600000000002E-4</v>
      </c>
      <c r="L171" s="308">
        <f>J171*D171</f>
        <v>172635491.02776232</v>
      </c>
      <c r="M171" s="1191" t="s">
        <v>891</v>
      </c>
      <c r="N171" s="1192"/>
      <c r="O171" s="1193"/>
      <c r="P171" s="311"/>
    </row>
    <row r="172" spans="1:17" s="312" customFormat="1" ht="27.95" customHeight="1">
      <c r="A172" s="18">
        <v>165</v>
      </c>
      <c r="B172" s="301" t="s">
        <v>380</v>
      </c>
      <c r="C172" s="302" t="s">
        <v>546</v>
      </c>
      <c r="D172" s="303">
        <v>5127274083.5245419</v>
      </c>
      <c r="E172" s="304">
        <f t="shared" si="66"/>
        <v>4.281730200000001E-3</v>
      </c>
      <c r="F172" s="305">
        <v>14</v>
      </c>
      <c r="G172" s="394">
        <v>1</v>
      </c>
      <c r="H172" s="387">
        <f t="shared" si="61"/>
        <v>4.281730200000001E-3</v>
      </c>
      <c r="I172" s="390">
        <f t="shared" si="67"/>
        <v>5127274083.5245419</v>
      </c>
      <c r="J172" s="511">
        <f>9495/16754</f>
        <v>0.56673033305479292</v>
      </c>
      <c r="K172" s="343">
        <f t="shared" si="68"/>
        <v>2.4265863822967655E-3</v>
      </c>
      <c r="L172" s="308">
        <f t="shared" ref="L172:L188" si="69">J172*D172</f>
        <v>2905781749.0190716</v>
      </c>
      <c r="M172" s="1194"/>
      <c r="N172" s="1195"/>
      <c r="O172" s="1196"/>
      <c r="P172" s="311"/>
    </row>
    <row r="173" spans="1:17" s="312" customFormat="1" ht="27.95" customHeight="1">
      <c r="A173" s="18">
        <v>166</v>
      </c>
      <c r="B173" s="301" t="s">
        <v>381</v>
      </c>
      <c r="C173" s="302" t="s">
        <v>547</v>
      </c>
      <c r="D173" s="303">
        <v>5179064730.8328705</v>
      </c>
      <c r="E173" s="304">
        <f t="shared" si="66"/>
        <v>4.3249800000000008E-3</v>
      </c>
      <c r="F173" s="305">
        <v>14</v>
      </c>
      <c r="G173" s="394">
        <v>0.5</v>
      </c>
      <c r="H173" s="387">
        <f t="shared" si="61"/>
        <v>2.1624900000000004E-3</v>
      </c>
      <c r="I173" s="390">
        <f t="shared" si="67"/>
        <v>2589532365.4164352</v>
      </c>
      <c r="J173" s="512"/>
      <c r="K173" s="343">
        <f t="shared" si="68"/>
        <v>0</v>
      </c>
      <c r="L173" s="308">
        <f t="shared" si="69"/>
        <v>0</v>
      </c>
      <c r="M173" s="1194"/>
      <c r="N173" s="1195"/>
      <c r="O173" s="1196"/>
      <c r="P173" s="311"/>
    </row>
    <row r="174" spans="1:17" s="312" customFormat="1" ht="27.95" customHeight="1">
      <c r="A174" s="18">
        <v>167</v>
      </c>
      <c r="B174" s="301" t="s">
        <v>382</v>
      </c>
      <c r="C174" s="302" t="s">
        <v>548</v>
      </c>
      <c r="D174" s="303">
        <v>5179064730.8328705</v>
      </c>
      <c r="E174" s="304">
        <f t="shared" si="66"/>
        <v>4.3249800000000008E-3</v>
      </c>
      <c r="F174" s="305">
        <v>14</v>
      </c>
      <c r="G174" s="394">
        <v>0</v>
      </c>
      <c r="H174" s="387">
        <f t="shared" si="61"/>
        <v>0</v>
      </c>
      <c r="I174" s="390">
        <f t="shared" si="67"/>
        <v>0</v>
      </c>
      <c r="J174" s="512"/>
      <c r="K174" s="343">
        <f t="shared" si="68"/>
        <v>0</v>
      </c>
      <c r="L174" s="308">
        <f t="shared" si="69"/>
        <v>0</v>
      </c>
      <c r="M174" s="1194"/>
      <c r="N174" s="1195"/>
      <c r="O174" s="1196"/>
      <c r="P174" s="311"/>
    </row>
    <row r="175" spans="1:17" s="312" customFormat="1" ht="27.95" customHeight="1">
      <c r="A175" s="18">
        <v>168</v>
      </c>
      <c r="B175" s="301" t="s">
        <v>383</v>
      </c>
      <c r="C175" s="302" t="s">
        <v>549</v>
      </c>
      <c r="D175" s="303">
        <v>4143251784.666296</v>
      </c>
      <c r="E175" s="304">
        <f t="shared" si="66"/>
        <v>3.4599840000000006E-3</v>
      </c>
      <c r="F175" s="305">
        <v>14</v>
      </c>
      <c r="G175" s="394">
        <v>1</v>
      </c>
      <c r="H175" s="387">
        <f t="shared" si="61"/>
        <v>3.4599840000000006E-3</v>
      </c>
      <c r="I175" s="390">
        <f t="shared" si="67"/>
        <v>4143251784.666296</v>
      </c>
      <c r="J175" s="512"/>
      <c r="K175" s="343">
        <f t="shared" si="68"/>
        <v>0</v>
      </c>
      <c r="L175" s="308">
        <f t="shared" si="69"/>
        <v>0</v>
      </c>
      <c r="M175" s="1194"/>
      <c r="N175" s="1195"/>
      <c r="O175" s="1196"/>
      <c r="P175" s="311"/>
    </row>
    <row r="176" spans="1:17" s="312" customFormat="1" ht="27.95" customHeight="1">
      <c r="A176" s="18">
        <v>169</v>
      </c>
      <c r="B176" s="301" t="s">
        <v>384</v>
      </c>
      <c r="C176" s="302" t="s">
        <v>550</v>
      </c>
      <c r="D176" s="303">
        <v>2589532365.4164352</v>
      </c>
      <c r="E176" s="304">
        <f t="shared" si="66"/>
        <v>2.1624900000000004E-3</v>
      </c>
      <c r="F176" s="305">
        <v>14</v>
      </c>
      <c r="G176" s="394">
        <v>0</v>
      </c>
      <c r="H176" s="387">
        <f t="shared" si="61"/>
        <v>0</v>
      </c>
      <c r="I176" s="390">
        <f t="shared" si="67"/>
        <v>0</v>
      </c>
      <c r="J176" s="512"/>
      <c r="K176" s="343">
        <f t="shared" si="68"/>
        <v>0</v>
      </c>
      <c r="L176" s="308">
        <f t="shared" si="69"/>
        <v>0</v>
      </c>
      <c r="M176" s="1194"/>
      <c r="N176" s="1195"/>
      <c r="O176" s="1196"/>
      <c r="P176" s="311"/>
    </row>
    <row r="177" spans="1:17" s="312" customFormat="1" ht="27.95" customHeight="1">
      <c r="A177" s="18">
        <v>170</v>
      </c>
      <c r="B177" s="301" t="s">
        <v>385</v>
      </c>
      <c r="C177" s="302" t="s">
        <v>551</v>
      </c>
      <c r="D177" s="303">
        <v>2071625892.333148</v>
      </c>
      <c r="E177" s="304">
        <f t="shared" si="66"/>
        <v>1.7299920000000003E-3</v>
      </c>
      <c r="F177" s="305">
        <v>23</v>
      </c>
      <c r="G177" s="394">
        <v>0.33299999992907103</v>
      </c>
      <c r="H177" s="387">
        <f t="shared" si="61"/>
        <v>5.7608733587729351E-4</v>
      </c>
      <c r="I177" s="390">
        <f t="shared" si="67"/>
        <v>689851422</v>
      </c>
      <c r="J177" s="511">
        <f>J172</f>
        <v>0.56673033305479292</v>
      </c>
      <c r="K177" s="343">
        <f t="shared" si="68"/>
        <v>9.8043894234212743E-4</v>
      </c>
      <c r="L177" s="308">
        <f t="shared" si="69"/>
        <v>1174053231.9268975</v>
      </c>
      <c r="M177" s="1194"/>
      <c r="N177" s="1195"/>
      <c r="O177" s="1196"/>
      <c r="P177" s="311"/>
      <c r="Q177" s="312">
        <f>689851422/D177</f>
        <v>0.33299999992907103</v>
      </c>
    </row>
    <row r="178" spans="1:17" s="408" customFormat="1" ht="27.95" customHeight="1">
      <c r="A178" s="18">
        <v>171</v>
      </c>
      <c r="B178" s="301" t="s">
        <v>386</v>
      </c>
      <c r="C178" s="302" t="s">
        <v>552</v>
      </c>
      <c r="D178" s="303">
        <v>1294766182.7082176</v>
      </c>
      <c r="E178" s="304">
        <f t="shared" si="66"/>
        <v>1.0812450000000002E-3</v>
      </c>
      <c r="F178" s="305">
        <v>23</v>
      </c>
      <c r="G178" s="394">
        <v>0</v>
      </c>
      <c r="H178" s="387">
        <f t="shared" si="61"/>
        <v>0</v>
      </c>
      <c r="I178" s="390">
        <f t="shared" si="67"/>
        <v>0</v>
      </c>
      <c r="J178" s="414"/>
      <c r="K178" s="343">
        <f t="shared" si="68"/>
        <v>0</v>
      </c>
      <c r="L178" s="308">
        <f t="shared" si="69"/>
        <v>0</v>
      </c>
      <c r="M178" s="1194"/>
      <c r="N178" s="1195"/>
      <c r="O178" s="1196"/>
      <c r="P178" s="311"/>
      <c r="Q178" s="409"/>
    </row>
    <row r="179" spans="1:17" s="312" customFormat="1" ht="27.95" customHeight="1">
      <c r="A179" s="18">
        <v>172</v>
      </c>
      <c r="B179" s="301" t="s">
        <v>387</v>
      </c>
      <c r="C179" s="302" t="s">
        <v>553</v>
      </c>
      <c r="D179" s="303">
        <v>2589532365.4164352</v>
      </c>
      <c r="E179" s="304">
        <f t="shared" si="66"/>
        <v>2.1624900000000004E-3</v>
      </c>
      <c r="F179" s="305">
        <v>23</v>
      </c>
      <c r="G179" s="394">
        <v>0</v>
      </c>
      <c r="H179" s="387">
        <f t="shared" si="61"/>
        <v>0</v>
      </c>
      <c r="I179" s="390">
        <f t="shared" si="67"/>
        <v>0</v>
      </c>
      <c r="J179" s="414"/>
      <c r="K179" s="343">
        <f t="shared" si="68"/>
        <v>0</v>
      </c>
      <c r="L179" s="308">
        <f t="shared" si="69"/>
        <v>0</v>
      </c>
      <c r="M179" s="1194"/>
      <c r="N179" s="1195"/>
      <c r="O179" s="1196"/>
      <c r="P179" s="311"/>
    </row>
    <row r="180" spans="1:17" s="312" customFormat="1" ht="27.95" customHeight="1">
      <c r="A180" s="18">
        <v>173</v>
      </c>
      <c r="B180" s="301" t="s">
        <v>388</v>
      </c>
      <c r="C180" s="302" t="s">
        <v>554</v>
      </c>
      <c r="D180" s="303">
        <v>1294766182.7082176</v>
      </c>
      <c r="E180" s="304">
        <f t="shared" si="66"/>
        <v>1.0812450000000002E-3</v>
      </c>
      <c r="F180" s="305">
        <v>23</v>
      </c>
      <c r="G180" s="394">
        <v>0</v>
      </c>
      <c r="H180" s="387">
        <f t="shared" si="61"/>
        <v>0</v>
      </c>
      <c r="I180" s="390">
        <f t="shared" si="67"/>
        <v>0</v>
      </c>
      <c r="J180" s="414"/>
      <c r="K180" s="343">
        <f t="shared" si="68"/>
        <v>0</v>
      </c>
      <c r="L180" s="308">
        <f t="shared" si="69"/>
        <v>0</v>
      </c>
      <c r="M180" s="1194"/>
      <c r="N180" s="1195"/>
      <c r="O180" s="1196"/>
      <c r="P180" s="311"/>
    </row>
    <row r="181" spans="1:17" s="408" customFormat="1" ht="27.95" customHeight="1">
      <c r="A181" s="18">
        <v>174</v>
      </c>
      <c r="B181" s="301" t="s">
        <v>389</v>
      </c>
      <c r="C181" s="302" t="s">
        <v>555</v>
      </c>
      <c r="D181" s="303">
        <v>1294766182.7082176</v>
      </c>
      <c r="E181" s="304">
        <f t="shared" si="66"/>
        <v>1.0812450000000002E-3</v>
      </c>
      <c r="F181" s="305">
        <v>23</v>
      </c>
      <c r="G181" s="394">
        <v>0</v>
      </c>
      <c r="H181" s="387">
        <f t="shared" si="61"/>
        <v>0</v>
      </c>
      <c r="I181" s="390">
        <f t="shared" si="67"/>
        <v>0</v>
      </c>
      <c r="J181" s="414"/>
      <c r="K181" s="343">
        <f t="shared" si="68"/>
        <v>0</v>
      </c>
      <c r="L181" s="308">
        <f t="shared" si="69"/>
        <v>0</v>
      </c>
      <c r="M181" s="1194"/>
      <c r="N181" s="1195"/>
      <c r="O181" s="1196"/>
      <c r="P181" s="311"/>
      <c r="Q181" s="409"/>
    </row>
    <row r="182" spans="1:17" s="408" customFormat="1" ht="27.95" customHeight="1">
      <c r="A182" s="18">
        <v>175</v>
      </c>
      <c r="B182" s="301" t="s">
        <v>390</v>
      </c>
      <c r="C182" s="302" t="s">
        <v>556</v>
      </c>
      <c r="D182" s="303">
        <v>7768597096.2493048</v>
      </c>
      <c r="E182" s="304">
        <f t="shared" si="66"/>
        <v>6.4874700000000004E-3</v>
      </c>
      <c r="F182" s="305">
        <v>23</v>
      </c>
      <c r="G182" s="394">
        <v>0</v>
      </c>
      <c r="H182" s="387">
        <f t="shared" si="61"/>
        <v>0</v>
      </c>
      <c r="I182" s="390">
        <f t="shared" si="67"/>
        <v>0</v>
      </c>
      <c r="J182" s="414"/>
      <c r="K182" s="343">
        <f t="shared" si="68"/>
        <v>0</v>
      </c>
      <c r="L182" s="308">
        <f t="shared" si="69"/>
        <v>0</v>
      </c>
      <c r="M182" s="1194"/>
      <c r="N182" s="1195"/>
      <c r="O182" s="1196"/>
      <c r="P182" s="311"/>
      <c r="Q182" s="409"/>
    </row>
    <row r="183" spans="1:17" s="312" customFormat="1" ht="27.95" customHeight="1">
      <c r="A183" s="18">
        <v>176</v>
      </c>
      <c r="B183" s="301" t="s">
        <v>391</v>
      </c>
      <c r="C183" s="302" t="s">
        <v>557</v>
      </c>
      <c r="D183" s="303">
        <v>3107438838.499722</v>
      </c>
      <c r="E183" s="304">
        <f t="shared" si="66"/>
        <v>2.5949880000000003E-3</v>
      </c>
      <c r="F183" s="305">
        <v>23</v>
      </c>
      <c r="G183" s="394">
        <v>0</v>
      </c>
      <c r="H183" s="387">
        <f t="shared" si="61"/>
        <v>0</v>
      </c>
      <c r="I183" s="390">
        <f t="shared" si="67"/>
        <v>0</v>
      </c>
      <c r="J183" s="414"/>
      <c r="K183" s="343">
        <f t="shared" si="68"/>
        <v>0</v>
      </c>
      <c r="L183" s="308">
        <f t="shared" si="69"/>
        <v>0</v>
      </c>
      <c r="M183" s="1194"/>
      <c r="N183" s="1195"/>
      <c r="O183" s="1196"/>
      <c r="P183" s="311"/>
    </row>
    <row r="184" spans="1:17" s="312" customFormat="1" ht="27.95" customHeight="1">
      <c r="A184" s="18">
        <v>177</v>
      </c>
      <c r="B184" s="301" t="s">
        <v>392</v>
      </c>
      <c r="C184" s="302" t="s">
        <v>558</v>
      </c>
      <c r="D184" s="303">
        <v>3107438838.499722</v>
      </c>
      <c r="E184" s="304">
        <f t="shared" si="66"/>
        <v>2.5949880000000003E-3</v>
      </c>
      <c r="F184" s="305">
        <v>23</v>
      </c>
      <c r="G184" s="394">
        <v>0</v>
      </c>
      <c r="H184" s="387">
        <f t="shared" si="61"/>
        <v>0</v>
      </c>
      <c r="I184" s="390">
        <f t="shared" si="67"/>
        <v>0</v>
      </c>
      <c r="J184" s="414"/>
      <c r="K184" s="343">
        <f t="shared" si="68"/>
        <v>0</v>
      </c>
      <c r="L184" s="308">
        <f t="shared" si="69"/>
        <v>0</v>
      </c>
      <c r="M184" s="1194"/>
      <c r="N184" s="1195"/>
      <c r="O184" s="1196"/>
      <c r="P184" s="311"/>
    </row>
    <row r="185" spans="1:17" s="312" customFormat="1" ht="27.95" customHeight="1">
      <c r="A185" s="18">
        <v>178</v>
      </c>
      <c r="B185" s="301" t="s">
        <v>393</v>
      </c>
      <c r="C185" s="302" t="s">
        <v>559</v>
      </c>
      <c r="D185" s="303">
        <v>2071625892.333148</v>
      </c>
      <c r="E185" s="304">
        <f t="shared" si="66"/>
        <v>1.7299920000000003E-3</v>
      </c>
      <c r="F185" s="305">
        <v>23</v>
      </c>
      <c r="G185" s="394">
        <v>0</v>
      </c>
      <c r="H185" s="387">
        <f t="shared" si="61"/>
        <v>0</v>
      </c>
      <c r="I185" s="390">
        <f t="shared" si="67"/>
        <v>0</v>
      </c>
      <c r="J185" s="414"/>
      <c r="K185" s="343">
        <f t="shared" si="68"/>
        <v>0</v>
      </c>
      <c r="L185" s="308">
        <f t="shared" si="69"/>
        <v>0</v>
      </c>
      <c r="M185" s="1194"/>
      <c r="N185" s="1195"/>
      <c r="O185" s="1196"/>
      <c r="P185" s="311"/>
    </row>
    <row r="186" spans="1:17" s="312" customFormat="1" ht="27.95" customHeight="1">
      <c r="A186" s="18">
        <v>179</v>
      </c>
      <c r="B186" s="301" t="s">
        <v>394</v>
      </c>
      <c r="C186" s="302" t="s">
        <v>560</v>
      </c>
      <c r="D186" s="303">
        <v>2071625892.333148</v>
      </c>
      <c r="E186" s="304">
        <f t="shared" si="66"/>
        <v>1.7299920000000003E-3</v>
      </c>
      <c r="F186" s="305">
        <v>23</v>
      </c>
      <c r="G186" s="394">
        <v>0</v>
      </c>
      <c r="H186" s="387">
        <f t="shared" si="61"/>
        <v>0</v>
      </c>
      <c r="I186" s="390">
        <f t="shared" si="67"/>
        <v>0</v>
      </c>
      <c r="J186" s="414"/>
      <c r="K186" s="343">
        <f t="shared" si="68"/>
        <v>0</v>
      </c>
      <c r="L186" s="308">
        <f t="shared" si="69"/>
        <v>0</v>
      </c>
      <c r="M186" s="1194"/>
      <c r="N186" s="1195"/>
      <c r="O186" s="1196"/>
      <c r="P186" s="311"/>
    </row>
    <row r="187" spans="1:17" s="312" customFormat="1" ht="27.95" customHeight="1">
      <c r="A187" s="18">
        <v>180</v>
      </c>
      <c r="B187" s="301" t="s">
        <v>395</v>
      </c>
      <c r="C187" s="302" t="s">
        <v>561</v>
      </c>
      <c r="D187" s="303">
        <v>1294766182.7082176</v>
      </c>
      <c r="E187" s="304">
        <f t="shared" si="66"/>
        <v>1.0812450000000002E-3</v>
      </c>
      <c r="F187" s="305">
        <v>23</v>
      </c>
      <c r="G187" s="394">
        <v>0</v>
      </c>
      <c r="H187" s="387">
        <f t="shared" si="61"/>
        <v>0</v>
      </c>
      <c r="I187" s="390">
        <f t="shared" si="67"/>
        <v>0</v>
      </c>
      <c r="J187" s="414"/>
      <c r="K187" s="343">
        <f t="shared" si="68"/>
        <v>0</v>
      </c>
      <c r="L187" s="308">
        <f t="shared" si="69"/>
        <v>0</v>
      </c>
      <c r="M187" s="1194"/>
      <c r="N187" s="1195"/>
      <c r="O187" s="1196"/>
      <c r="P187" s="311"/>
    </row>
    <row r="188" spans="1:17" s="312" customFormat="1" ht="27.95" customHeight="1">
      <c r="A188" s="18">
        <v>181</v>
      </c>
      <c r="B188" s="301" t="s">
        <v>396</v>
      </c>
      <c r="C188" s="302" t="s">
        <v>563</v>
      </c>
      <c r="D188" s="303">
        <v>1087603593.4749029</v>
      </c>
      <c r="E188" s="304">
        <f t="shared" si="66"/>
        <v>9.0824580000000029E-4</v>
      </c>
      <c r="F188" s="305">
        <v>23</v>
      </c>
      <c r="G188" s="394">
        <v>0</v>
      </c>
      <c r="H188" s="387">
        <f t="shared" si="61"/>
        <v>0</v>
      </c>
      <c r="I188" s="390">
        <f t="shared" si="67"/>
        <v>0</v>
      </c>
      <c r="J188" s="414"/>
      <c r="K188" s="343">
        <f t="shared" si="68"/>
        <v>0</v>
      </c>
      <c r="L188" s="308">
        <f t="shared" si="69"/>
        <v>0</v>
      </c>
      <c r="M188" s="1197"/>
      <c r="N188" s="1198"/>
      <c r="O188" s="1199"/>
      <c r="P188" s="311"/>
    </row>
    <row r="189" spans="1:17" s="437" customFormat="1" ht="35.1" customHeight="1">
      <c r="A189" s="423">
        <v>182</v>
      </c>
      <c r="B189" s="424" t="s">
        <v>397</v>
      </c>
      <c r="C189" s="425" t="s">
        <v>453</v>
      </c>
      <c r="D189" s="426">
        <f>D190+D200</f>
        <v>27723296475.520977</v>
      </c>
      <c r="E189" s="427">
        <f>E190+E200</f>
        <v>2.3151419999999999E-2</v>
      </c>
      <c r="F189" s="428"/>
      <c r="G189" s="429"/>
      <c r="H189" s="430">
        <f>H190+H200</f>
        <v>1.6765100793000004E-2</v>
      </c>
      <c r="I189" s="637">
        <f>I190+I200</f>
        <v>20075825142.748512</v>
      </c>
      <c r="J189" s="431">
        <f>L189/D189</f>
        <v>0.55119416181483483</v>
      </c>
      <c r="K189" s="432">
        <f>K190+K200</f>
        <v>1.2760927541723203E-2</v>
      </c>
      <c r="L189" s="433">
        <f>L190+L200</f>
        <v>15280919163.568949</v>
      </c>
      <c r="M189" s="434"/>
      <c r="N189" s="434">
        <f>N190+N200</f>
        <v>0</v>
      </c>
      <c r="O189" s="435">
        <f t="shared" ref="O189:O200" si="70">N189*$L$4</f>
        <v>0</v>
      </c>
      <c r="P189" s="424"/>
    </row>
    <row r="190" spans="1:17" s="456" customFormat="1" ht="27" customHeight="1">
      <c r="A190" s="443">
        <v>183</v>
      </c>
      <c r="B190" s="444" t="s">
        <v>398</v>
      </c>
      <c r="C190" s="445" t="s">
        <v>529</v>
      </c>
      <c r="D190" s="446">
        <f>SUM(D191:D199)</f>
        <v>15247813061.536537</v>
      </c>
      <c r="E190" s="447">
        <f>SUM(E191:E199)</f>
        <v>1.2733281000000003E-2</v>
      </c>
      <c r="F190" s="448"/>
      <c r="G190" s="449"/>
      <c r="H190" s="458">
        <f>SUM(H191:H199)</f>
        <v>1.2733281000000003E-2</v>
      </c>
      <c r="I190" s="459">
        <f>SUM(I191:I199)</f>
        <v>15247813061.536537</v>
      </c>
      <c r="J190" s="515">
        <f>L190/D190</f>
        <v>0.93193108550893156</v>
      </c>
      <c r="K190" s="460">
        <f>SUM(K191:K199)</f>
        <v>1.1866540384420253E-2</v>
      </c>
      <c r="L190" s="461">
        <f>SUM(L191:L199)</f>
        <v>14209910978.07501</v>
      </c>
      <c r="M190" s="1191" t="s">
        <v>890</v>
      </c>
      <c r="N190" s="1192"/>
      <c r="O190" s="1193"/>
      <c r="P190" s="444"/>
    </row>
    <row r="191" spans="1:17" s="312" customFormat="1" ht="27" customHeight="1">
      <c r="A191" s="18">
        <v>184</v>
      </c>
      <c r="B191" s="301" t="s">
        <v>399</v>
      </c>
      <c r="C191" s="302" t="s">
        <v>530</v>
      </c>
      <c r="D191" s="303">
        <v>762390653.07682693</v>
      </c>
      <c r="E191" s="304">
        <f t="shared" ref="E191:E216" si="71">D191/$L$4</f>
        <v>6.3666405000000013E-4</v>
      </c>
      <c r="F191" s="305">
        <v>3</v>
      </c>
      <c r="G191" s="394">
        <v>1</v>
      </c>
      <c r="H191" s="387">
        <f t="shared" ref="H191:H199" si="72">G191*E191</f>
        <v>6.3666405000000013E-4</v>
      </c>
      <c r="I191" s="390">
        <f t="shared" ref="I191:I199" si="73">H191*$L$4</f>
        <v>762390653.07682693</v>
      </c>
      <c r="J191" s="516">
        <f>100%-161/2365.25</f>
        <v>0.93193108550893144</v>
      </c>
      <c r="K191" s="343">
        <f t="shared" ref="K191:K199" si="74">J191*E191</f>
        <v>5.9332701922101274E-4</v>
      </c>
      <c r="L191" s="308">
        <f>J191*D191</f>
        <v>710495548.90375054</v>
      </c>
      <c r="M191" s="1194"/>
      <c r="N191" s="1195"/>
      <c r="O191" s="1196"/>
      <c r="P191" s="311"/>
    </row>
    <row r="192" spans="1:17" s="312" customFormat="1" ht="27" customHeight="1">
      <c r="A192" s="18">
        <v>185</v>
      </c>
      <c r="B192" s="301" t="s">
        <v>400</v>
      </c>
      <c r="C192" s="302" t="s">
        <v>531</v>
      </c>
      <c r="D192" s="303">
        <v>1524781306.1536539</v>
      </c>
      <c r="E192" s="304">
        <f t="shared" si="71"/>
        <v>1.2733281000000003E-3</v>
      </c>
      <c r="F192" s="305">
        <v>3</v>
      </c>
      <c r="G192" s="394">
        <v>1</v>
      </c>
      <c r="H192" s="387">
        <f t="shared" si="72"/>
        <v>1.2733281000000003E-3</v>
      </c>
      <c r="I192" s="390">
        <f t="shared" si="73"/>
        <v>1524781306.1536539</v>
      </c>
      <c r="J192" s="516">
        <f t="shared" ref="J192:J199" si="75">100%-161/2365.25</f>
        <v>0.93193108550893144</v>
      </c>
      <c r="K192" s="343">
        <f t="shared" si="74"/>
        <v>1.1866540384420255E-3</v>
      </c>
      <c r="L192" s="308">
        <f t="shared" ref="L192:L199" si="76">J192*D192</f>
        <v>1420991097.8075011</v>
      </c>
      <c r="M192" s="1194"/>
      <c r="N192" s="1195"/>
      <c r="O192" s="1196"/>
      <c r="P192" s="311"/>
    </row>
    <row r="193" spans="1:16" s="312" customFormat="1" ht="27" customHeight="1">
      <c r="A193" s="18">
        <v>186</v>
      </c>
      <c r="B193" s="301" t="s">
        <v>401</v>
      </c>
      <c r="C193" s="302" t="s">
        <v>541</v>
      </c>
      <c r="D193" s="303">
        <v>1524781306.1536539</v>
      </c>
      <c r="E193" s="304">
        <f t="shared" si="71"/>
        <v>1.2733281000000003E-3</v>
      </c>
      <c r="F193" s="305">
        <v>3</v>
      </c>
      <c r="G193" s="394">
        <v>1</v>
      </c>
      <c r="H193" s="387">
        <f t="shared" si="72"/>
        <v>1.2733281000000003E-3</v>
      </c>
      <c r="I193" s="390">
        <f t="shared" si="73"/>
        <v>1524781306.1536539</v>
      </c>
      <c r="J193" s="516">
        <f t="shared" si="75"/>
        <v>0.93193108550893144</v>
      </c>
      <c r="K193" s="343">
        <f t="shared" si="74"/>
        <v>1.1866540384420255E-3</v>
      </c>
      <c r="L193" s="308">
        <f t="shared" si="76"/>
        <v>1420991097.8075011</v>
      </c>
      <c r="M193" s="1194"/>
      <c r="N193" s="1195"/>
      <c r="O193" s="1196"/>
      <c r="P193" s="311"/>
    </row>
    <row r="194" spans="1:16" s="312" customFormat="1" ht="27" customHeight="1">
      <c r="A194" s="18">
        <v>187</v>
      </c>
      <c r="B194" s="301" t="s">
        <v>402</v>
      </c>
      <c r="C194" s="302" t="s">
        <v>533</v>
      </c>
      <c r="D194" s="303">
        <v>3049562612.3073077</v>
      </c>
      <c r="E194" s="304">
        <f t="shared" si="71"/>
        <v>2.5466562000000005E-3</v>
      </c>
      <c r="F194" s="305">
        <v>14</v>
      </c>
      <c r="G194" s="394">
        <v>1</v>
      </c>
      <c r="H194" s="387">
        <f t="shared" si="72"/>
        <v>2.5466562000000005E-3</v>
      </c>
      <c r="I194" s="390">
        <f t="shared" si="73"/>
        <v>3049562612.3073077</v>
      </c>
      <c r="J194" s="516">
        <f t="shared" si="75"/>
        <v>0.93193108550893144</v>
      </c>
      <c r="K194" s="343">
        <f t="shared" si="74"/>
        <v>2.373308076884051E-3</v>
      </c>
      <c r="L194" s="308">
        <f t="shared" si="76"/>
        <v>2841982195.6150022</v>
      </c>
      <c r="M194" s="1194"/>
      <c r="N194" s="1195"/>
      <c r="O194" s="1196"/>
      <c r="P194" s="311"/>
    </row>
    <row r="195" spans="1:16" s="312" customFormat="1" ht="27" customHeight="1">
      <c r="A195" s="18">
        <v>188</v>
      </c>
      <c r="B195" s="301" t="s">
        <v>403</v>
      </c>
      <c r="C195" s="302" t="s">
        <v>534</v>
      </c>
      <c r="D195" s="303">
        <v>2287171959.2304802</v>
      </c>
      <c r="E195" s="304">
        <f t="shared" si="71"/>
        <v>1.9099921499999997E-3</v>
      </c>
      <c r="F195" s="305">
        <v>3</v>
      </c>
      <c r="G195" s="394">
        <v>1</v>
      </c>
      <c r="H195" s="387">
        <f t="shared" si="72"/>
        <v>1.9099921499999997E-3</v>
      </c>
      <c r="I195" s="390">
        <f t="shared" si="73"/>
        <v>2287171959.2304802</v>
      </c>
      <c r="J195" s="516">
        <f t="shared" si="75"/>
        <v>0.93193108550893144</v>
      </c>
      <c r="K195" s="343">
        <f t="shared" si="74"/>
        <v>1.7799810576630375E-3</v>
      </c>
      <c r="L195" s="308">
        <f t="shared" si="76"/>
        <v>2131486646.711251</v>
      </c>
      <c r="M195" s="1194"/>
      <c r="N195" s="1195"/>
      <c r="O195" s="1196"/>
      <c r="P195" s="311"/>
    </row>
    <row r="196" spans="1:16" s="312" customFormat="1" ht="27" customHeight="1">
      <c r="A196" s="18">
        <v>189</v>
      </c>
      <c r="B196" s="301" t="s">
        <v>404</v>
      </c>
      <c r="C196" s="302" t="s">
        <v>535</v>
      </c>
      <c r="D196" s="303">
        <v>1372303175.5382884</v>
      </c>
      <c r="E196" s="304">
        <f t="shared" si="71"/>
        <v>1.1459952900000001E-3</v>
      </c>
      <c r="F196" s="305">
        <v>14</v>
      </c>
      <c r="G196" s="394">
        <v>1</v>
      </c>
      <c r="H196" s="387">
        <f t="shared" si="72"/>
        <v>1.1459952900000001E-3</v>
      </c>
      <c r="I196" s="390">
        <f t="shared" si="73"/>
        <v>1372303175.5382884</v>
      </c>
      <c r="J196" s="516">
        <f t="shared" si="75"/>
        <v>0.93193108550893144</v>
      </c>
      <c r="K196" s="343">
        <f t="shared" si="74"/>
        <v>1.0679886345978228E-3</v>
      </c>
      <c r="L196" s="308">
        <f t="shared" si="76"/>
        <v>1278891988.0267508</v>
      </c>
      <c r="M196" s="1194"/>
      <c r="N196" s="1195"/>
      <c r="O196" s="1196"/>
      <c r="P196" s="311"/>
    </row>
    <row r="197" spans="1:16" s="312" customFormat="1" ht="27" customHeight="1">
      <c r="A197" s="18">
        <v>190</v>
      </c>
      <c r="B197" s="301" t="s">
        <v>405</v>
      </c>
      <c r="C197" s="302" t="s">
        <v>536</v>
      </c>
      <c r="D197" s="303">
        <v>914868783.6921922</v>
      </c>
      <c r="E197" s="304">
        <f t="shared" si="71"/>
        <v>7.6399686E-4</v>
      </c>
      <c r="F197" s="305">
        <v>3</v>
      </c>
      <c r="G197" s="394">
        <v>1</v>
      </c>
      <c r="H197" s="387">
        <f t="shared" si="72"/>
        <v>7.6399686E-4</v>
      </c>
      <c r="I197" s="390">
        <f t="shared" si="73"/>
        <v>914868783.6921922</v>
      </c>
      <c r="J197" s="516">
        <f t="shared" si="75"/>
        <v>0.93193108550893144</v>
      </c>
      <c r="K197" s="343">
        <f t="shared" si="74"/>
        <v>7.1199242306521518E-4</v>
      </c>
      <c r="L197" s="308">
        <f t="shared" si="76"/>
        <v>852594658.68450046</v>
      </c>
      <c r="M197" s="1194"/>
      <c r="N197" s="1195"/>
      <c r="O197" s="1196"/>
      <c r="P197" s="311"/>
    </row>
    <row r="198" spans="1:16" s="312" customFormat="1" ht="27" customHeight="1">
      <c r="A198" s="18">
        <v>191</v>
      </c>
      <c r="B198" s="301" t="s">
        <v>406</v>
      </c>
      <c r="C198" s="302" t="s">
        <v>765</v>
      </c>
      <c r="D198" s="303">
        <v>3049562612.3073077</v>
      </c>
      <c r="E198" s="304">
        <f t="shared" si="71"/>
        <v>2.5466562000000005E-3</v>
      </c>
      <c r="F198" s="305">
        <v>14</v>
      </c>
      <c r="G198" s="394">
        <v>1</v>
      </c>
      <c r="H198" s="387">
        <f t="shared" si="72"/>
        <v>2.5466562000000005E-3</v>
      </c>
      <c r="I198" s="390">
        <f t="shared" si="73"/>
        <v>3049562612.3073077</v>
      </c>
      <c r="J198" s="516">
        <f t="shared" si="75"/>
        <v>0.93193108550893144</v>
      </c>
      <c r="K198" s="343">
        <f t="shared" si="74"/>
        <v>2.373308076884051E-3</v>
      </c>
      <c r="L198" s="308">
        <f t="shared" si="76"/>
        <v>2841982195.6150022</v>
      </c>
      <c r="M198" s="1194"/>
      <c r="N198" s="1195"/>
      <c r="O198" s="1196"/>
      <c r="P198" s="311"/>
    </row>
    <row r="199" spans="1:16" s="312" customFormat="1" ht="27" customHeight="1">
      <c r="A199" s="18">
        <v>192</v>
      </c>
      <c r="B199" s="301" t="s">
        <v>686</v>
      </c>
      <c r="C199" s="302" t="s">
        <v>539</v>
      </c>
      <c r="D199" s="303">
        <v>762390653.07682693</v>
      </c>
      <c r="E199" s="304">
        <f t="shared" si="71"/>
        <v>6.3666405000000013E-4</v>
      </c>
      <c r="F199" s="305">
        <v>3</v>
      </c>
      <c r="G199" s="394">
        <v>1</v>
      </c>
      <c r="H199" s="387">
        <f t="shared" si="72"/>
        <v>6.3666405000000013E-4</v>
      </c>
      <c r="I199" s="390">
        <f t="shared" si="73"/>
        <v>762390653.07682693</v>
      </c>
      <c r="J199" s="516">
        <f t="shared" si="75"/>
        <v>0.93193108550893144</v>
      </c>
      <c r="K199" s="343">
        <f t="shared" si="74"/>
        <v>5.9332701922101274E-4</v>
      </c>
      <c r="L199" s="308">
        <f t="shared" si="76"/>
        <v>710495548.90375054</v>
      </c>
      <c r="M199" s="1197"/>
      <c r="N199" s="1198"/>
      <c r="O199" s="1199"/>
      <c r="P199" s="311"/>
    </row>
    <row r="200" spans="1:16" s="456" customFormat="1" ht="27" customHeight="1">
      <c r="A200" s="443">
        <v>193</v>
      </c>
      <c r="B200" s="444" t="s">
        <v>687</v>
      </c>
      <c r="C200" s="445" t="s">
        <v>565</v>
      </c>
      <c r="D200" s="446">
        <f>SUM(D201:D215)</f>
        <v>12475483413.98444</v>
      </c>
      <c r="E200" s="447">
        <f>SUM(E201:E215)</f>
        <v>1.0418138999999996E-2</v>
      </c>
      <c r="F200" s="448"/>
      <c r="G200" s="449"/>
      <c r="H200" s="458">
        <f>SUM(H201:H215)</f>
        <v>4.0318197929999997E-3</v>
      </c>
      <c r="I200" s="459">
        <f>SUM(I201:I215)</f>
        <v>4828012081.211977</v>
      </c>
      <c r="J200" s="515">
        <f>L200/D200</f>
        <v>8.5849032855383228E-2</v>
      </c>
      <c r="K200" s="460">
        <f>SUM(K201:K215)</f>
        <v>8.9438715730294927E-4</v>
      </c>
      <c r="L200" s="461">
        <f>SUM(L201:L215)</f>
        <v>1071008185.4939387</v>
      </c>
      <c r="M200" s="454"/>
      <c r="N200" s="454">
        <f>SUM(N201:N215)</f>
        <v>0</v>
      </c>
      <c r="O200" s="455">
        <f t="shared" si="70"/>
        <v>0</v>
      </c>
      <c r="P200" s="444"/>
    </row>
    <row r="201" spans="1:16" s="312" customFormat="1" ht="27" customHeight="1">
      <c r="A201" s="18">
        <v>194</v>
      </c>
      <c r="B201" s="301" t="s">
        <v>688</v>
      </c>
      <c r="C201" s="302" t="s">
        <v>545</v>
      </c>
      <c r="D201" s="303">
        <v>124754834.13984439</v>
      </c>
      <c r="E201" s="304">
        <f t="shared" si="71"/>
        <v>1.0418139E-4</v>
      </c>
      <c r="F201" s="305">
        <v>21</v>
      </c>
      <c r="G201" s="394">
        <v>1</v>
      </c>
      <c r="H201" s="387">
        <f t="shared" ref="H201:H215" si="77">G201*E201</f>
        <v>1.0418139E-4</v>
      </c>
      <c r="I201" s="390">
        <f t="shared" ref="I201:I215" si="78">H201*$L$4</f>
        <v>124754834.13984439</v>
      </c>
      <c r="J201" s="511">
        <f>1/3</f>
        <v>0.33333333333333331</v>
      </c>
      <c r="K201" s="343">
        <f t="shared" ref="K201:K215" si="79">J201*E201</f>
        <v>3.4727129999999997E-5</v>
      </c>
      <c r="L201" s="308">
        <f>J201*D201</f>
        <v>41584944.71328146</v>
      </c>
      <c r="M201" s="1191" t="s">
        <v>891</v>
      </c>
      <c r="N201" s="1192"/>
      <c r="O201" s="1193"/>
      <c r="P201" s="311"/>
    </row>
    <row r="202" spans="1:16" s="312" customFormat="1" ht="27" customHeight="1">
      <c r="A202" s="18">
        <v>195</v>
      </c>
      <c r="B202" s="301" t="s">
        <v>689</v>
      </c>
      <c r="C202" s="302" t="s">
        <v>605</v>
      </c>
      <c r="D202" s="303">
        <v>3081444403.2541561</v>
      </c>
      <c r="E202" s="304">
        <f t="shared" si="71"/>
        <v>2.5732803329999998E-3</v>
      </c>
      <c r="F202" s="305">
        <v>14</v>
      </c>
      <c r="G202" s="394">
        <v>1</v>
      </c>
      <c r="H202" s="387">
        <f t="shared" si="77"/>
        <v>2.5732803329999998E-3</v>
      </c>
      <c r="I202" s="390">
        <f t="shared" si="78"/>
        <v>3081444403.2541561</v>
      </c>
      <c r="J202" s="512">
        <f>1116/(1116+4316+1440)</f>
        <v>0.16239813736903377</v>
      </c>
      <c r="K202" s="343">
        <f t="shared" si="79"/>
        <v>4.1789593300756693E-4</v>
      </c>
      <c r="L202" s="308">
        <f t="shared" ref="L202:L215" si="80">J202*D202</f>
        <v>500420831.49470878</v>
      </c>
      <c r="M202" s="1194"/>
      <c r="N202" s="1195"/>
      <c r="O202" s="1196"/>
      <c r="P202" s="311"/>
    </row>
    <row r="203" spans="1:16" s="312" customFormat="1" ht="27" customHeight="1">
      <c r="A203" s="18">
        <v>196</v>
      </c>
      <c r="B203" s="301" t="s">
        <v>691</v>
      </c>
      <c r="C203" s="302" t="s">
        <v>606</v>
      </c>
      <c r="D203" s="303">
        <v>1172695440.9145372</v>
      </c>
      <c r="E203" s="304">
        <f t="shared" si="71"/>
        <v>9.7930506599999993E-4</v>
      </c>
      <c r="F203" s="305">
        <v>14</v>
      </c>
      <c r="G203" s="394">
        <v>1</v>
      </c>
      <c r="H203" s="387">
        <f t="shared" si="77"/>
        <v>9.7930506599999993E-4</v>
      </c>
      <c r="I203" s="390">
        <f t="shared" si="78"/>
        <v>1172695440.9145372</v>
      </c>
      <c r="J203" s="512">
        <f>J202</f>
        <v>0.16239813736903377</v>
      </c>
      <c r="K203" s="343">
        <f t="shared" si="79"/>
        <v>1.5903731863445866E-4</v>
      </c>
      <c r="L203" s="308">
        <f t="shared" si="80"/>
        <v>190443555.30567864</v>
      </c>
      <c r="M203" s="1194"/>
      <c r="N203" s="1195"/>
      <c r="O203" s="1196"/>
      <c r="P203" s="311"/>
    </row>
    <row r="204" spans="1:16" s="312" customFormat="1" ht="27" customHeight="1">
      <c r="A204" s="18">
        <v>197</v>
      </c>
      <c r="B204" s="301" t="s">
        <v>694</v>
      </c>
      <c r="C204" s="302" t="s">
        <v>751</v>
      </c>
      <c r="D204" s="303">
        <v>449117402.90343976</v>
      </c>
      <c r="E204" s="304">
        <f t="shared" si="71"/>
        <v>3.7505300399999996E-4</v>
      </c>
      <c r="F204" s="305">
        <v>23</v>
      </c>
      <c r="G204" s="394">
        <v>1</v>
      </c>
      <c r="H204" s="387">
        <f t="shared" si="77"/>
        <v>3.7505300399999996E-4</v>
      </c>
      <c r="I204" s="390">
        <f t="shared" si="78"/>
        <v>449117402.90343976</v>
      </c>
      <c r="J204" s="511">
        <f>(891+892)/(241.7+65+252.5+914.6+891.45)</f>
        <v>0.75383151886692734</v>
      </c>
      <c r="K204" s="343">
        <f t="shared" si="79"/>
        <v>2.8272677566092375E-4</v>
      </c>
      <c r="L204" s="308">
        <f t="shared" si="80"/>
        <v>338558853.98026973</v>
      </c>
      <c r="M204" s="1194"/>
      <c r="N204" s="1195"/>
      <c r="O204" s="1196"/>
      <c r="P204" s="311"/>
    </row>
    <row r="205" spans="1:16" s="312" customFormat="1" ht="27" customHeight="1">
      <c r="A205" s="18">
        <v>198</v>
      </c>
      <c r="B205" s="301" t="s">
        <v>695</v>
      </c>
      <c r="C205" s="302" t="s">
        <v>752</v>
      </c>
      <c r="D205" s="303">
        <v>548921270.21531522</v>
      </c>
      <c r="E205" s="304">
        <f t="shared" si="71"/>
        <v>4.5839811599999991E-4</v>
      </c>
      <c r="F205" s="305">
        <v>23</v>
      </c>
      <c r="G205" s="394">
        <v>0</v>
      </c>
      <c r="H205" s="387">
        <f t="shared" si="77"/>
        <v>0</v>
      </c>
      <c r="I205" s="390">
        <f t="shared" si="78"/>
        <v>0</v>
      </c>
      <c r="J205" s="512"/>
      <c r="K205" s="343">
        <f t="shared" si="79"/>
        <v>0</v>
      </c>
      <c r="L205" s="308">
        <f t="shared" si="80"/>
        <v>0</v>
      </c>
      <c r="M205" s="1194"/>
      <c r="N205" s="1195"/>
      <c r="O205" s="1196"/>
      <c r="P205" s="311"/>
    </row>
    <row r="206" spans="1:16" s="312" customFormat="1" ht="27" customHeight="1">
      <c r="A206" s="18">
        <v>199</v>
      </c>
      <c r="B206" s="301" t="s">
        <v>696</v>
      </c>
      <c r="C206" s="302" t="s">
        <v>753</v>
      </c>
      <c r="D206" s="303">
        <v>636249654.11320639</v>
      </c>
      <c r="E206" s="304">
        <f t="shared" si="71"/>
        <v>5.31325089E-4</v>
      </c>
      <c r="F206" s="305">
        <v>23</v>
      </c>
      <c r="G206" s="394">
        <v>0</v>
      </c>
      <c r="H206" s="387">
        <f t="shared" si="77"/>
        <v>0</v>
      </c>
      <c r="I206" s="390">
        <f t="shared" si="78"/>
        <v>0</v>
      </c>
      <c r="J206" s="414"/>
      <c r="K206" s="343">
        <f t="shared" si="79"/>
        <v>0</v>
      </c>
      <c r="L206" s="308">
        <f t="shared" si="80"/>
        <v>0</v>
      </c>
      <c r="M206" s="1194"/>
      <c r="N206" s="1195"/>
      <c r="O206" s="1196"/>
      <c r="P206" s="311"/>
    </row>
    <row r="207" spans="1:16" s="312" customFormat="1" ht="27" customHeight="1">
      <c r="A207" s="18">
        <v>200</v>
      </c>
      <c r="B207" s="301" t="s">
        <v>718</v>
      </c>
      <c r="C207" s="302" t="s">
        <v>754</v>
      </c>
      <c r="D207" s="303">
        <v>299411601.93562657</v>
      </c>
      <c r="E207" s="304">
        <f t="shared" si="71"/>
        <v>2.5003533600000003E-4</v>
      </c>
      <c r="F207" s="305">
        <v>23</v>
      </c>
      <c r="G207" s="394">
        <v>0</v>
      </c>
      <c r="H207" s="387">
        <f t="shared" si="77"/>
        <v>0</v>
      </c>
      <c r="I207" s="390">
        <f t="shared" si="78"/>
        <v>0</v>
      </c>
      <c r="J207" s="414"/>
      <c r="K207" s="343">
        <f t="shared" si="79"/>
        <v>0</v>
      </c>
      <c r="L207" s="308">
        <f t="shared" si="80"/>
        <v>0</v>
      </c>
      <c r="M207" s="1194"/>
      <c r="N207" s="1195"/>
      <c r="O207" s="1196"/>
      <c r="P207" s="311"/>
    </row>
    <row r="208" spans="1:16" s="312" customFormat="1" ht="27" customHeight="1">
      <c r="A208" s="18">
        <v>201</v>
      </c>
      <c r="B208" s="301" t="s">
        <v>719</v>
      </c>
      <c r="C208" s="302" t="s">
        <v>544</v>
      </c>
      <c r="D208" s="303">
        <v>2869361185.2164207</v>
      </c>
      <c r="E208" s="304">
        <f t="shared" si="71"/>
        <v>2.3961719699999999E-3</v>
      </c>
      <c r="F208" s="305">
        <v>23</v>
      </c>
      <c r="G208" s="394">
        <v>0</v>
      </c>
      <c r="H208" s="387">
        <f t="shared" si="77"/>
        <v>0</v>
      </c>
      <c r="I208" s="390">
        <f t="shared" si="78"/>
        <v>0</v>
      </c>
      <c r="J208" s="414"/>
      <c r="K208" s="343">
        <f t="shared" si="79"/>
        <v>0</v>
      </c>
      <c r="L208" s="308">
        <f t="shared" si="80"/>
        <v>0</v>
      </c>
      <c r="M208" s="1194"/>
      <c r="N208" s="1195"/>
      <c r="O208" s="1196"/>
      <c r="P208" s="311"/>
    </row>
    <row r="209" spans="1:17" s="312" customFormat="1" ht="27" customHeight="1">
      <c r="A209" s="18">
        <v>202</v>
      </c>
      <c r="B209" s="301" t="s">
        <v>720</v>
      </c>
      <c r="C209" s="302" t="s">
        <v>618</v>
      </c>
      <c r="D209" s="303">
        <v>274460635.10765761</v>
      </c>
      <c r="E209" s="304">
        <f t="shared" si="71"/>
        <v>2.2919905799999996E-4</v>
      </c>
      <c r="F209" s="305">
        <v>23</v>
      </c>
      <c r="G209" s="394">
        <v>0</v>
      </c>
      <c r="H209" s="387">
        <f t="shared" si="77"/>
        <v>0</v>
      </c>
      <c r="I209" s="390">
        <f t="shared" si="78"/>
        <v>0</v>
      </c>
      <c r="J209" s="414"/>
      <c r="K209" s="343">
        <f t="shared" si="79"/>
        <v>0</v>
      </c>
      <c r="L209" s="308">
        <f t="shared" si="80"/>
        <v>0</v>
      </c>
      <c r="M209" s="1194"/>
      <c r="N209" s="1195"/>
      <c r="O209" s="1196"/>
      <c r="P209" s="311"/>
    </row>
    <row r="210" spans="1:17" s="312" customFormat="1" ht="27" customHeight="1">
      <c r="A210" s="18">
        <v>203</v>
      </c>
      <c r="B210" s="301" t="s">
        <v>721</v>
      </c>
      <c r="C210" s="302" t="s">
        <v>557</v>
      </c>
      <c r="D210" s="303">
        <v>736053521.42508185</v>
      </c>
      <c r="E210" s="304">
        <f t="shared" si="71"/>
        <v>6.1467020099999995E-4</v>
      </c>
      <c r="F210" s="305">
        <v>23</v>
      </c>
      <c r="G210" s="394">
        <v>0</v>
      </c>
      <c r="H210" s="387">
        <f t="shared" si="77"/>
        <v>0</v>
      </c>
      <c r="I210" s="390">
        <f t="shared" si="78"/>
        <v>0</v>
      </c>
      <c r="J210" s="414"/>
      <c r="K210" s="343">
        <f t="shared" si="79"/>
        <v>0</v>
      </c>
      <c r="L210" s="308">
        <f t="shared" si="80"/>
        <v>0</v>
      </c>
      <c r="M210" s="1194"/>
      <c r="N210" s="1195"/>
      <c r="O210" s="1196"/>
      <c r="P210" s="311"/>
    </row>
    <row r="211" spans="1:17" s="312" customFormat="1" ht="27" customHeight="1">
      <c r="A211" s="18">
        <v>204</v>
      </c>
      <c r="B211" s="301" t="s">
        <v>722</v>
      </c>
      <c r="C211" s="302" t="s">
        <v>558</v>
      </c>
      <c r="D211" s="303">
        <v>736053521.42508185</v>
      </c>
      <c r="E211" s="304">
        <f t="shared" si="71"/>
        <v>6.1467020099999995E-4</v>
      </c>
      <c r="F211" s="305">
        <v>23</v>
      </c>
      <c r="G211" s="394">
        <v>0</v>
      </c>
      <c r="H211" s="387">
        <f t="shared" si="77"/>
        <v>0</v>
      </c>
      <c r="I211" s="390">
        <f t="shared" si="78"/>
        <v>0</v>
      </c>
      <c r="J211" s="414"/>
      <c r="K211" s="343">
        <f t="shared" si="79"/>
        <v>0</v>
      </c>
      <c r="L211" s="308">
        <f t="shared" si="80"/>
        <v>0</v>
      </c>
      <c r="M211" s="1194"/>
      <c r="N211" s="1195"/>
      <c r="O211" s="1196"/>
      <c r="P211" s="311"/>
    </row>
    <row r="212" spans="1:17" s="312" customFormat="1" ht="27" customHeight="1">
      <c r="A212" s="18">
        <v>205</v>
      </c>
      <c r="B212" s="301" t="s">
        <v>723</v>
      </c>
      <c r="C212" s="302" t="s">
        <v>559</v>
      </c>
      <c r="D212" s="303">
        <v>499019336.55937755</v>
      </c>
      <c r="E212" s="304">
        <f t="shared" si="71"/>
        <v>4.1672555999999999E-4</v>
      </c>
      <c r="F212" s="305">
        <v>23</v>
      </c>
      <c r="G212" s="394">
        <v>0</v>
      </c>
      <c r="H212" s="387">
        <f t="shared" si="77"/>
        <v>0</v>
      </c>
      <c r="I212" s="390">
        <f t="shared" si="78"/>
        <v>0</v>
      </c>
      <c r="J212" s="414"/>
      <c r="K212" s="343">
        <f t="shared" si="79"/>
        <v>0</v>
      </c>
      <c r="L212" s="308">
        <f t="shared" si="80"/>
        <v>0</v>
      </c>
      <c r="M212" s="1194"/>
      <c r="N212" s="1195"/>
      <c r="O212" s="1196"/>
      <c r="P212" s="311"/>
    </row>
    <row r="213" spans="1:17" s="312" customFormat="1" ht="27" customHeight="1">
      <c r="A213" s="18">
        <v>206</v>
      </c>
      <c r="B213" s="301" t="s">
        <v>724</v>
      </c>
      <c r="C213" s="302" t="s">
        <v>560</v>
      </c>
      <c r="D213" s="303">
        <v>499019336.55937755</v>
      </c>
      <c r="E213" s="304">
        <f t="shared" si="71"/>
        <v>4.1672555999999999E-4</v>
      </c>
      <c r="F213" s="305">
        <v>23</v>
      </c>
      <c r="G213" s="394">
        <v>0</v>
      </c>
      <c r="H213" s="387">
        <f t="shared" si="77"/>
        <v>0</v>
      </c>
      <c r="I213" s="390">
        <f t="shared" si="78"/>
        <v>0</v>
      </c>
      <c r="J213" s="414"/>
      <c r="K213" s="343">
        <f t="shared" si="79"/>
        <v>0</v>
      </c>
      <c r="L213" s="308">
        <f t="shared" si="80"/>
        <v>0</v>
      </c>
      <c r="M213" s="1194"/>
      <c r="N213" s="1195"/>
      <c r="O213" s="1196"/>
      <c r="P213" s="311"/>
    </row>
    <row r="214" spans="1:17" s="312" customFormat="1" ht="27" customHeight="1">
      <c r="A214" s="18">
        <v>207</v>
      </c>
      <c r="B214" s="301" t="s">
        <v>725</v>
      </c>
      <c r="C214" s="302" t="s">
        <v>561</v>
      </c>
      <c r="D214" s="303">
        <v>274460635.10765761</v>
      </c>
      <c r="E214" s="304">
        <f t="shared" si="71"/>
        <v>2.2919905799999996E-4</v>
      </c>
      <c r="F214" s="305">
        <v>23</v>
      </c>
      <c r="G214" s="394">
        <v>0</v>
      </c>
      <c r="H214" s="387">
        <f t="shared" si="77"/>
        <v>0</v>
      </c>
      <c r="I214" s="390">
        <f t="shared" si="78"/>
        <v>0</v>
      </c>
      <c r="J214" s="414"/>
      <c r="K214" s="343">
        <f t="shared" si="79"/>
        <v>0</v>
      </c>
      <c r="L214" s="308">
        <f t="shared" si="80"/>
        <v>0</v>
      </c>
      <c r="M214" s="1194"/>
      <c r="N214" s="1195"/>
      <c r="O214" s="1196"/>
      <c r="P214" s="311"/>
    </row>
    <row r="215" spans="1:17" s="312" customFormat="1" ht="27" customHeight="1">
      <c r="A215" s="18">
        <v>208</v>
      </c>
      <c r="B215" s="301" t="s">
        <v>726</v>
      </c>
      <c r="C215" s="302" t="s">
        <v>563</v>
      </c>
      <c r="D215" s="303">
        <v>274460635.10765761</v>
      </c>
      <c r="E215" s="304">
        <f t="shared" si="71"/>
        <v>2.2919905799999996E-4</v>
      </c>
      <c r="F215" s="305">
        <v>23</v>
      </c>
      <c r="G215" s="394">
        <v>0</v>
      </c>
      <c r="H215" s="387">
        <f t="shared" si="77"/>
        <v>0</v>
      </c>
      <c r="I215" s="390">
        <f t="shared" si="78"/>
        <v>0</v>
      </c>
      <c r="J215" s="414"/>
      <c r="K215" s="343">
        <f t="shared" si="79"/>
        <v>0</v>
      </c>
      <c r="L215" s="308">
        <f t="shared" si="80"/>
        <v>0</v>
      </c>
      <c r="M215" s="1197"/>
      <c r="N215" s="1198"/>
      <c r="O215" s="1199"/>
      <c r="P215" s="311"/>
    </row>
    <row r="216" spans="1:17" s="437" customFormat="1" ht="69.75" customHeight="1">
      <c r="A216" s="423">
        <v>209</v>
      </c>
      <c r="B216" s="424" t="s">
        <v>698</v>
      </c>
      <c r="C216" s="425" t="s">
        <v>568</v>
      </c>
      <c r="D216" s="426">
        <v>47477151532</v>
      </c>
      <c r="E216" s="477">
        <f t="shared" si="71"/>
        <v>3.9647647114819523E-2</v>
      </c>
      <c r="F216" s="478"/>
      <c r="G216" s="429">
        <v>0.6</v>
      </c>
      <c r="H216" s="430"/>
      <c r="I216" s="439">
        <f>G216*D216</f>
        <v>28486290919.200001</v>
      </c>
      <c r="J216" s="479"/>
      <c r="K216" s="432">
        <v>0</v>
      </c>
      <c r="L216" s="433">
        <f>K216*D216</f>
        <v>0</v>
      </c>
      <c r="M216" s="1180" t="s">
        <v>892</v>
      </c>
      <c r="N216" s="1180"/>
      <c r="O216" s="1180"/>
      <c r="P216" s="1180"/>
      <c r="Q216" s="480"/>
    </row>
    <row r="217" spans="1:17" ht="87" customHeight="1">
      <c r="E217" s="191"/>
      <c r="F217" s="191"/>
      <c r="G217" s="191"/>
      <c r="H217" s="191"/>
      <c r="I217" s="191"/>
      <c r="J217" s="191"/>
      <c r="M217" s="1181"/>
      <c r="N217" s="1181"/>
      <c r="O217" s="1181"/>
      <c r="P217" s="1181"/>
    </row>
    <row r="218" spans="1:17">
      <c r="D218" s="191">
        <f>D200+D170+D131+D101+D62+D32+'خدمات تامین'!D8</f>
        <v>653548181275.5542</v>
      </c>
      <c r="L218" s="191">
        <f>L200+L170+L131+L101+L62+L32+'خدمات تامین'!L8+فصل13ریل!J5+فصل13ریل!J4</f>
        <v>37074372166.197235</v>
      </c>
    </row>
    <row r="219" spans="1:17">
      <c r="L219" s="499">
        <f>L218/D218*100</f>
        <v>5.6727833124464988</v>
      </c>
    </row>
    <row r="220" spans="1:17">
      <c r="D220" s="500"/>
    </row>
    <row r="221" spans="1:17">
      <c r="B221" s="1178" t="s">
        <v>882</v>
      </c>
      <c r="C221" s="1178"/>
      <c r="D221" s="191">
        <f>D10+D52+D79+D121+D148+D190</f>
        <v>219889680669.11069</v>
      </c>
      <c r="E221" s="499">
        <f>D221/D224</f>
        <v>0.21670731599058171</v>
      </c>
      <c r="F221" s="1178">
        <f>(اختتامیه!$D$9+'سازمان دهی و برنامه ریزی پروژه'!$D$8)*E221+D221</f>
        <v>222484701263.86984</v>
      </c>
      <c r="G221" s="1178"/>
      <c r="H221" s="1178"/>
      <c r="I221" s="191"/>
      <c r="J221" s="1178" t="s">
        <v>879</v>
      </c>
      <c r="K221" s="1178"/>
      <c r="L221" s="191">
        <f>L10+L52+L79+L121+L148+L190</f>
        <v>217335819723.02765</v>
      </c>
      <c r="N221" s="1178">
        <f>(اختتامیه!$D$9+'سازمان دهی و برنامه ریزی پروژه'!D8)*E221+L221</f>
        <v>219930840317.7868</v>
      </c>
      <c r="O221" s="1178"/>
    </row>
    <row r="222" spans="1:17">
      <c r="B222" s="1178" t="s">
        <v>883</v>
      </c>
      <c r="C222" s="1178"/>
      <c r="D222" s="191">
        <f>D158+D89+D20</f>
        <v>141247219931.69998</v>
      </c>
      <c r="E222" s="499">
        <f>D222/D224</f>
        <v>0.13920301229865756</v>
      </c>
      <c r="F222" s="1178">
        <f>(اختتامیه!$D$9+'سازمان دهی و برنامه ریزی پروژه'!$D$8)*E222+D222</f>
        <v>142914144198.26801</v>
      </c>
      <c r="G222" s="1178"/>
      <c r="H222" s="1178"/>
      <c r="I222" s="191"/>
      <c r="J222" s="1178" t="s">
        <v>880</v>
      </c>
      <c r="K222" s="1178"/>
      <c r="L222" s="191">
        <f t="shared" ref="L222" si="81">L158+L89+L20</f>
        <v>118506417522.71597</v>
      </c>
      <c r="N222" s="1178">
        <f>(اختتامیه!$D$9+'سازمان دهی و برنامه ریزی پروژه'!D8)*E222+L222</f>
        <v>120173341789.28401</v>
      </c>
      <c r="O222" s="1178"/>
      <c r="P222" s="175">
        <f>N222+N221-L221-L222</f>
        <v>4261944861.327179</v>
      </c>
    </row>
    <row r="223" spans="1:17">
      <c r="B223" s="1178" t="s">
        <v>884</v>
      </c>
      <c r="C223" s="1178"/>
      <c r="D223" s="191">
        <f>D32+D62+D101+D131+D170+D200+'خدمات تامین'!D8</f>
        <v>653548181275.5542</v>
      </c>
      <c r="E223" s="499">
        <f>D223/D224</f>
        <v>0.6440896717107607</v>
      </c>
      <c r="F223" s="1178">
        <f>(اختتامیه!$D$9+'سازمان دهی و برنامه ریزی پروژه'!$D$8)*E223+D223</f>
        <v>661261007929.88696</v>
      </c>
      <c r="G223" s="1178"/>
      <c r="H223" s="1178"/>
      <c r="I223" s="191"/>
      <c r="J223" s="1178" t="s">
        <v>881</v>
      </c>
      <c r="K223" s="1178"/>
      <c r="L223" s="191">
        <f>L32+L62+L101+L131+L170+L200+'خدمات تامین'!L8</f>
        <v>37074372166.197235</v>
      </c>
      <c r="N223" s="1178">
        <f>('سازمان دهی و برنامه ریزی پروژه'!D8)*E223+L223</f>
        <v>40930785493.473137</v>
      </c>
      <c r="O223" s="1178"/>
      <c r="P223" s="175"/>
    </row>
    <row r="224" spans="1:17">
      <c r="D224" s="191">
        <f>SUBTOTAL(9,D221:D223)</f>
        <v>1014685081876.3649</v>
      </c>
      <c r="E224" s="499">
        <f>SUM(E221:E223)</f>
        <v>1</v>
      </c>
      <c r="F224" s="1178">
        <f>SUM(F221:H223)</f>
        <v>1026659853392.0248</v>
      </c>
      <c r="G224" s="1178"/>
      <c r="H224" s="1178"/>
      <c r="L224" s="191">
        <f>L223+L222+L221+'سازمان دهی و برنامه ریزی پروژه'!L8+اختتامیه!L9</f>
        <v>378903995169.94086</v>
      </c>
      <c r="N224" s="1178">
        <f>SUM(N221:O223)</f>
        <v>381034967600.54395</v>
      </c>
      <c r="O224" s="1178"/>
    </row>
    <row r="225" spans="4:16">
      <c r="E225" s="499"/>
      <c r="F225" s="1178"/>
      <c r="G225" s="1178"/>
      <c r="H225" s="1178"/>
      <c r="N225" s="1179">
        <f>N224/(D8+اختتامیه!D9+'سازمان دهی و برنامه ریزی پروژه'!D8)</f>
        <v>0.62123801447551286</v>
      </c>
      <c r="O225" s="1179"/>
      <c r="P225" s="1179"/>
    </row>
    <row r="226" spans="4:16">
      <c r="E226" s="499"/>
      <c r="F226" s="1178"/>
      <c r="G226" s="1178"/>
      <c r="H226" s="1178"/>
    </row>
    <row r="227" spans="4:16">
      <c r="E227" s="499"/>
      <c r="G227" s="499"/>
      <c r="O227" s="499"/>
    </row>
    <row r="228" spans="4:16">
      <c r="D228" s="187"/>
      <c r="G228" s="499"/>
    </row>
    <row r="229" spans="4:16">
      <c r="G229" s="505"/>
    </row>
  </sheetData>
  <autoFilter ref="C6:I219" xr:uid="{00000000-0009-0000-0000-00000E000000}">
    <filterColumn colId="4" showButton="0"/>
    <filterColumn colId="5" showButton="0"/>
  </autoFilter>
  <mergeCells count="47">
    <mergeCell ref="J221:K221"/>
    <mergeCell ref="J222:K222"/>
    <mergeCell ref="J223:K223"/>
    <mergeCell ref="A6:A7"/>
    <mergeCell ref="B6:B7"/>
    <mergeCell ref="C6:C7"/>
    <mergeCell ref="D6:D7"/>
    <mergeCell ref="E6:E7"/>
    <mergeCell ref="F6:F7"/>
    <mergeCell ref="G6:I6"/>
    <mergeCell ref="J6:L6"/>
    <mergeCell ref="J1:K2"/>
    <mergeCell ref="L1:P2"/>
    <mergeCell ref="J3:K3"/>
    <mergeCell ref="L3:P3"/>
    <mergeCell ref="E4:H4"/>
    <mergeCell ref="J4:K5"/>
    <mergeCell ref="L4:N5"/>
    <mergeCell ref="E5:H5"/>
    <mergeCell ref="P6:P7"/>
    <mergeCell ref="M102:O119"/>
    <mergeCell ref="M132:O146"/>
    <mergeCell ref="M159:O169"/>
    <mergeCell ref="M171:O188"/>
    <mergeCell ref="M21:O31"/>
    <mergeCell ref="M6:O6"/>
    <mergeCell ref="M122:O130"/>
    <mergeCell ref="N225:P225"/>
    <mergeCell ref="M216:P217"/>
    <mergeCell ref="M33:O50"/>
    <mergeCell ref="M63:O77"/>
    <mergeCell ref="M90:O100"/>
    <mergeCell ref="M201:O215"/>
    <mergeCell ref="N224:O224"/>
    <mergeCell ref="N221:O221"/>
    <mergeCell ref="N222:O222"/>
    <mergeCell ref="N223:O223"/>
    <mergeCell ref="M190:O199"/>
    <mergeCell ref="F225:H225"/>
    <mergeCell ref="F226:H226"/>
    <mergeCell ref="B221:C221"/>
    <mergeCell ref="B222:C222"/>
    <mergeCell ref="B223:C223"/>
    <mergeCell ref="F224:H224"/>
    <mergeCell ref="F221:H221"/>
    <mergeCell ref="F222:H222"/>
    <mergeCell ref="F223:H223"/>
  </mergeCells>
  <printOptions horizontalCentered="1"/>
  <pageMargins left="0.39370078740157499" right="0.39370078740157499" top="0.59055118110236204" bottom="0.93" header="0" footer="0.2"/>
  <pageSetup paperSize="9" scale="56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rowBreaks count="7" manualBreakCount="7">
    <brk id="25" max="16383" man="1"/>
    <brk id="44" max="16383" man="1"/>
    <brk id="77" max="16383" man="1"/>
    <brk id="96" max="16383" man="1"/>
    <brk id="119" max="15" man="1"/>
    <brk id="135" max="16383" man="1"/>
    <brk id="188" max="1638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K14"/>
  <sheetViews>
    <sheetView rightToLeft="1" view="pageBreakPreview" zoomScale="70" zoomScaleNormal="100" zoomScaleSheetLayoutView="70" workbookViewId="0">
      <selection activeCell="J10" sqref="J10"/>
    </sheetView>
  </sheetViews>
  <sheetFormatPr defaultColWidth="9" defaultRowHeight="16.899999999999999"/>
  <cols>
    <col min="1" max="1" width="4" style="1" bestFit="1" customWidth="1"/>
    <col min="2" max="2" width="7.875" style="1" customWidth="1"/>
    <col min="3" max="3" width="36.125" style="1" customWidth="1"/>
    <col min="4" max="4" width="18.6875" style="1" customWidth="1"/>
    <col min="5" max="7" width="9.6875" style="1" customWidth="1"/>
    <col min="8" max="8" width="8.875" style="1" bestFit="1" customWidth="1"/>
    <col min="9" max="9" width="18.6875" style="1" customWidth="1"/>
    <col min="10" max="10" width="9.6875" style="1" customWidth="1"/>
    <col min="11" max="11" width="8.3125" style="1" customWidth="1"/>
    <col min="12" max="12" width="18.4375" style="1" customWidth="1"/>
    <col min="13" max="13" width="9.6875" style="1" customWidth="1"/>
    <col min="14" max="14" width="8.3125" style="1" customWidth="1"/>
    <col min="15" max="15" width="17.6875" style="1" customWidth="1"/>
    <col min="16" max="16" width="8.3125" style="1" customWidth="1"/>
    <col min="17" max="17" width="9" style="1"/>
    <col min="18" max="18" width="17.5625" style="1" bestFit="1" customWidth="1"/>
    <col min="19" max="31" width="9" style="1"/>
    <col min="32" max="32" width="19.4375" style="1" bestFit="1" customWidth="1"/>
    <col min="33" max="16384" width="9" style="1"/>
  </cols>
  <sheetData>
    <row r="1" spans="1:37" ht="20.100000000000001" customHeight="1">
      <c r="A1" s="27"/>
      <c r="B1" s="27"/>
      <c r="C1" s="27"/>
      <c r="D1" s="135" t="s">
        <v>13</v>
      </c>
      <c r="E1" s="137" t="s">
        <v>435</v>
      </c>
      <c r="F1" s="172"/>
      <c r="G1" s="173"/>
      <c r="H1" s="173"/>
      <c r="I1" s="131"/>
      <c r="J1" s="1079" t="s">
        <v>8</v>
      </c>
      <c r="K1" s="1079"/>
      <c r="L1" s="999" t="s">
        <v>439</v>
      </c>
      <c r="M1" s="999"/>
      <c r="N1" s="999"/>
      <c r="O1" s="999"/>
      <c r="P1" s="999"/>
    </row>
    <row r="2" spans="1:37" ht="20.100000000000001" customHeight="1">
      <c r="A2" s="27"/>
      <c r="B2" s="27"/>
      <c r="C2" s="27"/>
      <c r="D2" s="135" t="s">
        <v>14</v>
      </c>
      <c r="E2" s="137" t="s">
        <v>17</v>
      </c>
      <c r="F2" s="172"/>
      <c r="G2" s="173"/>
      <c r="H2" s="173"/>
      <c r="I2" s="131"/>
      <c r="J2" s="1079"/>
      <c r="K2" s="1079"/>
      <c r="L2" s="999"/>
      <c r="M2" s="999"/>
      <c r="N2" s="999"/>
      <c r="O2" s="999"/>
      <c r="P2" s="999"/>
    </row>
    <row r="3" spans="1:37" ht="39.950000000000003" customHeight="1">
      <c r="A3" s="27"/>
      <c r="B3" s="27"/>
      <c r="C3" s="27"/>
      <c r="D3" s="135" t="s">
        <v>195</v>
      </c>
      <c r="E3" s="137" t="s">
        <v>443</v>
      </c>
      <c r="F3" s="172"/>
      <c r="G3" s="173"/>
      <c r="H3" s="173"/>
      <c r="I3" s="132"/>
      <c r="J3" s="1079" t="s">
        <v>498</v>
      </c>
      <c r="K3" s="1079"/>
      <c r="L3" s="1126" t="s">
        <v>442</v>
      </c>
      <c r="M3" s="1126"/>
      <c r="N3" s="1126"/>
      <c r="O3" s="1126"/>
      <c r="P3" s="1126"/>
    </row>
    <row r="4" spans="1:37" ht="24.95" customHeight="1">
      <c r="A4" s="27"/>
      <c r="B4" s="27"/>
      <c r="C4" s="27"/>
      <c r="D4" s="135" t="s">
        <v>437</v>
      </c>
      <c r="E4" s="1106" t="s">
        <v>850</v>
      </c>
      <c r="F4" s="1106"/>
      <c r="G4" s="1106"/>
      <c r="H4" s="1106"/>
      <c r="I4" s="154"/>
      <c r="J4" s="1079" t="s">
        <v>440</v>
      </c>
      <c r="K4" s="1079"/>
      <c r="L4" s="1127">
        <f>'خلاصه مالي صورت وضعیت'!G4:G5</f>
        <v>1197477151532</v>
      </c>
      <c r="M4" s="1127"/>
      <c r="N4" s="1127"/>
      <c r="O4" s="153"/>
      <c r="P4" s="153"/>
    </row>
    <row r="5" spans="1:37" ht="24.95" customHeight="1">
      <c r="A5" s="155"/>
      <c r="B5" s="155"/>
      <c r="C5" s="155"/>
      <c r="D5" s="141" t="s">
        <v>438</v>
      </c>
      <c r="E5" s="1107" t="str">
        <f>'خلاصه مالي صورت وضعیت'!E5</f>
        <v>1403/06/10</v>
      </c>
      <c r="F5" s="1107"/>
      <c r="G5" s="1107"/>
      <c r="H5" s="1107"/>
      <c r="I5" s="157"/>
      <c r="J5" s="1080"/>
      <c r="K5" s="1080"/>
      <c r="L5" s="1128"/>
      <c r="M5" s="1128"/>
      <c r="N5" s="1128"/>
      <c r="O5" s="158"/>
      <c r="P5" s="158"/>
    </row>
    <row r="6" spans="1:37" ht="18.75" customHeight="1">
      <c r="A6" s="1009" t="s">
        <v>0</v>
      </c>
      <c r="B6" s="1073" t="s">
        <v>1</v>
      </c>
      <c r="C6" s="1084" t="s">
        <v>470</v>
      </c>
      <c r="D6" s="1129" t="s">
        <v>2</v>
      </c>
      <c r="E6" s="1074" t="s">
        <v>497</v>
      </c>
      <c r="F6" s="1074" t="s">
        <v>205</v>
      </c>
      <c r="G6" s="1075" t="s">
        <v>3</v>
      </c>
      <c r="H6" s="1075"/>
      <c r="I6" s="1075"/>
      <c r="J6" s="1076" t="s">
        <v>464</v>
      </c>
      <c r="K6" s="1076"/>
      <c r="L6" s="1076"/>
      <c r="M6" s="1071" t="s">
        <v>5</v>
      </c>
      <c r="N6" s="1071"/>
      <c r="O6" s="1071"/>
      <c r="P6" s="1072" t="s">
        <v>193</v>
      </c>
    </row>
    <row r="7" spans="1:37" ht="79.5">
      <c r="A7" s="1009"/>
      <c r="B7" s="1073"/>
      <c r="C7" s="1085"/>
      <c r="D7" s="1129"/>
      <c r="E7" s="1074"/>
      <c r="F7" s="1074"/>
      <c r="G7" s="150" t="s">
        <v>203</v>
      </c>
      <c r="H7" s="150" t="s">
        <v>33</v>
      </c>
      <c r="I7" s="180" t="s">
        <v>34</v>
      </c>
      <c r="J7" s="151" t="s">
        <v>204</v>
      </c>
      <c r="K7" s="151" t="s">
        <v>33</v>
      </c>
      <c r="L7" s="182" t="s">
        <v>34</v>
      </c>
      <c r="M7" s="152" t="s">
        <v>204</v>
      </c>
      <c r="N7" s="152" t="s">
        <v>33</v>
      </c>
      <c r="O7" s="186" t="s">
        <v>34</v>
      </c>
      <c r="P7" s="1072"/>
    </row>
    <row r="8" spans="1:37" s="142" customFormat="1" ht="50.1" customHeight="1">
      <c r="A8" s="162">
        <v>1</v>
      </c>
      <c r="B8" s="128">
        <v>1.7</v>
      </c>
      <c r="C8" s="260" t="s">
        <v>164</v>
      </c>
      <c r="D8" s="147">
        <f>SUM(D9:D11)</f>
        <v>14369725818.384001</v>
      </c>
      <c r="E8" s="259">
        <f>SUM(E9:E11)</f>
        <v>1.2E-2</v>
      </c>
      <c r="F8" s="192"/>
      <c r="G8" s="257">
        <f>I8/D8</f>
        <v>0</v>
      </c>
      <c r="H8" s="296">
        <f t="shared" ref="H8:H11" si="0">G8*E8</f>
        <v>0</v>
      </c>
      <c r="I8" s="262">
        <f>I9+I10+I11</f>
        <v>0</v>
      </c>
      <c r="J8" s="258">
        <f>L8/D8</f>
        <v>0</v>
      </c>
      <c r="K8" s="351">
        <f>SUM(K9:K11)</f>
        <v>0</v>
      </c>
      <c r="L8" s="348">
        <f>SUM(L9:L11)</f>
        <v>0</v>
      </c>
      <c r="M8" s="194"/>
      <c r="N8" s="195"/>
      <c r="O8" s="149"/>
      <c r="P8" s="159"/>
      <c r="R8" s="188">
        <f>D8+'تجهیز کارگاه مستمر'!D8+'تجهیز کارگاه اولیه'!D8+'بیمه نامه ها'!D8+'سازمان دهی و برنامه ریزی پروژه'!D8</f>
        <v>75441060546.576004</v>
      </c>
      <c r="S8" s="188">
        <f>E8+'تجهیز کارگاه مستمر'!E8+'تجهیز کارگاه اولیه'!E8+'بیمه نامه ها'!E8+'سازمان دهی و برنامه ریزی پروژه'!E8</f>
        <v>6.3000000000050099E-2</v>
      </c>
      <c r="T8" s="188">
        <f>F8+'تجهیز کارگاه مستمر'!F8+'تجهیز کارگاه اولیه'!F8+'بیمه نامه ها'!F8+'سازمان دهی و برنامه ریزی پروژه'!F8</f>
        <v>0</v>
      </c>
      <c r="U8" s="188">
        <f>G8+'تجهیز کارگاه مستمر'!G8+'تجهیز کارگاه اولیه'!G8+'بیمه نامه ها'!G8+'سازمان دهی و برنامه ریزی پروژه'!G8</f>
        <v>0</v>
      </c>
      <c r="V8" s="188">
        <f>H8+'تجهیز کارگاه مستمر'!H8+'تجهیز کارگاه اولیه'!H8+'بیمه نامه ها'!H8+'سازمان دهی و برنامه ریزی پروژه'!H8</f>
        <v>5.0994000000050103E-2</v>
      </c>
      <c r="W8" s="188">
        <f>I8+'تجهیز کارگاه مستمر'!I8+'تجهیز کارگاه اولیه'!I8+'بیمه نامه ها'!I8+'سازمان دهی و برنامه ریزی پروژه'!I8</f>
        <v>61064149865.282799</v>
      </c>
      <c r="X8" s="188">
        <f>J8+'تجهیز کارگاه مستمر'!J8+'تجهیز کارگاه اولیه'!J8+'بیمه نامه ها'!J8+'سازمان دهی و برنامه ریزی پروژه'!J8</f>
        <v>3.0450833333820091</v>
      </c>
      <c r="Y8" s="188">
        <f>K8+'تجهیز کارگاه مستمر'!K8+'تجهیز کارگاه اولیه'!K8+'بیمه نامه ها'!K8+'سازمان دهی و برنامه ریزی پروژه'!K8</f>
        <v>3.3956500000466509E-2</v>
      </c>
      <c r="Z8" s="188">
        <f>L8+'تجهیز کارگاه مستمر'!L8+'تجهیز کارگاه اولیه'!L8+'بیمه نامه ها'!L8+'سازمان دهی و برنامه ریزی پروژه'!L8</f>
        <v>40662132896.555</v>
      </c>
      <c r="AA8" s="188">
        <f>M8+'تجهیز کارگاه مستمر'!M8+'تجهیز کارگاه اولیه'!M8+'بیمه نامه ها'!M8+'سازمان دهی و برنامه ریزی پروژه'!M8</f>
        <v>0</v>
      </c>
      <c r="AB8" s="188">
        <f>N8+'تجهیز کارگاه مستمر'!N8+'تجهیز کارگاه اولیه'!N8+'بیمه نامه ها'!N8+'سازمان دهی و برنامه ریزی پروژه'!N8</f>
        <v>0</v>
      </c>
      <c r="AC8" s="188">
        <f>O8+'تجهیز کارگاه مستمر'!O8+'تجهیز کارگاه اولیه'!O8+'بیمه نامه ها'!O8+'سازمان دهی و برنامه ریزی پروژه'!O8</f>
        <v>0</v>
      </c>
      <c r="AD8" s="188">
        <f>P8+'تجهیز کارگاه مستمر'!P8+'تجهیز کارگاه اولیه'!P8+'بیمه نامه ها'!P8+'سازمان دهی و برنامه ریزی پروژه'!P8</f>
        <v>0</v>
      </c>
      <c r="AE8" s="188">
        <f>Q8+'تجهیز کارگاه مستمر'!Q8+'تجهیز کارگاه اولیه'!Q8+'بیمه نامه ها'!Q8+'سازمان دهی و برنامه ریزی پروژه'!Q8</f>
        <v>0</v>
      </c>
      <c r="AF8" s="188"/>
      <c r="AG8" s="188"/>
      <c r="AH8" s="188"/>
      <c r="AI8" s="188"/>
      <c r="AJ8" s="188"/>
      <c r="AK8" s="188"/>
    </row>
    <row r="9" spans="1:37" s="160" customFormat="1" ht="50.1" customHeight="1">
      <c r="A9" s="162">
        <v>2</v>
      </c>
      <c r="B9" s="127" t="s">
        <v>165</v>
      </c>
      <c r="C9" s="261" t="s">
        <v>166</v>
      </c>
      <c r="D9" s="163">
        <f>E9*$L$4</f>
        <v>5987385757.6599998</v>
      </c>
      <c r="E9" s="196">
        <v>5.0000000000000001E-3</v>
      </c>
      <c r="F9" s="193"/>
      <c r="G9" s="398">
        <v>0</v>
      </c>
      <c r="H9" s="297">
        <f t="shared" si="0"/>
        <v>0</v>
      </c>
      <c r="I9" s="263">
        <f t="shared" ref="I9:I11" si="1">H9*$L$4</f>
        <v>0</v>
      </c>
      <c r="J9" s="506">
        <v>0</v>
      </c>
      <c r="K9" s="349">
        <f>J9*E9</f>
        <v>0</v>
      </c>
      <c r="L9" s="350">
        <f>J9*D9</f>
        <v>0</v>
      </c>
      <c r="M9" s="194"/>
      <c r="N9" s="195"/>
      <c r="O9" s="149"/>
      <c r="P9" s="164"/>
      <c r="R9" s="160">
        <f>Z8/R8</f>
        <v>0.53899206349903983</v>
      </c>
    </row>
    <row r="10" spans="1:37" s="160" customFormat="1" ht="50.1" customHeight="1">
      <c r="A10" s="162">
        <v>3</v>
      </c>
      <c r="B10" s="127" t="s">
        <v>167</v>
      </c>
      <c r="C10" s="261" t="s">
        <v>168</v>
      </c>
      <c r="D10" s="163">
        <f>E10*$L$4</f>
        <v>3592431454.5960002</v>
      </c>
      <c r="E10" s="196">
        <v>3.0000000000000001E-3</v>
      </c>
      <c r="F10" s="193"/>
      <c r="G10" s="398">
        <v>0</v>
      </c>
      <c r="H10" s="298">
        <f t="shared" si="0"/>
        <v>0</v>
      </c>
      <c r="I10" s="264">
        <f t="shared" si="1"/>
        <v>0</v>
      </c>
      <c r="J10" s="507">
        <v>0</v>
      </c>
      <c r="K10" s="349">
        <f t="shared" ref="K10:K11" si="2">J10*E10</f>
        <v>0</v>
      </c>
      <c r="L10" s="350">
        <f t="shared" ref="L10:L11" si="3">J10*D10</f>
        <v>0</v>
      </c>
      <c r="M10" s="194"/>
      <c r="N10" s="195"/>
      <c r="O10" s="149"/>
      <c r="P10" s="164"/>
    </row>
    <row r="11" spans="1:37" s="160" customFormat="1" ht="50.1" customHeight="1">
      <c r="A11" s="162">
        <v>4</v>
      </c>
      <c r="B11" s="127" t="s">
        <v>169</v>
      </c>
      <c r="C11" s="261" t="s">
        <v>170</v>
      </c>
      <c r="D11" s="163">
        <f>E11*$L$4</f>
        <v>4789908606.1280003</v>
      </c>
      <c r="E11" s="196">
        <v>4.0000000000000001E-3</v>
      </c>
      <c r="F11" s="193"/>
      <c r="G11" s="398">
        <v>0</v>
      </c>
      <c r="H11" s="298">
        <f t="shared" si="0"/>
        <v>0</v>
      </c>
      <c r="I11" s="264">
        <f t="shared" si="1"/>
        <v>0</v>
      </c>
      <c r="J11" s="507">
        <f>J9</f>
        <v>0</v>
      </c>
      <c r="K11" s="349">
        <f t="shared" si="2"/>
        <v>0</v>
      </c>
      <c r="L11" s="350">
        <f t="shared" si="3"/>
        <v>0</v>
      </c>
      <c r="M11" s="194"/>
      <c r="N11" s="195"/>
      <c r="O11" s="149"/>
      <c r="P11" s="164"/>
    </row>
    <row r="14" spans="1:37"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</sheetData>
  <mergeCells count="18">
    <mergeCell ref="L1:P2"/>
    <mergeCell ref="L3:P3"/>
    <mergeCell ref="L4:N5"/>
    <mergeCell ref="F6:F7"/>
    <mergeCell ref="G6:I6"/>
    <mergeCell ref="P6:P7"/>
    <mergeCell ref="J6:L6"/>
    <mergeCell ref="M6:O6"/>
    <mergeCell ref="E4:H4"/>
    <mergeCell ref="E5:H5"/>
    <mergeCell ref="J1:K2"/>
    <mergeCell ref="J3:K3"/>
    <mergeCell ref="J4:K5"/>
    <mergeCell ref="A6:A7"/>
    <mergeCell ref="B6:B7"/>
    <mergeCell ref="C6:C7"/>
    <mergeCell ref="D6:D7"/>
    <mergeCell ref="E6:E7"/>
  </mergeCells>
  <printOptions horizontalCentered="1"/>
  <pageMargins left="0.39370078740157483" right="0.39370078740157483" top="0.59055118110236227" bottom="0.98425196850393704" header="0" footer="0.39370078740157483"/>
  <pageSetup paperSize="9" scale="60" orientation="landscape" r:id="rId1"/>
  <headerFooter scaleWithDoc="0">
    <oddFooter xml:space="preserve">&amp;L&amp;"B Nazanin,Bold"&amp;10مهر و امضا کارفرما
راه‏آهن جمهوری اسلامی ایران
&amp;C&amp;"B Nazanin,Bold"&amp;10مهر و امضا مشاور زیر بنایی
مهندسین مشاور صحن بوستان
صفحه &amp;P از &amp;N&amp;R&amp;"B Nazanin,Bold"&amp;10مهر و امضا گروه مشارکت
تکنیک-پل‏رود-کنکاوان
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399FF"/>
  </sheetPr>
  <dimension ref="A2:J9"/>
  <sheetViews>
    <sheetView rightToLeft="1" workbookViewId="0">
      <selection activeCell="J9" sqref="J7:J9"/>
    </sheetView>
  </sheetViews>
  <sheetFormatPr defaultRowHeight="13.5"/>
  <cols>
    <col min="2" max="2" width="36.125" customWidth="1"/>
    <col min="4" max="5" width="11.6875" customWidth="1"/>
    <col min="6" max="6" width="21.125" bestFit="1" customWidth="1"/>
    <col min="10" max="10" width="18.5625" customWidth="1"/>
  </cols>
  <sheetData>
    <row r="2" spans="1:10" ht="19.5" customHeight="1">
      <c r="A2" s="1210" t="s">
        <v>867</v>
      </c>
      <c r="B2" s="1210" t="s">
        <v>872</v>
      </c>
      <c r="C2" s="1210" t="s">
        <v>873</v>
      </c>
      <c r="D2" s="1205" t="s">
        <v>862</v>
      </c>
      <c r="E2" s="1205" t="s">
        <v>863</v>
      </c>
      <c r="F2" s="1205" t="s">
        <v>864</v>
      </c>
      <c r="G2" s="1212" t="s">
        <v>857</v>
      </c>
      <c r="H2" s="1213" t="s">
        <v>858</v>
      </c>
      <c r="I2" s="1213" t="s">
        <v>859</v>
      </c>
      <c r="J2" s="1205" t="s">
        <v>860</v>
      </c>
    </row>
    <row r="3" spans="1:10" ht="19.5" customHeight="1">
      <c r="A3" s="1211"/>
      <c r="B3" s="1211"/>
      <c r="C3" s="1211"/>
      <c r="D3" s="1206"/>
      <c r="E3" s="1206"/>
      <c r="F3" s="1206"/>
      <c r="G3" s="1212"/>
      <c r="H3" s="1214"/>
      <c r="I3" s="1214"/>
      <c r="J3" s="1206"/>
    </row>
    <row r="4" spans="1:10" ht="29.25" customHeight="1">
      <c r="A4" s="489" t="s">
        <v>865</v>
      </c>
      <c r="B4" s="485" t="s">
        <v>868</v>
      </c>
      <c r="C4" s="485" t="s">
        <v>869</v>
      </c>
      <c r="D4" s="486">
        <f>950.36*150</f>
        <v>142554</v>
      </c>
      <c r="E4" s="486">
        <v>536</v>
      </c>
      <c r="F4" s="490">
        <f>E4*D4</f>
        <v>76408944</v>
      </c>
      <c r="G4" s="482">
        <v>1.3</v>
      </c>
      <c r="H4" s="482">
        <v>1.0637000000000001</v>
      </c>
      <c r="I4" s="482">
        <v>1.0976999999999999</v>
      </c>
      <c r="J4" s="490"/>
    </row>
    <row r="5" spans="1:10" ht="49.5" customHeight="1">
      <c r="A5" s="489" t="s">
        <v>866</v>
      </c>
      <c r="B5" s="488" t="s">
        <v>870</v>
      </c>
      <c r="C5" s="484" t="s">
        <v>871</v>
      </c>
      <c r="D5" s="491">
        <f>-950.36</f>
        <v>-950.36</v>
      </c>
      <c r="E5" s="487">
        <v>27160000</v>
      </c>
      <c r="F5" s="487">
        <f>E5*D5</f>
        <v>-25811777600</v>
      </c>
      <c r="G5" s="483">
        <v>1.1399999999999999</v>
      </c>
      <c r="H5" s="483">
        <v>1.0637000000000001</v>
      </c>
      <c r="I5" s="483">
        <v>1.0976999999999999</v>
      </c>
      <c r="J5" s="492"/>
    </row>
    <row r="6" spans="1:10" ht="21.4">
      <c r="A6" s="1207" t="s">
        <v>861</v>
      </c>
      <c r="B6" s="1208"/>
      <c r="C6" s="1208"/>
      <c r="D6" s="1208"/>
      <c r="E6" s="1208"/>
      <c r="F6" s="1208"/>
      <c r="G6" s="1208"/>
      <c r="H6" s="1208"/>
      <c r="I6" s="1209"/>
      <c r="J6" s="485">
        <f>SUM(J4:J5)</f>
        <v>0</v>
      </c>
    </row>
    <row r="8" spans="1:10">
      <c r="J8" s="508"/>
    </row>
    <row r="9" spans="1:10">
      <c r="J9" s="508"/>
    </row>
  </sheetData>
  <mergeCells count="11">
    <mergeCell ref="J2:J3"/>
    <mergeCell ref="A6:I6"/>
    <mergeCell ref="C2:C3"/>
    <mergeCell ref="D2:D3"/>
    <mergeCell ref="E2:E3"/>
    <mergeCell ref="F2:F3"/>
    <mergeCell ref="A2:A3"/>
    <mergeCell ref="B2:B3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33"/>
  <sheetViews>
    <sheetView rightToLeft="1" view="pageBreakPreview" topLeftCell="A15" zoomScale="85" zoomScaleNormal="100" zoomScaleSheetLayoutView="85" workbookViewId="0">
      <selection activeCell="F21" sqref="F21:F24"/>
    </sheetView>
  </sheetViews>
  <sheetFormatPr defaultColWidth="9" defaultRowHeight="16.899999999999999"/>
  <cols>
    <col min="1" max="1" width="6.875" style="134" customWidth="1"/>
    <col min="2" max="2" width="8.125" style="1" customWidth="1"/>
    <col min="3" max="3" width="64.3125" style="1" customWidth="1"/>
    <col min="4" max="4" width="10.875" style="1" customWidth="1"/>
    <col min="5" max="5" width="28.6875" style="1" customWidth="1"/>
    <col min="6" max="6" width="24.6875" style="1" customWidth="1"/>
    <col min="7" max="7" width="27.4375" style="1" customWidth="1"/>
    <col min="8" max="8" width="16.3125" style="1" bestFit="1" customWidth="1"/>
    <col min="9" max="16384" width="9" style="1"/>
  </cols>
  <sheetData>
    <row r="1" spans="1:7" s="200" customFormat="1" ht="16.5" customHeight="1">
      <c r="A1" s="198"/>
      <c r="B1" s="199"/>
      <c r="C1" s="1215" t="s">
        <v>570</v>
      </c>
      <c r="D1" s="1218"/>
      <c r="E1" s="1218"/>
    </row>
    <row r="2" spans="1:7" s="200" customFormat="1" ht="24.95" customHeight="1">
      <c r="A2" s="201"/>
      <c r="B2" s="202"/>
      <c r="C2" s="1216"/>
      <c r="D2" s="1219"/>
      <c r="E2" s="1219"/>
    </row>
    <row r="3" spans="1:7" s="200" customFormat="1" ht="24.95" customHeight="1">
      <c r="A3" s="203"/>
      <c r="B3" s="202"/>
      <c r="C3" s="1216"/>
      <c r="D3" s="1220" t="s">
        <v>571</v>
      </c>
      <c r="E3" s="1221"/>
    </row>
    <row r="4" spans="1:7" s="200" customFormat="1" ht="23.25" customHeight="1">
      <c r="A4" s="1222" t="s">
        <v>572</v>
      </c>
      <c r="B4" s="1222"/>
      <c r="C4" s="1217"/>
      <c r="D4" s="1222" t="s">
        <v>573</v>
      </c>
      <c r="E4" s="1222"/>
    </row>
    <row r="5" spans="1:7" ht="43.5" customHeight="1">
      <c r="A5" s="204" t="s">
        <v>0</v>
      </c>
      <c r="B5" s="205" t="s">
        <v>1</v>
      </c>
      <c r="C5" s="206" t="s">
        <v>18</v>
      </c>
      <c r="D5" s="206" t="s">
        <v>19</v>
      </c>
      <c r="E5" s="206" t="s">
        <v>574</v>
      </c>
      <c r="F5" s="207" t="s">
        <v>575</v>
      </c>
      <c r="G5" s="61"/>
    </row>
    <row r="6" spans="1:7" customFormat="1" ht="30" customHeight="1">
      <c r="A6" s="208">
        <v>1</v>
      </c>
      <c r="B6" s="209">
        <v>1</v>
      </c>
      <c r="C6" s="210" t="s">
        <v>576</v>
      </c>
      <c r="D6" s="211">
        <f>D7+D8+D9+D49+D102+D118+D330</f>
        <v>1</v>
      </c>
      <c r="E6" s="212">
        <f>E9+E49+E102+E118+E330</f>
        <v>1197477151532.0002</v>
      </c>
      <c r="F6" s="213">
        <v>1197477151532</v>
      </c>
      <c r="G6" s="214">
        <f>F6-E6</f>
        <v>0</v>
      </c>
    </row>
    <row r="7" spans="1:7" customFormat="1" ht="30" customHeight="1">
      <c r="A7" s="215">
        <v>2</v>
      </c>
      <c r="B7" s="216">
        <v>1.1000000000000001</v>
      </c>
      <c r="C7" s="217" t="s">
        <v>172</v>
      </c>
      <c r="D7" s="218">
        <v>0</v>
      </c>
      <c r="E7" s="219">
        <f t="shared" ref="E7:E8" si="0">1197477151532*D7</f>
        <v>0</v>
      </c>
      <c r="G7" s="214"/>
    </row>
    <row r="8" spans="1:7" customFormat="1" ht="30" customHeight="1">
      <c r="A8" s="215">
        <v>3</v>
      </c>
      <c r="B8" s="216">
        <v>1.2</v>
      </c>
      <c r="C8" s="217" t="s">
        <v>577</v>
      </c>
      <c r="D8" s="218">
        <v>0</v>
      </c>
      <c r="E8" s="219">
        <f t="shared" si="0"/>
        <v>0</v>
      </c>
      <c r="G8" s="214"/>
    </row>
    <row r="9" spans="1:7" customFormat="1" ht="30" customHeight="1">
      <c r="A9" s="215">
        <v>4</v>
      </c>
      <c r="B9" s="216">
        <v>1.3</v>
      </c>
      <c r="C9" s="217" t="s">
        <v>455</v>
      </c>
      <c r="D9" s="218">
        <f>D10+D20+D26+D38</f>
        <v>5.1000000000050102E-2</v>
      </c>
      <c r="E9" s="219">
        <f t="shared" ref="E9:E72" si="1">$F$6*D9</f>
        <v>61071334728.191994</v>
      </c>
      <c r="F9" s="220"/>
      <c r="G9" s="214"/>
    </row>
    <row r="10" spans="1:7" s="226" customFormat="1" ht="30" customHeight="1">
      <c r="A10" s="221">
        <v>5</v>
      </c>
      <c r="B10" s="222" t="s">
        <v>21</v>
      </c>
      <c r="C10" s="223" t="s">
        <v>456</v>
      </c>
      <c r="D10" s="224">
        <f>SUM(D11:D19)</f>
        <v>5.0000000002839301E-3</v>
      </c>
      <c r="E10" s="225">
        <f t="shared" si="1"/>
        <v>5987385758</v>
      </c>
      <c r="G10" s="214"/>
    </row>
    <row r="11" spans="1:7" s="226" customFormat="1" ht="24.95" customHeight="1">
      <c r="A11" s="227">
        <v>6</v>
      </c>
      <c r="B11" s="228" t="s">
        <v>22</v>
      </c>
      <c r="C11" s="229" t="s">
        <v>578</v>
      </c>
      <c r="D11" s="249">
        <v>0</v>
      </c>
      <c r="E11" s="231">
        <f t="shared" si="1"/>
        <v>0</v>
      </c>
      <c r="G11" s="214"/>
    </row>
    <row r="12" spans="1:7" s="226" customFormat="1" ht="24.95" customHeight="1">
      <c r="A12" s="227">
        <v>7</v>
      </c>
      <c r="B12" s="228" t="s">
        <v>23</v>
      </c>
      <c r="C12" s="229" t="s">
        <v>579</v>
      </c>
      <c r="D12" s="249">
        <v>3.5000000028392999E-4</v>
      </c>
      <c r="E12" s="231">
        <f t="shared" si="1"/>
        <v>419117003.37619966</v>
      </c>
      <c r="G12" s="214"/>
    </row>
    <row r="13" spans="1:7" s="226" customFormat="1" ht="39.950000000000003" customHeight="1">
      <c r="A13" s="227">
        <v>8</v>
      </c>
      <c r="B13" s="228" t="s">
        <v>24</v>
      </c>
      <c r="C13" s="229" t="s">
        <v>580</v>
      </c>
      <c r="D13" s="249">
        <v>7.5000000000000002E-4</v>
      </c>
      <c r="E13" s="231">
        <f t="shared" si="1"/>
        <v>898107863.64900005</v>
      </c>
      <c r="G13" s="214"/>
    </row>
    <row r="14" spans="1:7" s="226" customFormat="1" ht="39.950000000000003" customHeight="1">
      <c r="A14" s="227">
        <v>9</v>
      </c>
      <c r="B14" s="228" t="s">
        <v>25</v>
      </c>
      <c r="C14" s="229" t="s">
        <v>581</v>
      </c>
      <c r="D14" s="249">
        <v>1.2999999999999999E-3</v>
      </c>
      <c r="E14" s="231">
        <f t="shared" si="1"/>
        <v>1556720296.9916</v>
      </c>
      <c r="G14" s="214"/>
    </row>
    <row r="15" spans="1:7" s="226" customFormat="1" ht="39.950000000000003" customHeight="1">
      <c r="A15" s="227">
        <v>10</v>
      </c>
      <c r="B15" s="228" t="s">
        <v>26</v>
      </c>
      <c r="C15" s="229" t="s">
        <v>582</v>
      </c>
      <c r="D15" s="249">
        <v>5.0000000000000001E-4</v>
      </c>
      <c r="E15" s="231">
        <f t="shared" si="1"/>
        <v>598738575.76600003</v>
      </c>
      <c r="G15" s="214"/>
    </row>
    <row r="16" spans="1:7" s="226" customFormat="1" ht="39.950000000000003" customHeight="1">
      <c r="A16" s="227">
        <v>11</v>
      </c>
      <c r="B16" s="228" t="s">
        <v>27</v>
      </c>
      <c r="C16" s="229" t="s">
        <v>583</v>
      </c>
      <c r="D16" s="249">
        <v>2.9999999999999997E-4</v>
      </c>
      <c r="E16" s="231">
        <f t="shared" si="1"/>
        <v>359243145.45959997</v>
      </c>
      <c r="G16" s="214"/>
    </row>
    <row r="17" spans="1:7" s="226" customFormat="1" ht="39.950000000000003" customHeight="1">
      <c r="A17" s="227">
        <v>12</v>
      </c>
      <c r="B17" s="228" t="s">
        <v>28</v>
      </c>
      <c r="C17" s="232" t="s">
        <v>584</v>
      </c>
      <c r="D17" s="249">
        <v>1.5E-3</v>
      </c>
      <c r="E17" s="231">
        <f t="shared" si="1"/>
        <v>1796215727.2980001</v>
      </c>
      <c r="G17" s="214"/>
    </row>
    <row r="18" spans="1:7" s="226" customFormat="1" ht="24.95" customHeight="1">
      <c r="A18" s="227">
        <v>13</v>
      </c>
      <c r="B18" s="228" t="s">
        <v>29</v>
      </c>
      <c r="C18" s="229" t="s">
        <v>585</v>
      </c>
      <c r="D18" s="249">
        <v>2.9999999999999997E-4</v>
      </c>
      <c r="E18" s="231">
        <f t="shared" si="1"/>
        <v>359243145.45959997</v>
      </c>
      <c r="G18" s="214"/>
    </row>
    <row r="19" spans="1:7" s="226" customFormat="1" ht="24.95" customHeight="1">
      <c r="A19" s="227">
        <v>14</v>
      </c>
      <c r="B19" s="228" t="s">
        <v>30</v>
      </c>
      <c r="C19" s="229" t="s">
        <v>586</v>
      </c>
      <c r="D19" s="249">
        <v>0</v>
      </c>
      <c r="E19" s="231">
        <f t="shared" si="1"/>
        <v>0</v>
      </c>
      <c r="G19" s="214"/>
    </row>
    <row r="20" spans="1:7" s="226" customFormat="1" ht="30" customHeight="1">
      <c r="A20" s="221">
        <v>15</v>
      </c>
      <c r="B20" s="222" t="s">
        <v>38</v>
      </c>
      <c r="C20" s="223" t="s">
        <v>37</v>
      </c>
      <c r="D20" s="224">
        <f>SUM(D21:D25)</f>
        <v>6.0000000000000001E-3</v>
      </c>
      <c r="E20" s="225">
        <f t="shared" si="1"/>
        <v>7184862909.1920004</v>
      </c>
      <c r="G20" s="214"/>
    </row>
    <row r="21" spans="1:7" s="226" customFormat="1" ht="24.95" customHeight="1">
      <c r="A21" s="227">
        <v>16</v>
      </c>
      <c r="B21" s="228" t="s">
        <v>39</v>
      </c>
      <c r="C21" s="229" t="s">
        <v>465</v>
      </c>
      <c r="D21" s="249">
        <v>8.9999999999999998E-4</v>
      </c>
      <c r="E21" s="231">
        <f t="shared" si="1"/>
        <v>1077729436.3787999</v>
      </c>
      <c r="F21" s="226">
        <v>1E-3</v>
      </c>
      <c r="G21" s="214"/>
    </row>
    <row r="22" spans="1:7" s="226" customFormat="1" ht="24.95" customHeight="1">
      <c r="A22" s="227">
        <v>17</v>
      </c>
      <c r="B22" s="228" t="s">
        <v>40</v>
      </c>
      <c r="C22" s="229" t="s">
        <v>466</v>
      </c>
      <c r="D22" s="249">
        <v>8.9999999999999998E-4</v>
      </c>
      <c r="E22" s="231">
        <f t="shared" si="1"/>
        <v>1077729436.3787999</v>
      </c>
      <c r="F22" s="226">
        <v>1E-3</v>
      </c>
      <c r="G22" s="214"/>
    </row>
    <row r="23" spans="1:7" s="226" customFormat="1" ht="24.95" customHeight="1">
      <c r="A23" s="227">
        <v>18</v>
      </c>
      <c r="B23" s="228" t="s">
        <v>41</v>
      </c>
      <c r="C23" s="229" t="s">
        <v>467</v>
      </c>
      <c r="D23" s="249">
        <v>8.9999999999999998E-4</v>
      </c>
      <c r="E23" s="231">
        <f t="shared" si="1"/>
        <v>1077729436.3787999</v>
      </c>
      <c r="F23" s="226">
        <v>1E-3</v>
      </c>
      <c r="G23" s="214"/>
    </row>
    <row r="24" spans="1:7" s="226" customFormat="1" ht="24.95" customHeight="1">
      <c r="A24" s="227">
        <v>19</v>
      </c>
      <c r="B24" s="228" t="s">
        <v>42</v>
      </c>
      <c r="C24" s="229" t="s">
        <v>43</v>
      </c>
      <c r="D24" s="249">
        <v>2E-3</v>
      </c>
      <c r="E24" s="231">
        <f t="shared" si="1"/>
        <v>2394954303.0640001</v>
      </c>
      <c r="F24" s="226">
        <v>3.0000000000000001E-3</v>
      </c>
      <c r="G24" s="214"/>
    </row>
    <row r="25" spans="1:7" s="226" customFormat="1" ht="24.95" customHeight="1">
      <c r="A25" s="227">
        <v>20</v>
      </c>
      <c r="B25" s="228" t="s">
        <v>587</v>
      </c>
      <c r="C25" s="229" t="s">
        <v>67</v>
      </c>
      <c r="D25" s="249">
        <v>1.2999999999999999E-3</v>
      </c>
      <c r="E25" s="231">
        <f t="shared" si="1"/>
        <v>1556720296.9916</v>
      </c>
      <c r="F25" s="284">
        <v>1.6999999999963253E-3</v>
      </c>
      <c r="G25" s="214"/>
    </row>
    <row r="26" spans="1:7" s="226" customFormat="1" ht="30" customHeight="1">
      <c r="A26" s="221">
        <v>21</v>
      </c>
      <c r="B26" s="222" t="s">
        <v>44</v>
      </c>
      <c r="C26" s="223" t="s">
        <v>57</v>
      </c>
      <c r="D26" s="224">
        <f>SUM(D27:D37)</f>
        <v>1.6999999999963256E-2</v>
      </c>
      <c r="E26" s="225">
        <f t="shared" si="1"/>
        <v>20357111576</v>
      </c>
      <c r="G26" s="214"/>
    </row>
    <row r="27" spans="1:7" s="226" customFormat="1" ht="24.95" customHeight="1">
      <c r="A27" s="227">
        <v>22</v>
      </c>
      <c r="B27" s="228" t="s">
        <v>45</v>
      </c>
      <c r="C27" s="229" t="s">
        <v>588</v>
      </c>
      <c r="D27" s="249">
        <v>0</v>
      </c>
      <c r="E27" s="231">
        <f t="shared" si="1"/>
        <v>0</v>
      </c>
      <c r="F27" s="226">
        <v>0</v>
      </c>
      <c r="G27" s="214"/>
    </row>
    <row r="28" spans="1:7" s="226" customFormat="1" ht="24.95" customHeight="1">
      <c r="A28" s="227">
        <v>23</v>
      </c>
      <c r="B28" s="228" t="s">
        <v>46</v>
      </c>
      <c r="C28" s="229" t="s">
        <v>468</v>
      </c>
      <c r="D28" s="249">
        <v>3.9999999999632552E-3</v>
      </c>
      <c r="E28" s="231">
        <f t="shared" si="1"/>
        <v>4789908606.0839987</v>
      </c>
      <c r="F28" s="226">
        <v>2.5499999999944881E-3</v>
      </c>
      <c r="G28" s="214"/>
    </row>
    <row r="29" spans="1:7" s="226" customFormat="1" ht="24.95" customHeight="1">
      <c r="A29" s="227">
        <v>24</v>
      </c>
      <c r="B29" s="228" t="s">
        <v>47</v>
      </c>
      <c r="C29" s="229" t="s">
        <v>61</v>
      </c>
      <c r="D29" s="249">
        <v>1E-3</v>
      </c>
      <c r="E29" s="231">
        <f t="shared" si="1"/>
        <v>1197477151.5320001</v>
      </c>
      <c r="F29" s="226">
        <v>1.0199999999977955E-3</v>
      </c>
      <c r="G29" s="214"/>
    </row>
    <row r="30" spans="1:7" s="226" customFormat="1" ht="39.950000000000003" customHeight="1">
      <c r="A30" s="227">
        <v>25</v>
      </c>
      <c r="B30" s="228" t="s">
        <v>48</v>
      </c>
      <c r="C30" s="229" t="s">
        <v>62</v>
      </c>
      <c r="D30" s="249">
        <v>3.4999999999999996E-3</v>
      </c>
      <c r="E30" s="231">
        <f t="shared" si="1"/>
        <v>4191170030.3619995</v>
      </c>
      <c r="F30" s="226">
        <v>2.5499999999944881E-3</v>
      </c>
      <c r="G30" s="214"/>
    </row>
    <row r="31" spans="1:7" s="226" customFormat="1" ht="24.95" customHeight="1">
      <c r="A31" s="227">
        <v>26</v>
      </c>
      <c r="B31" s="228" t="s">
        <v>49</v>
      </c>
      <c r="C31" s="229" t="s">
        <v>63</v>
      </c>
      <c r="D31" s="249">
        <v>1.5E-3</v>
      </c>
      <c r="E31" s="231">
        <f t="shared" si="1"/>
        <v>1796215727.2980001</v>
      </c>
      <c r="F31" s="226">
        <v>1.6999999999963253E-3</v>
      </c>
      <c r="G31" s="214"/>
    </row>
    <row r="32" spans="1:7" s="226" customFormat="1" ht="24.95" customHeight="1">
      <c r="A32" s="227">
        <v>27</v>
      </c>
      <c r="B32" s="228" t="s">
        <v>50</v>
      </c>
      <c r="C32" s="229" t="s">
        <v>64</v>
      </c>
      <c r="D32" s="249">
        <v>1.5E-3</v>
      </c>
      <c r="E32" s="231">
        <f t="shared" si="1"/>
        <v>1796215727.2980001</v>
      </c>
      <c r="F32" s="226">
        <v>1.5299999999966929E-3</v>
      </c>
      <c r="G32" s="214"/>
    </row>
    <row r="33" spans="1:7" s="226" customFormat="1" ht="24.95" customHeight="1">
      <c r="A33" s="227">
        <v>28</v>
      </c>
      <c r="B33" s="228" t="s">
        <v>51</v>
      </c>
      <c r="C33" s="229" t="s">
        <v>65</v>
      </c>
      <c r="D33" s="249">
        <v>5.0000000000000001E-4</v>
      </c>
      <c r="E33" s="231">
        <f t="shared" si="1"/>
        <v>598738575.76600003</v>
      </c>
      <c r="F33" s="226">
        <v>5.0999999999889773E-4</v>
      </c>
      <c r="G33" s="214"/>
    </row>
    <row r="34" spans="1:7" s="226" customFormat="1" ht="24.95" customHeight="1">
      <c r="A34" s="227">
        <v>29</v>
      </c>
      <c r="B34" s="228" t="s">
        <v>52</v>
      </c>
      <c r="C34" s="229" t="s">
        <v>58</v>
      </c>
      <c r="D34" s="249">
        <v>5.0000000000000001E-4</v>
      </c>
      <c r="E34" s="231">
        <f t="shared" si="1"/>
        <v>598738575.76600003</v>
      </c>
      <c r="F34" s="226">
        <v>1.6999999999963253E-3</v>
      </c>
      <c r="G34" s="214"/>
    </row>
    <row r="35" spans="1:7" s="226" customFormat="1" ht="24.95" customHeight="1">
      <c r="A35" s="227">
        <v>30</v>
      </c>
      <c r="B35" s="228" t="s">
        <v>53</v>
      </c>
      <c r="C35" s="229" t="s">
        <v>59</v>
      </c>
      <c r="D35" s="249">
        <v>4.0000000000000001E-3</v>
      </c>
      <c r="E35" s="231">
        <f t="shared" si="1"/>
        <v>4789908606.1280003</v>
      </c>
      <c r="F35" s="226">
        <v>2.5499999999944881E-3</v>
      </c>
      <c r="G35" s="214"/>
    </row>
    <row r="36" spans="1:7" s="226" customFormat="1" ht="24.95" customHeight="1">
      <c r="A36" s="227">
        <v>31</v>
      </c>
      <c r="B36" s="228" t="s">
        <v>54</v>
      </c>
      <c r="C36" s="229" t="s">
        <v>66</v>
      </c>
      <c r="D36" s="249">
        <v>5.0000000000000001E-4</v>
      </c>
      <c r="E36" s="231">
        <f t="shared" si="1"/>
        <v>598738575.76600003</v>
      </c>
      <c r="F36" s="226">
        <v>1.1899999999974279E-3</v>
      </c>
      <c r="G36" s="214"/>
    </row>
    <row r="37" spans="1:7" s="226" customFormat="1" ht="24.95" customHeight="1">
      <c r="A37" s="227">
        <v>32</v>
      </c>
      <c r="B37" s="228" t="s">
        <v>55</v>
      </c>
      <c r="C37" s="229" t="s">
        <v>60</v>
      </c>
      <c r="D37" s="249">
        <v>0</v>
      </c>
      <c r="E37" s="231">
        <f t="shared" si="1"/>
        <v>0</v>
      </c>
      <c r="F37" s="244">
        <v>0</v>
      </c>
      <c r="G37" s="214"/>
    </row>
    <row r="38" spans="1:7" s="226" customFormat="1" ht="30" customHeight="1">
      <c r="A38" s="221">
        <v>33</v>
      </c>
      <c r="B38" s="222" t="s">
        <v>75</v>
      </c>
      <c r="C38" s="223" t="s">
        <v>444</v>
      </c>
      <c r="D38" s="224">
        <f>SUM(D39:D48)</f>
        <v>2.2999999999802918E-2</v>
      </c>
      <c r="E38" s="225">
        <f t="shared" si="1"/>
        <v>27541974485</v>
      </c>
      <c r="G38" s="214"/>
    </row>
    <row r="39" spans="1:7" s="226" customFormat="1" ht="24.95" customHeight="1">
      <c r="A39" s="227">
        <v>34</v>
      </c>
      <c r="B39" s="228" t="s">
        <v>76</v>
      </c>
      <c r="C39" s="229" t="s">
        <v>589</v>
      </c>
      <c r="D39" s="249">
        <v>1.1499999999901457E-3</v>
      </c>
      <c r="E39" s="231">
        <f t="shared" si="1"/>
        <v>1377098724.2499998</v>
      </c>
      <c r="G39" s="214"/>
    </row>
    <row r="40" spans="1:7" s="226" customFormat="1" ht="24.95" customHeight="1">
      <c r="A40" s="227">
        <v>35</v>
      </c>
      <c r="B40" s="228" t="s">
        <v>77</v>
      </c>
      <c r="C40" s="229" t="s">
        <v>69</v>
      </c>
      <c r="D40" s="249">
        <v>6.8999999999408744E-3</v>
      </c>
      <c r="E40" s="231">
        <f t="shared" si="1"/>
        <v>8262592345.4999981</v>
      </c>
      <c r="G40" s="214"/>
    </row>
    <row r="41" spans="1:7" s="226" customFormat="1" ht="24.95" customHeight="1">
      <c r="A41" s="227">
        <v>36</v>
      </c>
      <c r="B41" s="228" t="s">
        <v>78</v>
      </c>
      <c r="C41" s="229" t="s">
        <v>70</v>
      </c>
      <c r="D41" s="249">
        <v>5.7499999999507286E-3</v>
      </c>
      <c r="E41" s="231">
        <f t="shared" si="1"/>
        <v>6885493621.2499981</v>
      </c>
      <c r="G41" s="214"/>
    </row>
    <row r="42" spans="1:7" s="226" customFormat="1" ht="24.95" customHeight="1">
      <c r="A42" s="227">
        <v>37</v>
      </c>
      <c r="B42" s="228" t="s">
        <v>79</v>
      </c>
      <c r="C42" s="229" t="s">
        <v>71</v>
      </c>
      <c r="D42" s="249">
        <v>2.2999999999802913E-3</v>
      </c>
      <c r="E42" s="231">
        <f t="shared" si="1"/>
        <v>2754197448.4999995</v>
      </c>
      <c r="G42" s="214"/>
    </row>
    <row r="43" spans="1:7" s="226" customFormat="1" ht="24.95" customHeight="1">
      <c r="A43" s="227">
        <v>38</v>
      </c>
      <c r="B43" s="228" t="s">
        <v>80</v>
      </c>
      <c r="C43" s="229" t="s">
        <v>72</v>
      </c>
      <c r="D43" s="249">
        <v>2.2999999999802913E-3</v>
      </c>
      <c r="E43" s="231">
        <f t="shared" si="1"/>
        <v>2754197448.4999995</v>
      </c>
      <c r="G43" s="214"/>
    </row>
    <row r="44" spans="1:7" s="226" customFormat="1" ht="24.95" customHeight="1">
      <c r="A44" s="227">
        <v>39</v>
      </c>
      <c r="B44" s="228" t="s">
        <v>81</v>
      </c>
      <c r="C44" s="229" t="s">
        <v>434</v>
      </c>
      <c r="D44" s="249">
        <v>3.4499999999704372E-3</v>
      </c>
      <c r="E44" s="231">
        <f t="shared" si="1"/>
        <v>4131296172.749999</v>
      </c>
      <c r="G44" s="214"/>
    </row>
    <row r="45" spans="1:7" s="226" customFormat="1" ht="39.950000000000003" customHeight="1">
      <c r="A45" s="227">
        <v>40</v>
      </c>
      <c r="B45" s="228" t="s">
        <v>82</v>
      </c>
      <c r="C45" s="229" t="s">
        <v>590</v>
      </c>
      <c r="D45" s="249">
        <v>2.2999999999802914E-4</v>
      </c>
      <c r="E45" s="231">
        <f t="shared" si="1"/>
        <v>275419744.84999996</v>
      </c>
      <c r="G45" s="214"/>
    </row>
    <row r="46" spans="1:7" s="226" customFormat="1" ht="39.950000000000003" customHeight="1">
      <c r="A46" s="227">
        <v>41</v>
      </c>
      <c r="B46" s="228" t="s">
        <v>83</v>
      </c>
      <c r="C46" s="229" t="s">
        <v>433</v>
      </c>
      <c r="D46" s="249">
        <v>4.5999999999605829E-4</v>
      </c>
      <c r="E46" s="231">
        <f t="shared" si="1"/>
        <v>550839489.69999993</v>
      </c>
      <c r="G46" s="214"/>
    </row>
    <row r="47" spans="1:7" s="226" customFormat="1" ht="24.95" customHeight="1">
      <c r="A47" s="227">
        <v>42</v>
      </c>
      <c r="B47" s="228" t="s">
        <v>84</v>
      </c>
      <c r="C47" s="229" t="s">
        <v>73</v>
      </c>
      <c r="D47" s="249">
        <v>2.2999999999802914E-4</v>
      </c>
      <c r="E47" s="231">
        <f t="shared" si="1"/>
        <v>275419744.84999996</v>
      </c>
      <c r="G47" s="214"/>
    </row>
    <row r="48" spans="1:7" s="226" customFormat="1" ht="39.950000000000003" customHeight="1">
      <c r="A48" s="227">
        <v>43</v>
      </c>
      <c r="B48" s="228" t="s">
        <v>85</v>
      </c>
      <c r="C48" s="229" t="s">
        <v>591</v>
      </c>
      <c r="D48" s="249">
        <v>2.2999999999802914E-4</v>
      </c>
      <c r="E48" s="231">
        <f t="shared" si="1"/>
        <v>275419744.84999996</v>
      </c>
      <c r="F48" s="220"/>
      <c r="G48" s="214"/>
    </row>
    <row r="49" spans="1:7" customFormat="1" ht="30" customHeight="1">
      <c r="A49" s="215">
        <v>44</v>
      </c>
      <c r="B49" s="216">
        <v>1.4</v>
      </c>
      <c r="C49" s="217" t="s">
        <v>592</v>
      </c>
      <c r="D49" s="218">
        <f>D50+D94</f>
        <v>5.0000000000334027E-2</v>
      </c>
      <c r="E49" s="219">
        <f t="shared" si="1"/>
        <v>59873857576.999992</v>
      </c>
      <c r="F49" s="226"/>
      <c r="G49" s="214"/>
    </row>
    <row r="50" spans="1:7" s="226" customFormat="1" ht="30" customHeight="1">
      <c r="A50" s="221">
        <v>45</v>
      </c>
      <c r="B50" s="222" t="s">
        <v>87</v>
      </c>
      <c r="C50" s="223" t="s">
        <v>86</v>
      </c>
      <c r="D50" s="224">
        <f>SUM(D51:D57,D63,D69:D75,D81,D87:D93)</f>
        <v>1.750000000015867E-2</v>
      </c>
      <c r="E50" s="225">
        <f t="shared" si="1"/>
        <v>20955850152.000004</v>
      </c>
      <c r="G50" s="214"/>
    </row>
    <row r="51" spans="1:7" s="226" customFormat="1" ht="24.95" customHeight="1">
      <c r="A51" s="227">
        <v>46</v>
      </c>
      <c r="B51" s="228" t="s">
        <v>88</v>
      </c>
      <c r="C51" s="229" t="s">
        <v>471</v>
      </c>
      <c r="D51" s="249">
        <v>0</v>
      </c>
      <c r="E51" s="231">
        <f t="shared" si="1"/>
        <v>0</v>
      </c>
      <c r="G51" s="214"/>
    </row>
    <row r="52" spans="1:7" s="226" customFormat="1" ht="24.95" customHeight="1">
      <c r="A52" s="227">
        <v>47</v>
      </c>
      <c r="B52" s="228" t="s">
        <v>89</v>
      </c>
      <c r="C52" s="229" t="s">
        <v>486</v>
      </c>
      <c r="D52" s="249">
        <v>3.5000000000317334E-3</v>
      </c>
      <c r="E52" s="231">
        <f t="shared" si="1"/>
        <v>4191170030.4000001</v>
      </c>
      <c r="G52" s="214"/>
    </row>
    <row r="53" spans="1:7" s="226" customFormat="1" ht="24.95" customHeight="1">
      <c r="A53" s="227">
        <v>48</v>
      </c>
      <c r="B53" s="228" t="s">
        <v>90</v>
      </c>
      <c r="C53" s="229" t="s">
        <v>472</v>
      </c>
      <c r="D53" s="249">
        <v>7.000000000063468E-4</v>
      </c>
      <c r="E53" s="231">
        <f t="shared" si="1"/>
        <v>838234006.08000016</v>
      </c>
      <c r="G53" s="214"/>
    </row>
    <row r="54" spans="1:7" s="226" customFormat="1" ht="39.950000000000003" customHeight="1">
      <c r="A54" s="227">
        <v>49</v>
      </c>
      <c r="B54" s="228" t="s">
        <v>91</v>
      </c>
      <c r="C54" s="229" t="s">
        <v>432</v>
      </c>
      <c r="D54" s="249">
        <v>1.0000000000090668E-3</v>
      </c>
      <c r="E54" s="231">
        <f t="shared" si="1"/>
        <v>1197477151.5428572</v>
      </c>
      <c r="G54" s="214"/>
    </row>
    <row r="55" spans="1:7" s="226" customFormat="1" ht="24.95" customHeight="1">
      <c r="A55" s="227">
        <v>50</v>
      </c>
      <c r="B55" s="228" t="s">
        <v>92</v>
      </c>
      <c r="C55" s="229" t="s">
        <v>473</v>
      </c>
      <c r="D55" s="249">
        <v>3.500000000031734E-4</v>
      </c>
      <c r="E55" s="231">
        <f t="shared" si="1"/>
        <v>419117003.04000008</v>
      </c>
      <c r="G55" s="214"/>
    </row>
    <row r="56" spans="1:7" s="226" customFormat="1" ht="24.95" customHeight="1">
      <c r="A56" s="227">
        <v>51</v>
      </c>
      <c r="B56" s="228" t="s">
        <v>93</v>
      </c>
      <c r="C56" s="229" t="s">
        <v>474</v>
      </c>
      <c r="D56" s="249">
        <v>3.500000000031734E-4</v>
      </c>
      <c r="E56" s="231">
        <f t="shared" si="1"/>
        <v>419117003.04000008</v>
      </c>
      <c r="G56" s="214"/>
    </row>
    <row r="57" spans="1:7" s="226" customFormat="1" ht="24.95" customHeight="1">
      <c r="A57" s="227">
        <v>52</v>
      </c>
      <c r="B57" s="228" t="s">
        <v>94</v>
      </c>
      <c r="C57" s="229" t="s">
        <v>475</v>
      </c>
      <c r="D57" s="249">
        <f>SUM(D58:D62)</f>
        <v>1.0000000000090668E-3</v>
      </c>
      <c r="E57" s="231">
        <f t="shared" si="1"/>
        <v>1197477151.5428572</v>
      </c>
      <c r="F57" s="1"/>
      <c r="G57" s="214"/>
    </row>
    <row r="58" spans="1:7" s="238" customFormat="1" ht="24.95" customHeight="1">
      <c r="A58" s="233">
        <v>53</v>
      </c>
      <c r="B58" s="234" t="s">
        <v>100</v>
      </c>
      <c r="C58" s="235" t="s">
        <v>476</v>
      </c>
      <c r="D58" s="250">
        <v>2.0000000000181336E-4</v>
      </c>
      <c r="E58" s="237">
        <f t="shared" si="1"/>
        <v>239495430.30857146</v>
      </c>
      <c r="F58" s="1"/>
      <c r="G58" s="214"/>
    </row>
    <row r="59" spans="1:7" s="238" customFormat="1" ht="24.95" customHeight="1">
      <c r="A59" s="233">
        <v>54</v>
      </c>
      <c r="B59" s="234" t="s">
        <v>101</v>
      </c>
      <c r="C59" s="235" t="s">
        <v>447</v>
      </c>
      <c r="D59" s="250">
        <v>2.0000000000181336E-4</v>
      </c>
      <c r="E59" s="237">
        <f t="shared" si="1"/>
        <v>239495430.30857146</v>
      </c>
      <c r="F59" s="1"/>
      <c r="G59" s="214"/>
    </row>
    <row r="60" spans="1:7" s="238" customFormat="1" ht="24.95" customHeight="1">
      <c r="A60" s="233">
        <v>55</v>
      </c>
      <c r="B60" s="234" t="s">
        <v>102</v>
      </c>
      <c r="C60" s="235" t="s">
        <v>477</v>
      </c>
      <c r="D60" s="250">
        <v>2.0000000000181336E-4</v>
      </c>
      <c r="E60" s="237">
        <f t="shared" si="1"/>
        <v>239495430.30857146</v>
      </c>
      <c r="F60" s="1"/>
      <c r="G60" s="214"/>
    </row>
    <row r="61" spans="1:7" s="238" customFormat="1" ht="24.95" customHeight="1">
      <c r="A61" s="233">
        <v>56</v>
      </c>
      <c r="B61" s="234" t="s">
        <v>103</v>
      </c>
      <c r="C61" s="235" t="s">
        <v>478</v>
      </c>
      <c r="D61" s="250">
        <v>2.0000000000181336E-4</v>
      </c>
      <c r="E61" s="237">
        <f t="shared" si="1"/>
        <v>239495430.30857146</v>
      </c>
      <c r="F61" s="1"/>
      <c r="G61" s="214"/>
    </row>
    <row r="62" spans="1:7" s="238" customFormat="1" ht="24.95" customHeight="1">
      <c r="A62" s="233">
        <v>57</v>
      </c>
      <c r="B62" s="234" t="s">
        <v>104</v>
      </c>
      <c r="C62" s="235" t="s">
        <v>105</v>
      </c>
      <c r="D62" s="250">
        <v>2.0000000000181336E-4</v>
      </c>
      <c r="E62" s="237">
        <f t="shared" si="1"/>
        <v>239495430.30857146</v>
      </c>
      <c r="F62" s="226"/>
      <c r="G62" s="214"/>
    </row>
    <row r="63" spans="1:7" s="226" customFormat="1" ht="24.95" customHeight="1">
      <c r="A63" s="227">
        <v>58</v>
      </c>
      <c r="B63" s="228" t="s">
        <v>95</v>
      </c>
      <c r="C63" s="229" t="s">
        <v>487</v>
      </c>
      <c r="D63" s="249">
        <f>SUM(D64:D68)</f>
        <v>1.0000000000090668E-3</v>
      </c>
      <c r="E63" s="231">
        <f t="shared" si="1"/>
        <v>1197477151.5428572</v>
      </c>
      <c r="F63" s="1"/>
      <c r="G63" s="214"/>
    </row>
    <row r="64" spans="1:7" s="238" customFormat="1" ht="24.95" customHeight="1">
      <c r="A64" s="233">
        <v>59</v>
      </c>
      <c r="B64" s="234" t="s">
        <v>106</v>
      </c>
      <c r="C64" s="235" t="s">
        <v>476</v>
      </c>
      <c r="D64" s="250">
        <v>2.0000000000181336E-4</v>
      </c>
      <c r="E64" s="237">
        <f t="shared" si="1"/>
        <v>239495430.30857146</v>
      </c>
      <c r="F64" s="1"/>
      <c r="G64" s="214"/>
    </row>
    <row r="65" spans="1:7" s="238" customFormat="1" ht="24.95" customHeight="1">
      <c r="A65" s="233">
        <v>60</v>
      </c>
      <c r="B65" s="234" t="s">
        <v>107</v>
      </c>
      <c r="C65" s="235" t="s">
        <v>447</v>
      </c>
      <c r="D65" s="250">
        <v>2.0000000000181336E-4</v>
      </c>
      <c r="E65" s="237">
        <f t="shared" si="1"/>
        <v>239495430.30857146</v>
      </c>
      <c r="F65" s="1"/>
      <c r="G65" s="214"/>
    </row>
    <row r="66" spans="1:7" s="238" customFormat="1" ht="24.95" customHeight="1">
      <c r="A66" s="233">
        <v>61</v>
      </c>
      <c r="B66" s="234" t="s">
        <v>108</v>
      </c>
      <c r="C66" s="235" t="s">
        <v>477</v>
      </c>
      <c r="D66" s="250">
        <v>2.0000000000181336E-4</v>
      </c>
      <c r="E66" s="237">
        <f t="shared" si="1"/>
        <v>239495430.30857146</v>
      </c>
      <c r="F66" s="1"/>
      <c r="G66" s="214"/>
    </row>
    <row r="67" spans="1:7" s="238" customFormat="1" ht="24.95" customHeight="1">
      <c r="A67" s="233">
        <v>62</v>
      </c>
      <c r="B67" s="234" t="s">
        <v>109</v>
      </c>
      <c r="C67" s="235" t="s">
        <v>478</v>
      </c>
      <c r="D67" s="250">
        <v>2.0000000000181336E-4</v>
      </c>
      <c r="E67" s="237">
        <f t="shared" si="1"/>
        <v>239495430.30857146</v>
      </c>
      <c r="F67" s="1"/>
      <c r="G67" s="214"/>
    </row>
    <row r="68" spans="1:7" s="238" customFormat="1" ht="24.95" customHeight="1">
      <c r="A68" s="233">
        <v>63</v>
      </c>
      <c r="B68" s="234" t="s">
        <v>110</v>
      </c>
      <c r="C68" s="235" t="s">
        <v>105</v>
      </c>
      <c r="D68" s="250">
        <v>2.0000000000181336E-4</v>
      </c>
      <c r="E68" s="237">
        <f t="shared" si="1"/>
        <v>239495430.30857146</v>
      </c>
      <c r="F68" s="226"/>
      <c r="G68" s="214"/>
    </row>
    <row r="69" spans="1:7" s="226" customFormat="1" ht="24.95" customHeight="1">
      <c r="A69" s="227">
        <v>64</v>
      </c>
      <c r="B69" s="228" t="s">
        <v>96</v>
      </c>
      <c r="C69" s="229" t="s">
        <v>479</v>
      </c>
      <c r="D69" s="249">
        <v>1.0000000000090668E-3</v>
      </c>
      <c r="E69" s="231">
        <f t="shared" si="1"/>
        <v>1197477151.5428572</v>
      </c>
      <c r="G69" s="214"/>
    </row>
    <row r="70" spans="1:7" s="226" customFormat="1" ht="24.95" customHeight="1">
      <c r="A70" s="227">
        <v>65</v>
      </c>
      <c r="B70" s="228" t="s">
        <v>97</v>
      </c>
      <c r="C70" s="229" t="s">
        <v>480</v>
      </c>
      <c r="D70" s="249">
        <v>5.0000000000453338E-4</v>
      </c>
      <c r="E70" s="231">
        <f t="shared" si="1"/>
        <v>598738575.77142859</v>
      </c>
      <c r="G70" s="214"/>
    </row>
    <row r="71" spans="1:7" s="226" customFormat="1" ht="24.95" customHeight="1">
      <c r="A71" s="227">
        <v>66</v>
      </c>
      <c r="B71" s="228" t="s">
        <v>98</v>
      </c>
      <c r="C71" s="229" t="s">
        <v>488</v>
      </c>
      <c r="D71" s="249">
        <v>2.0000000000181336E-4</v>
      </c>
      <c r="E71" s="231">
        <f t="shared" si="1"/>
        <v>239495430.30857146</v>
      </c>
      <c r="G71" s="214"/>
    </row>
    <row r="72" spans="1:7" s="226" customFormat="1" ht="24.95" customHeight="1">
      <c r="A72" s="227">
        <v>67</v>
      </c>
      <c r="B72" s="228" t="s">
        <v>99</v>
      </c>
      <c r="C72" s="229" t="s">
        <v>489</v>
      </c>
      <c r="D72" s="249">
        <v>2.0000000000181336E-4</v>
      </c>
      <c r="E72" s="231">
        <f t="shared" si="1"/>
        <v>239495430.30857146</v>
      </c>
      <c r="G72" s="214"/>
    </row>
    <row r="73" spans="1:7" s="226" customFormat="1" ht="24.95" customHeight="1">
      <c r="A73" s="227">
        <v>68</v>
      </c>
      <c r="B73" s="228" t="s">
        <v>111</v>
      </c>
      <c r="C73" s="229" t="s">
        <v>490</v>
      </c>
      <c r="D73" s="249">
        <v>1.0000000000090668E-3</v>
      </c>
      <c r="E73" s="231">
        <f t="shared" ref="E73:E111" si="2">$F$6*D73</f>
        <v>1197477151.5428572</v>
      </c>
      <c r="G73" s="214"/>
    </row>
    <row r="74" spans="1:7" s="226" customFormat="1" ht="24.95" customHeight="1">
      <c r="A74" s="227">
        <v>69</v>
      </c>
      <c r="B74" s="228" t="s">
        <v>112</v>
      </c>
      <c r="C74" s="229" t="s">
        <v>491</v>
      </c>
      <c r="D74" s="249">
        <v>3.0000000000272002E-4</v>
      </c>
      <c r="E74" s="231">
        <f t="shared" si="2"/>
        <v>359243145.46285719</v>
      </c>
      <c r="G74" s="214"/>
    </row>
    <row r="75" spans="1:7" s="226" customFormat="1" ht="24.95" customHeight="1">
      <c r="A75" s="227">
        <v>70</v>
      </c>
      <c r="B75" s="228" t="s">
        <v>113</v>
      </c>
      <c r="C75" s="229" t="s">
        <v>481</v>
      </c>
      <c r="D75" s="249">
        <f>SUM(D76:D80)</f>
        <v>1.0000000000090668E-3</v>
      </c>
      <c r="E75" s="231">
        <f t="shared" si="2"/>
        <v>1197477151.5428572</v>
      </c>
      <c r="F75" s="1"/>
      <c r="G75" s="214"/>
    </row>
    <row r="76" spans="1:7" s="238" customFormat="1" ht="24.95" customHeight="1">
      <c r="A76" s="233">
        <v>71</v>
      </c>
      <c r="B76" s="234" t="s">
        <v>114</v>
      </c>
      <c r="C76" s="235" t="s">
        <v>427</v>
      </c>
      <c r="D76" s="250">
        <v>2.0000000000181336E-4</v>
      </c>
      <c r="E76" s="237">
        <f t="shared" si="2"/>
        <v>239495430.30857146</v>
      </c>
      <c r="F76" s="1"/>
      <c r="G76" s="214"/>
    </row>
    <row r="77" spans="1:7" s="238" customFormat="1" ht="24.95" customHeight="1">
      <c r="A77" s="233">
        <v>72</v>
      </c>
      <c r="B77" s="234" t="s">
        <v>115</v>
      </c>
      <c r="C77" s="235" t="s">
        <v>428</v>
      </c>
      <c r="D77" s="250">
        <v>2.0000000000181336E-4</v>
      </c>
      <c r="E77" s="237">
        <f t="shared" si="2"/>
        <v>239495430.30857146</v>
      </c>
      <c r="F77" s="1"/>
      <c r="G77" s="214"/>
    </row>
    <row r="78" spans="1:7" s="238" customFormat="1" ht="24.95" customHeight="1">
      <c r="A78" s="233">
        <v>73</v>
      </c>
      <c r="B78" s="234" t="s">
        <v>116</v>
      </c>
      <c r="C78" s="235" t="s">
        <v>429</v>
      </c>
      <c r="D78" s="250">
        <v>2.0000000000181336E-4</v>
      </c>
      <c r="E78" s="237">
        <f t="shared" si="2"/>
        <v>239495430.30857146</v>
      </c>
      <c r="F78" s="1"/>
      <c r="G78" s="214"/>
    </row>
    <row r="79" spans="1:7" s="238" customFormat="1" ht="24.95" customHeight="1">
      <c r="A79" s="233">
        <v>74</v>
      </c>
      <c r="B79" s="234" t="s">
        <v>117</v>
      </c>
      <c r="C79" s="235" t="s">
        <v>430</v>
      </c>
      <c r="D79" s="250">
        <v>2.0000000000181336E-4</v>
      </c>
      <c r="E79" s="237">
        <f t="shared" si="2"/>
        <v>239495430.30857146</v>
      </c>
      <c r="F79" s="1"/>
      <c r="G79" s="214"/>
    </row>
    <row r="80" spans="1:7" s="238" customFormat="1" ht="24.95" customHeight="1">
      <c r="A80" s="233">
        <v>75</v>
      </c>
      <c r="B80" s="234" t="s">
        <v>118</v>
      </c>
      <c r="C80" s="235" t="s">
        <v>593</v>
      </c>
      <c r="D80" s="250">
        <v>2.0000000000181336E-4</v>
      </c>
      <c r="E80" s="237">
        <f t="shared" si="2"/>
        <v>239495430.30857146</v>
      </c>
      <c r="F80" s="226"/>
      <c r="G80" s="214"/>
    </row>
    <row r="81" spans="1:7" s="226" customFormat="1" ht="24.95" customHeight="1">
      <c r="A81" s="227">
        <v>76</v>
      </c>
      <c r="B81" s="228" t="s">
        <v>119</v>
      </c>
      <c r="C81" s="229" t="s">
        <v>431</v>
      </c>
      <c r="D81" s="249">
        <f>SUM(D82:D86)</f>
        <v>2.5000000000226668E-3</v>
      </c>
      <c r="E81" s="231">
        <f t="shared" si="2"/>
        <v>2993692878.8571429</v>
      </c>
      <c r="F81" s="1"/>
      <c r="G81" s="214"/>
    </row>
    <row r="82" spans="1:7" s="238" customFormat="1" ht="24.95" customHeight="1">
      <c r="A82" s="233">
        <v>77</v>
      </c>
      <c r="B82" s="234" t="s">
        <v>120</v>
      </c>
      <c r="C82" s="235" t="s">
        <v>427</v>
      </c>
      <c r="D82" s="250">
        <v>5.0000000000453338E-4</v>
      </c>
      <c r="E82" s="237">
        <f t="shared" si="2"/>
        <v>598738575.77142859</v>
      </c>
      <c r="F82" s="1"/>
      <c r="G82" s="214"/>
    </row>
    <row r="83" spans="1:7" s="238" customFormat="1" ht="24.95" customHeight="1">
      <c r="A83" s="233">
        <v>78</v>
      </c>
      <c r="B83" s="234" t="s">
        <v>121</v>
      </c>
      <c r="C83" s="235" t="s">
        <v>428</v>
      </c>
      <c r="D83" s="250">
        <v>5.0000000000453338E-4</v>
      </c>
      <c r="E83" s="237">
        <f t="shared" si="2"/>
        <v>598738575.77142859</v>
      </c>
      <c r="F83" s="1"/>
      <c r="G83" s="214"/>
    </row>
    <row r="84" spans="1:7" s="238" customFormat="1" ht="24.95" customHeight="1">
      <c r="A84" s="233">
        <v>79</v>
      </c>
      <c r="B84" s="234" t="s">
        <v>122</v>
      </c>
      <c r="C84" s="235" t="s">
        <v>429</v>
      </c>
      <c r="D84" s="250">
        <v>5.0000000000453338E-4</v>
      </c>
      <c r="E84" s="237">
        <f t="shared" si="2"/>
        <v>598738575.77142859</v>
      </c>
      <c r="F84" s="1"/>
      <c r="G84" s="214"/>
    </row>
    <row r="85" spans="1:7" s="238" customFormat="1" ht="24.95" customHeight="1">
      <c r="A85" s="233">
        <v>80</v>
      </c>
      <c r="B85" s="234" t="s">
        <v>123</v>
      </c>
      <c r="C85" s="235" t="s">
        <v>430</v>
      </c>
      <c r="D85" s="250">
        <v>5.0000000000453338E-4</v>
      </c>
      <c r="E85" s="237">
        <f t="shared" si="2"/>
        <v>598738575.77142859</v>
      </c>
      <c r="F85" s="1"/>
      <c r="G85" s="214"/>
    </row>
    <row r="86" spans="1:7" s="238" customFormat="1" ht="24.95" customHeight="1">
      <c r="A86" s="233">
        <v>81</v>
      </c>
      <c r="B86" s="234" t="s">
        <v>124</v>
      </c>
      <c r="C86" s="235" t="s">
        <v>493</v>
      </c>
      <c r="D86" s="250">
        <v>5.0000000000453338E-4</v>
      </c>
      <c r="E86" s="237">
        <f t="shared" si="2"/>
        <v>598738575.77142859</v>
      </c>
      <c r="F86" s="226"/>
      <c r="G86" s="214"/>
    </row>
    <row r="87" spans="1:7" s="226" customFormat="1" ht="24.95" customHeight="1">
      <c r="A87" s="227">
        <v>82</v>
      </c>
      <c r="B87" s="228" t="s">
        <v>125</v>
      </c>
      <c r="C87" s="229" t="s">
        <v>494</v>
      </c>
      <c r="D87" s="249">
        <v>1.0000000000090668E-3</v>
      </c>
      <c r="E87" s="231">
        <f t="shared" si="2"/>
        <v>1197477151.5428572</v>
      </c>
      <c r="G87" s="214"/>
    </row>
    <row r="88" spans="1:7" s="226" customFormat="1" ht="24.95" customHeight="1">
      <c r="A88" s="227">
        <v>83</v>
      </c>
      <c r="B88" s="228" t="s">
        <v>126</v>
      </c>
      <c r="C88" s="229" t="s">
        <v>482</v>
      </c>
      <c r="D88" s="249">
        <v>3.500000000031734E-4</v>
      </c>
      <c r="E88" s="231">
        <f t="shared" si="2"/>
        <v>419117003.04000008</v>
      </c>
      <c r="G88" s="214"/>
    </row>
    <row r="89" spans="1:7" s="226" customFormat="1" ht="24.95" customHeight="1">
      <c r="A89" s="227">
        <v>84</v>
      </c>
      <c r="B89" s="228" t="s">
        <v>127</v>
      </c>
      <c r="C89" s="229" t="s">
        <v>495</v>
      </c>
      <c r="D89" s="249">
        <v>3.500000000031734E-4</v>
      </c>
      <c r="E89" s="231">
        <f t="shared" si="2"/>
        <v>419117003.04000008</v>
      </c>
      <c r="G89" s="214"/>
    </row>
    <row r="90" spans="1:7" s="226" customFormat="1" ht="24.95" customHeight="1">
      <c r="A90" s="227">
        <v>85</v>
      </c>
      <c r="B90" s="228" t="s">
        <v>128</v>
      </c>
      <c r="C90" s="229" t="s">
        <v>483</v>
      </c>
      <c r="D90" s="249">
        <v>3.500000000031734E-4</v>
      </c>
      <c r="E90" s="231">
        <f t="shared" si="2"/>
        <v>419117003.04000008</v>
      </c>
      <c r="G90" s="214"/>
    </row>
    <row r="91" spans="1:7" s="226" customFormat="1" ht="24.95" customHeight="1">
      <c r="A91" s="227">
        <v>86</v>
      </c>
      <c r="B91" s="228" t="s">
        <v>129</v>
      </c>
      <c r="C91" s="229" t="s">
        <v>496</v>
      </c>
      <c r="D91" s="249">
        <v>5.0000000000453338E-4</v>
      </c>
      <c r="E91" s="231">
        <f t="shared" si="2"/>
        <v>598738575.77142859</v>
      </c>
      <c r="G91" s="214"/>
    </row>
    <row r="92" spans="1:7" s="226" customFormat="1" ht="24.95" customHeight="1">
      <c r="A92" s="227">
        <v>87</v>
      </c>
      <c r="B92" s="228" t="s">
        <v>130</v>
      </c>
      <c r="C92" s="229" t="s">
        <v>484</v>
      </c>
      <c r="D92" s="249">
        <v>3.500000000031734E-4</v>
      </c>
      <c r="E92" s="231">
        <f t="shared" si="2"/>
        <v>419117003.04000008</v>
      </c>
      <c r="G92" s="214"/>
    </row>
    <row r="93" spans="1:7" s="226" customFormat="1" ht="24.95" customHeight="1">
      <c r="A93" s="227">
        <v>88</v>
      </c>
      <c r="B93" s="228" t="s">
        <v>131</v>
      </c>
      <c r="C93" s="229" t="s">
        <v>485</v>
      </c>
      <c r="D93" s="249">
        <v>0</v>
      </c>
      <c r="E93" s="231">
        <f t="shared" si="2"/>
        <v>0</v>
      </c>
      <c r="G93" s="214"/>
    </row>
    <row r="94" spans="1:7" s="226" customFormat="1" ht="30" customHeight="1">
      <c r="A94" s="221">
        <v>89</v>
      </c>
      <c r="B94" s="222" t="s">
        <v>174</v>
      </c>
      <c r="C94" s="223" t="s">
        <v>158</v>
      </c>
      <c r="D94" s="224">
        <f>SUM(D95:D101)</f>
        <v>3.2500000000175361E-2</v>
      </c>
      <c r="E94" s="225">
        <f t="shared" si="2"/>
        <v>38918007424.999992</v>
      </c>
      <c r="G94" s="214"/>
    </row>
    <row r="95" spans="1:7" s="226" customFormat="1" ht="24.95" customHeight="1">
      <c r="A95" s="227">
        <v>90</v>
      </c>
      <c r="B95" s="228" t="s">
        <v>521</v>
      </c>
      <c r="C95" s="229" t="s">
        <v>499</v>
      </c>
      <c r="D95" s="249">
        <v>1.1400000000175367E-2</v>
      </c>
      <c r="E95" s="231">
        <f t="shared" si="2"/>
        <v>13651239527.674799</v>
      </c>
      <c r="G95" s="214"/>
    </row>
    <row r="96" spans="1:7" s="226" customFormat="1" ht="24.95" customHeight="1">
      <c r="A96" s="227">
        <v>91</v>
      </c>
      <c r="B96" s="228" t="s">
        <v>522</v>
      </c>
      <c r="C96" s="229" t="s">
        <v>500</v>
      </c>
      <c r="D96" s="249">
        <v>7.4999999999999997E-3</v>
      </c>
      <c r="E96" s="231">
        <f t="shared" si="2"/>
        <v>8981078636.4899998</v>
      </c>
      <c r="G96" s="214"/>
    </row>
    <row r="97" spans="1:7" s="226" customFormat="1" ht="24.95" customHeight="1">
      <c r="A97" s="227">
        <v>92</v>
      </c>
      <c r="B97" s="228" t="s">
        <v>523</v>
      </c>
      <c r="C97" s="229" t="s">
        <v>594</v>
      </c>
      <c r="D97" s="249">
        <v>6.4999999999999997E-4</v>
      </c>
      <c r="E97" s="231">
        <f t="shared" si="2"/>
        <v>778360148.49580002</v>
      </c>
      <c r="G97" s="214"/>
    </row>
    <row r="98" spans="1:7" s="226" customFormat="1" ht="24.95" customHeight="1">
      <c r="A98" s="227">
        <v>93</v>
      </c>
      <c r="B98" s="228" t="s">
        <v>524</v>
      </c>
      <c r="C98" s="229" t="s">
        <v>502</v>
      </c>
      <c r="D98" s="249">
        <v>2.8999999999999998E-3</v>
      </c>
      <c r="E98" s="231">
        <f t="shared" si="2"/>
        <v>3472683739.4427996</v>
      </c>
      <c r="G98" s="214"/>
    </row>
    <row r="99" spans="1:7" s="226" customFormat="1" ht="60" customHeight="1">
      <c r="A99" s="227">
        <v>94</v>
      </c>
      <c r="B99" s="228" t="s">
        <v>525</v>
      </c>
      <c r="C99" s="229" t="s">
        <v>503</v>
      </c>
      <c r="D99" s="249">
        <v>6.4999999999999997E-3</v>
      </c>
      <c r="E99" s="231">
        <f t="shared" si="2"/>
        <v>7783601484.9579992</v>
      </c>
      <c r="G99" s="214"/>
    </row>
    <row r="100" spans="1:7" s="226" customFormat="1" ht="24.95" customHeight="1">
      <c r="A100" s="227">
        <v>95</v>
      </c>
      <c r="B100" s="228" t="s">
        <v>526</v>
      </c>
      <c r="C100" s="229" t="s">
        <v>505</v>
      </c>
      <c r="D100" s="249">
        <v>2.8999999999999998E-3</v>
      </c>
      <c r="E100" s="231">
        <f t="shared" si="2"/>
        <v>3472683739.4427996</v>
      </c>
      <c r="G100" s="214"/>
    </row>
    <row r="101" spans="1:7" s="226" customFormat="1" ht="24.95" customHeight="1">
      <c r="A101" s="227">
        <v>96</v>
      </c>
      <c r="B101" s="228" t="s">
        <v>527</v>
      </c>
      <c r="C101" s="229" t="s">
        <v>504</v>
      </c>
      <c r="D101" s="249">
        <v>6.4999999999999997E-4</v>
      </c>
      <c r="E101" s="231">
        <f t="shared" si="2"/>
        <v>778360148.49580002</v>
      </c>
      <c r="F101" s="220"/>
      <c r="G101" s="214"/>
    </row>
    <row r="102" spans="1:7" customFormat="1" ht="30" customHeight="1">
      <c r="A102" s="215">
        <v>97</v>
      </c>
      <c r="B102" s="216">
        <v>1.5</v>
      </c>
      <c r="C102" s="217" t="s">
        <v>162</v>
      </c>
      <c r="D102" s="218">
        <f>D103+D110+D112+D117</f>
        <v>0.38479999999957115</v>
      </c>
      <c r="E102" s="219">
        <f t="shared" si="2"/>
        <v>460789207909.00006</v>
      </c>
      <c r="F102" s="226"/>
      <c r="G102" s="214"/>
    </row>
    <row r="103" spans="1:7" s="226" customFormat="1" ht="30" customHeight="1">
      <c r="A103" s="221">
        <v>98</v>
      </c>
      <c r="B103" s="222" t="s">
        <v>210</v>
      </c>
      <c r="C103" s="223" t="s">
        <v>506</v>
      </c>
      <c r="D103" s="224">
        <f>D104+D107</f>
        <v>0.17999789600013938</v>
      </c>
      <c r="E103" s="225">
        <f t="shared" si="2"/>
        <v>215543367784.00009</v>
      </c>
      <c r="G103" s="214"/>
    </row>
    <row r="104" spans="1:7" s="226" customFormat="1" ht="24.95" customHeight="1">
      <c r="A104" s="227">
        <v>99</v>
      </c>
      <c r="B104" s="228" t="s">
        <v>215</v>
      </c>
      <c r="C104" s="229" t="s">
        <v>507</v>
      </c>
      <c r="D104" s="230">
        <f>SUM(D105:D106)</f>
        <v>8.9998948000069703E-2</v>
      </c>
      <c r="E104" s="231">
        <f t="shared" si="2"/>
        <v>107771683892.00006</v>
      </c>
      <c r="F104" s="1"/>
      <c r="G104" s="214"/>
    </row>
    <row r="105" spans="1:7" s="238" customFormat="1" ht="24.95" customHeight="1">
      <c r="A105" s="233">
        <v>100</v>
      </c>
      <c r="B105" s="234" t="s">
        <v>216</v>
      </c>
      <c r="C105" s="235" t="s">
        <v>508</v>
      </c>
      <c r="D105" s="236">
        <v>5.3999368800041803E-2</v>
      </c>
      <c r="E105" s="237">
        <f t="shared" si="2"/>
        <v>64663010335.200012</v>
      </c>
      <c r="F105" s="1"/>
      <c r="G105" s="214"/>
    </row>
    <row r="106" spans="1:7" s="238" customFormat="1" ht="24.95" customHeight="1">
      <c r="A106" s="233">
        <v>101</v>
      </c>
      <c r="B106" s="234" t="s">
        <v>217</v>
      </c>
      <c r="C106" s="235" t="s">
        <v>509</v>
      </c>
      <c r="D106" s="236">
        <v>3.5999579200027901E-2</v>
      </c>
      <c r="E106" s="237">
        <f t="shared" si="2"/>
        <v>43108673556.800049</v>
      </c>
      <c r="F106" s="226"/>
      <c r="G106" s="214"/>
    </row>
    <row r="107" spans="1:7" s="226" customFormat="1" ht="24.95" customHeight="1">
      <c r="A107" s="227">
        <v>102</v>
      </c>
      <c r="B107" s="228" t="s">
        <v>218</v>
      </c>
      <c r="C107" s="229" t="s">
        <v>510</v>
      </c>
      <c r="D107" s="230">
        <f>SUM(D108:D109)</f>
        <v>8.9998948000069662E-2</v>
      </c>
      <c r="E107" s="231">
        <f t="shared" si="2"/>
        <v>107771683892</v>
      </c>
      <c r="F107" s="1"/>
      <c r="G107" s="214"/>
    </row>
    <row r="108" spans="1:7" s="238" customFormat="1" ht="24.95" customHeight="1">
      <c r="A108" s="233">
        <v>103</v>
      </c>
      <c r="B108" s="234" t="s">
        <v>219</v>
      </c>
      <c r="C108" s="235" t="s">
        <v>512</v>
      </c>
      <c r="D108" s="236">
        <v>5.3999368800041796E-2</v>
      </c>
      <c r="E108" s="237">
        <f t="shared" si="2"/>
        <v>64663010335.200005</v>
      </c>
      <c r="F108" s="1"/>
      <c r="G108" s="214"/>
    </row>
    <row r="109" spans="1:7" s="238" customFormat="1" ht="24.95" customHeight="1">
      <c r="A109" s="233">
        <v>104</v>
      </c>
      <c r="B109" s="234" t="s">
        <v>220</v>
      </c>
      <c r="C109" s="235" t="s">
        <v>513</v>
      </c>
      <c r="D109" s="236">
        <v>3.5999579200027866E-2</v>
      </c>
      <c r="E109" s="237">
        <f t="shared" si="2"/>
        <v>43108673556.800003</v>
      </c>
      <c r="F109" s="226"/>
      <c r="G109" s="214"/>
    </row>
    <row r="110" spans="1:7" s="226" customFormat="1" ht="30" customHeight="1">
      <c r="A110" s="221">
        <v>105</v>
      </c>
      <c r="B110" s="222" t="s">
        <v>211</v>
      </c>
      <c r="C110" s="223" t="s">
        <v>595</v>
      </c>
      <c r="D110" s="224">
        <f>D111</f>
        <v>6.0001863999724001E-2</v>
      </c>
      <c r="E110" s="225">
        <f t="shared" si="2"/>
        <v>71850861188.999954</v>
      </c>
      <c r="G110" s="214"/>
    </row>
    <row r="111" spans="1:7" s="226" customFormat="1" ht="24.95" customHeight="1">
      <c r="A111" s="227">
        <v>106</v>
      </c>
      <c r="B111" s="228" t="s">
        <v>596</v>
      </c>
      <c r="C111" s="229" t="s">
        <v>597</v>
      </c>
      <c r="D111" s="230">
        <v>6.0001863999724001E-2</v>
      </c>
      <c r="E111" s="231">
        <f t="shared" si="2"/>
        <v>71850861188.999954</v>
      </c>
      <c r="F111" s="214"/>
    </row>
    <row r="112" spans="1:7" s="226" customFormat="1" ht="30" customHeight="1">
      <c r="A112" s="221">
        <v>107</v>
      </c>
      <c r="B112" s="222" t="s">
        <v>212</v>
      </c>
      <c r="C112" s="223" t="s">
        <v>515</v>
      </c>
      <c r="D112" s="224">
        <f>SUM(D113:D116)</f>
        <v>9.7600671999858807E-2</v>
      </c>
      <c r="E112" s="225">
        <f>SUM(E113:E116)</f>
        <v>116874574693.99995</v>
      </c>
    </row>
    <row r="113" spans="1:7" s="226" customFormat="1" ht="24.95" customHeight="1">
      <c r="A113" s="227">
        <v>108</v>
      </c>
      <c r="B113" s="228" t="s">
        <v>221</v>
      </c>
      <c r="C113" s="229" t="s">
        <v>598</v>
      </c>
      <c r="D113" s="230">
        <v>2.4400167999964698E-2</v>
      </c>
      <c r="E113" s="231">
        <f t="shared" ref="E113:E176" si="3">$F$6*D113</f>
        <v>29218643673.499985</v>
      </c>
    </row>
    <row r="114" spans="1:7" s="226" customFormat="1" ht="24.95" customHeight="1">
      <c r="A114" s="227">
        <v>109</v>
      </c>
      <c r="B114" s="228" t="s">
        <v>222</v>
      </c>
      <c r="C114" s="229" t="s">
        <v>599</v>
      </c>
      <c r="D114" s="230">
        <v>3.9040268799943524E-2</v>
      </c>
      <c r="E114" s="231">
        <f t="shared" si="3"/>
        <v>46749829877.599983</v>
      </c>
    </row>
    <row r="115" spans="1:7" s="226" customFormat="1" ht="24.95" customHeight="1">
      <c r="A115" s="227">
        <v>110</v>
      </c>
      <c r="B115" s="228" t="s">
        <v>223</v>
      </c>
      <c r="C115" s="229" t="s">
        <v>600</v>
      </c>
      <c r="D115" s="230">
        <v>1.9520134399971762E-2</v>
      </c>
      <c r="E115" s="231">
        <f t="shared" si="3"/>
        <v>23374914938.799992</v>
      </c>
    </row>
    <row r="116" spans="1:7" s="226" customFormat="1" ht="24.95" customHeight="1">
      <c r="A116" s="227">
        <v>111</v>
      </c>
      <c r="B116" s="228" t="s">
        <v>224</v>
      </c>
      <c r="C116" s="229" t="s">
        <v>601</v>
      </c>
      <c r="D116" s="230">
        <v>1.4640100799978821E-2</v>
      </c>
      <c r="E116" s="231">
        <f t="shared" si="3"/>
        <v>17531186204.099991</v>
      </c>
    </row>
    <row r="117" spans="1:7" s="226" customFormat="1" ht="30" customHeight="1">
      <c r="A117" s="221">
        <v>112</v>
      </c>
      <c r="B117" s="222" t="s">
        <v>213</v>
      </c>
      <c r="C117" s="223" t="s">
        <v>602</v>
      </c>
      <c r="D117" s="224">
        <v>4.7199567999848903E-2</v>
      </c>
      <c r="E117" s="225">
        <f t="shared" si="3"/>
        <v>56520404242</v>
      </c>
      <c r="F117" s="220"/>
      <c r="G117" s="214"/>
    </row>
    <row r="118" spans="1:7" customFormat="1" ht="30" customHeight="1">
      <c r="A118" s="215">
        <v>113</v>
      </c>
      <c r="B118" s="216">
        <v>1.6</v>
      </c>
      <c r="C118" s="217" t="s">
        <v>449</v>
      </c>
      <c r="D118" s="218">
        <f>SUM(D119,D147,D189,D217,D259,D287,D329)</f>
        <v>0.50220000000004483</v>
      </c>
      <c r="E118" s="219">
        <f t="shared" si="3"/>
        <v>601373025499.42407</v>
      </c>
      <c r="F118" s="226"/>
      <c r="G118" s="214"/>
    </row>
    <row r="119" spans="1:7" s="226" customFormat="1" ht="30" customHeight="1">
      <c r="A119" s="221">
        <v>114</v>
      </c>
      <c r="B119" s="222" t="s">
        <v>206</v>
      </c>
      <c r="C119" s="223" t="s">
        <v>451</v>
      </c>
      <c r="D119" s="224">
        <f>D120+D131</f>
        <v>2.3086587684475926E-2</v>
      </c>
      <c r="E119" s="225">
        <f t="shared" si="3"/>
        <v>27645661258.999985</v>
      </c>
      <c r="G119" s="214"/>
    </row>
    <row r="120" spans="1:7" s="226" customFormat="1" ht="24.95" customHeight="1">
      <c r="A120" s="227">
        <v>115</v>
      </c>
      <c r="B120" s="251" t="s">
        <v>226</v>
      </c>
      <c r="C120" s="252" t="s">
        <v>569</v>
      </c>
      <c r="D120" s="230">
        <f>SUM(D121:D130)</f>
        <v>1.2697623227756138E-2</v>
      </c>
      <c r="E120" s="253">
        <f t="shared" si="3"/>
        <v>15205113693.999981</v>
      </c>
      <c r="F120" s="1"/>
      <c r="G120" s="214"/>
    </row>
    <row r="121" spans="1:7" s="238" customFormat="1" ht="24.95" customHeight="1">
      <c r="A121" s="233">
        <v>116</v>
      </c>
      <c r="B121" s="234" t="s">
        <v>227</v>
      </c>
      <c r="C121" s="235" t="s">
        <v>530</v>
      </c>
      <c r="D121" s="254">
        <v>6.3488116163833402E-4</v>
      </c>
      <c r="E121" s="255">
        <f t="shared" si="3"/>
        <v>760255684.99999952</v>
      </c>
      <c r="F121" s="1"/>
      <c r="G121" s="214"/>
    </row>
    <row r="122" spans="1:7" s="238" customFormat="1" ht="24.95" customHeight="1">
      <c r="A122" s="233">
        <v>117</v>
      </c>
      <c r="B122" s="234" t="s">
        <v>228</v>
      </c>
      <c r="C122" s="235" t="s">
        <v>531</v>
      </c>
      <c r="D122" s="254">
        <v>1.26976232244158E-3</v>
      </c>
      <c r="E122" s="255">
        <f t="shared" si="3"/>
        <v>1520511369</v>
      </c>
      <c r="F122" s="1"/>
      <c r="G122" s="214"/>
    </row>
    <row r="123" spans="1:7" s="238" customFormat="1" ht="24.95" customHeight="1">
      <c r="A123" s="233">
        <v>118</v>
      </c>
      <c r="B123" s="234" t="s">
        <v>229</v>
      </c>
      <c r="C123" s="235" t="s">
        <v>532</v>
      </c>
      <c r="D123" s="254">
        <v>1.26976232244158E-3</v>
      </c>
      <c r="E123" s="255">
        <f t="shared" si="3"/>
        <v>1520511369</v>
      </c>
      <c r="F123" s="1"/>
      <c r="G123" s="214"/>
    </row>
    <row r="124" spans="1:7" s="238" customFormat="1" ht="24.95" customHeight="1">
      <c r="A124" s="233">
        <v>119</v>
      </c>
      <c r="B124" s="234" t="s">
        <v>230</v>
      </c>
      <c r="C124" s="235" t="s">
        <v>533</v>
      </c>
      <c r="D124" s="254">
        <v>2.5395246457182502E-3</v>
      </c>
      <c r="E124" s="255">
        <f t="shared" si="3"/>
        <v>3041022739.0000019</v>
      </c>
      <c r="F124" s="1"/>
      <c r="G124" s="214"/>
    </row>
    <row r="125" spans="1:7" s="238" customFormat="1" ht="24.95" customHeight="1">
      <c r="A125" s="233">
        <v>120</v>
      </c>
      <c r="B125" s="234" t="s">
        <v>230</v>
      </c>
      <c r="C125" s="235" t="s">
        <v>534</v>
      </c>
      <c r="D125" s="254">
        <v>1.90464348407991E-3</v>
      </c>
      <c r="E125" s="255">
        <f t="shared" si="3"/>
        <v>2280767053.9999948</v>
      </c>
      <c r="F125" s="1"/>
      <c r="G125" s="214"/>
    </row>
    <row r="126" spans="1:7" s="238" customFormat="1" ht="24.95" customHeight="1">
      <c r="A126" s="233">
        <v>121</v>
      </c>
      <c r="B126" s="234" t="s">
        <v>231</v>
      </c>
      <c r="C126" s="235" t="s">
        <v>603</v>
      </c>
      <c r="D126" s="254">
        <v>1.1427860901139101E-3</v>
      </c>
      <c r="E126" s="255">
        <f t="shared" si="3"/>
        <v>1368460231.9999964</v>
      </c>
      <c r="F126" s="1"/>
      <c r="G126" s="214"/>
    </row>
    <row r="127" spans="1:7" s="238" customFormat="1" ht="24.95" customHeight="1">
      <c r="A127" s="233">
        <v>122</v>
      </c>
      <c r="B127" s="234" t="s">
        <v>232</v>
      </c>
      <c r="C127" s="235" t="s">
        <v>536</v>
      </c>
      <c r="D127" s="254">
        <v>7.61857393966001E-4</v>
      </c>
      <c r="E127" s="255">
        <f t="shared" si="3"/>
        <v>912306821.99999964</v>
      </c>
      <c r="F127" s="1"/>
      <c r="G127" s="214"/>
    </row>
    <row r="128" spans="1:7" s="238" customFormat="1" ht="24.95" customHeight="1">
      <c r="A128" s="233">
        <v>123</v>
      </c>
      <c r="B128" s="234" t="s">
        <v>233</v>
      </c>
      <c r="C128" s="235" t="s">
        <v>537</v>
      </c>
      <c r="D128" s="254">
        <v>1.2697623228591201E-3</v>
      </c>
      <c r="E128" s="255">
        <f t="shared" si="3"/>
        <v>1520511369.4999948</v>
      </c>
      <c r="F128" s="1"/>
      <c r="G128" s="214"/>
    </row>
    <row r="129" spans="1:7" s="238" customFormat="1" ht="24.95" customHeight="1">
      <c r="A129" s="233">
        <v>124</v>
      </c>
      <c r="B129" s="234" t="s">
        <v>234</v>
      </c>
      <c r="C129" s="235" t="s">
        <v>538</v>
      </c>
      <c r="D129" s="254">
        <v>1.2697623228591201E-3</v>
      </c>
      <c r="E129" s="255">
        <f t="shared" si="3"/>
        <v>1520511369.4999948</v>
      </c>
      <c r="F129" s="1"/>
      <c r="G129" s="214"/>
    </row>
    <row r="130" spans="1:7" s="238" customFormat="1" ht="24.95" customHeight="1">
      <c r="A130" s="233">
        <v>125</v>
      </c>
      <c r="B130" s="234" t="s">
        <v>235</v>
      </c>
      <c r="C130" s="235" t="s">
        <v>539</v>
      </c>
      <c r="D130" s="254">
        <v>6.3488116163833402E-4</v>
      </c>
      <c r="E130" s="255">
        <f t="shared" si="3"/>
        <v>760255684.99999952</v>
      </c>
      <c r="F130" s="226"/>
      <c r="G130" s="214"/>
    </row>
    <row r="131" spans="1:7" s="226" customFormat="1" ht="24.95" customHeight="1">
      <c r="A131" s="227">
        <v>126</v>
      </c>
      <c r="B131" s="251" t="s">
        <v>236</v>
      </c>
      <c r="C131" s="252" t="s">
        <v>604</v>
      </c>
      <c r="D131" s="230">
        <f>(SUM(D132:D146))</f>
        <v>1.0388964456719786E-2</v>
      </c>
      <c r="E131" s="253">
        <f t="shared" si="3"/>
        <v>12440547565.000002</v>
      </c>
      <c r="F131" s="1"/>
      <c r="G131" s="214"/>
    </row>
    <row r="132" spans="1:7" s="238" customFormat="1" ht="24.95" customHeight="1">
      <c r="A132" s="233">
        <v>127</v>
      </c>
      <c r="B132" s="234" t="s">
        <v>237</v>
      </c>
      <c r="C132" s="235" t="s">
        <v>545</v>
      </c>
      <c r="D132" s="254">
        <v>1.03889644859479E-4</v>
      </c>
      <c r="E132" s="255">
        <f t="shared" si="3"/>
        <v>124405476</v>
      </c>
      <c r="F132" s="1"/>
      <c r="G132" s="214"/>
    </row>
    <row r="133" spans="1:7" s="238" customFormat="1" ht="24.95" customHeight="1">
      <c r="A133" s="233">
        <v>128</v>
      </c>
      <c r="B133" s="234" t="s">
        <v>238</v>
      </c>
      <c r="C133" s="235" t="s">
        <v>605</v>
      </c>
      <c r="D133" s="254">
        <v>2.5660742211813998E-3</v>
      </c>
      <c r="E133" s="255">
        <f t="shared" si="3"/>
        <v>3072815248.9999981</v>
      </c>
      <c r="F133" s="1"/>
      <c r="G133" s="214"/>
    </row>
    <row r="134" spans="1:7" s="238" customFormat="1" ht="24.95" customHeight="1">
      <c r="A134" s="233">
        <v>129</v>
      </c>
      <c r="B134" s="234" t="s">
        <v>239</v>
      </c>
      <c r="C134" s="235" t="s">
        <v>606</v>
      </c>
      <c r="D134" s="254">
        <v>9.7656265883980004E-4</v>
      </c>
      <c r="E134" s="255">
        <f t="shared" si="3"/>
        <v>1169411471</v>
      </c>
      <c r="F134" s="1"/>
      <c r="G134" s="214"/>
    </row>
    <row r="135" spans="1:7" s="238" customFormat="1" ht="24.95" customHeight="1">
      <c r="A135" s="233">
        <v>130</v>
      </c>
      <c r="B135" s="234" t="s">
        <v>240</v>
      </c>
      <c r="C135" s="235" t="s">
        <v>607</v>
      </c>
      <c r="D135" s="254">
        <v>3.7400272015798198E-4</v>
      </c>
      <c r="E135" s="255">
        <f t="shared" si="3"/>
        <v>447859712</v>
      </c>
      <c r="F135" s="1"/>
      <c r="G135" s="214"/>
    </row>
    <row r="136" spans="1:7" s="238" customFormat="1" ht="24.95" customHeight="1">
      <c r="A136" s="233">
        <v>131</v>
      </c>
      <c r="B136" s="234" t="s">
        <v>241</v>
      </c>
      <c r="C136" s="235" t="s">
        <v>608</v>
      </c>
      <c r="D136" s="254">
        <v>4.5711443621258298E-4</v>
      </c>
      <c r="E136" s="255">
        <f t="shared" si="3"/>
        <v>547384093</v>
      </c>
      <c r="F136" s="1"/>
      <c r="G136" s="214"/>
    </row>
    <row r="137" spans="1:7" s="238" customFormat="1" ht="24.95" customHeight="1">
      <c r="A137" s="233">
        <v>132</v>
      </c>
      <c r="B137" s="234" t="s">
        <v>242</v>
      </c>
      <c r="C137" s="235" t="s">
        <v>609</v>
      </c>
      <c r="D137" s="254">
        <v>2.3894618250873099E-3</v>
      </c>
      <c r="E137" s="255">
        <f t="shared" si="3"/>
        <v>2861325940.0000057</v>
      </c>
      <c r="F137" s="1"/>
      <c r="G137" s="214"/>
    </row>
    <row r="138" spans="1:7" s="238" customFormat="1" ht="24.95" customHeight="1">
      <c r="A138" s="233">
        <v>133</v>
      </c>
      <c r="B138" s="234" t="s">
        <v>243</v>
      </c>
      <c r="C138" s="235" t="s">
        <v>610</v>
      </c>
      <c r="D138" s="254">
        <v>5.2983718744720003E-4</v>
      </c>
      <c r="E138" s="255">
        <f t="shared" si="3"/>
        <v>634467925.9999994</v>
      </c>
      <c r="F138" s="1"/>
      <c r="G138" s="214"/>
    </row>
    <row r="139" spans="1:7" s="238" customFormat="1" ht="24.95" customHeight="1">
      <c r="A139" s="233">
        <v>134</v>
      </c>
      <c r="B139" s="234" t="s">
        <v>244</v>
      </c>
      <c r="C139" s="235" t="s">
        <v>611</v>
      </c>
      <c r="D139" s="254">
        <v>2.49335147328714E-4</v>
      </c>
      <c r="E139" s="255">
        <f t="shared" si="3"/>
        <v>298573142</v>
      </c>
      <c r="F139" s="1"/>
      <c r="G139" s="214"/>
    </row>
    <row r="140" spans="1:7" s="238" customFormat="1" ht="24.95" customHeight="1">
      <c r="A140" s="233">
        <v>135</v>
      </c>
      <c r="B140" s="234" t="s">
        <v>612</v>
      </c>
      <c r="C140" s="235" t="s">
        <v>557</v>
      </c>
      <c r="D140" s="254">
        <v>6.1294890266671296E-4</v>
      </c>
      <c r="E140" s="255">
        <f t="shared" si="3"/>
        <v>733992306.0000006</v>
      </c>
      <c r="F140" s="1"/>
      <c r="G140" s="214"/>
    </row>
    <row r="141" spans="1:7" s="238" customFormat="1" ht="24.95" customHeight="1">
      <c r="A141" s="233">
        <v>136</v>
      </c>
      <c r="B141" s="234" t="s">
        <v>613</v>
      </c>
      <c r="C141" s="235" t="s">
        <v>558</v>
      </c>
      <c r="D141" s="254">
        <v>6.1294890266671296E-4</v>
      </c>
      <c r="E141" s="255">
        <f t="shared" si="3"/>
        <v>733992306.0000006</v>
      </c>
      <c r="F141" s="1"/>
      <c r="G141" s="214"/>
    </row>
    <row r="142" spans="1:7" s="238" customFormat="1" ht="24.95" customHeight="1">
      <c r="A142" s="233">
        <v>137</v>
      </c>
      <c r="B142" s="234" t="s">
        <v>614</v>
      </c>
      <c r="C142" s="235" t="s">
        <v>559</v>
      </c>
      <c r="D142" s="254">
        <v>4.1555857860282701E-4</v>
      </c>
      <c r="E142" s="255">
        <f t="shared" si="3"/>
        <v>497621903</v>
      </c>
      <c r="F142" s="1"/>
      <c r="G142" s="214"/>
    </row>
    <row r="143" spans="1:7" s="238" customFormat="1" ht="24.95" customHeight="1">
      <c r="A143" s="233">
        <v>138</v>
      </c>
      <c r="B143" s="234" t="s">
        <v>615</v>
      </c>
      <c r="C143" s="235" t="s">
        <v>616</v>
      </c>
      <c r="D143" s="254">
        <v>4.1555857860282701E-4</v>
      </c>
      <c r="E143" s="255">
        <f t="shared" si="3"/>
        <v>497621903</v>
      </c>
      <c r="F143" s="1"/>
      <c r="G143" s="214"/>
    </row>
    <row r="144" spans="1:7" s="238" customFormat="1" ht="24.95" customHeight="1">
      <c r="A144" s="233">
        <v>139</v>
      </c>
      <c r="B144" s="234" t="s">
        <v>617</v>
      </c>
      <c r="C144" s="235" t="s">
        <v>618</v>
      </c>
      <c r="D144" s="254">
        <v>2.2855721768874699E-4</v>
      </c>
      <c r="E144" s="255">
        <f t="shared" si="3"/>
        <v>273692046</v>
      </c>
      <c r="F144" s="1"/>
      <c r="G144" s="214"/>
    </row>
    <row r="145" spans="1:7" s="238" customFormat="1" ht="24.95" customHeight="1">
      <c r="A145" s="233">
        <v>140</v>
      </c>
      <c r="B145" s="234" t="s">
        <v>619</v>
      </c>
      <c r="C145" s="235" t="s">
        <v>620</v>
      </c>
      <c r="D145" s="254">
        <v>2.2855721768874699E-4</v>
      </c>
      <c r="E145" s="255">
        <f t="shared" si="3"/>
        <v>273692046</v>
      </c>
      <c r="F145" s="1"/>
      <c r="G145" s="214"/>
    </row>
    <row r="146" spans="1:7" s="238" customFormat="1" ht="24.95" customHeight="1">
      <c r="A146" s="233">
        <v>141</v>
      </c>
      <c r="B146" s="234" t="s">
        <v>621</v>
      </c>
      <c r="C146" s="235" t="s">
        <v>622</v>
      </c>
      <c r="D146" s="254">
        <v>2.2855721768874699E-4</v>
      </c>
      <c r="E146" s="255">
        <f t="shared" si="3"/>
        <v>273692046</v>
      </c>
      <c r="F146" s="226"/>
      <c r="G146" s="214"/>
    </row>
    <row r="147" spans="1:7" s="226" customFormat="1" ht="30" customHeight="1">
      <c r="A147" s="221">
        <v>142</v>
      </c>
      <c r="B147" s="222" t="s">
        <v>207</v>
      </c>
      <c r="C147" s="223" t="s">
        <v>623</v>
      </c>
      <c r="D147" s="224">
        <f>D148+D159+D170</f>
        <v>0.13105999999934537</v>
      </c>
      <c r="E147" s="225">
        <f t="shared" si="3"/>
        <v>156941355479</v>
      </c>
      <c r="G147" s="214"/>
    </row>
    <row r="148" spans="1:7" s="226" customFormat="1" ht="24.95" customHeight="1">
      <c r="A148" s="227">
        <v>143</v>
      </c>
      <c r="B148" s="251" t="s">
        <v>264</v>
      </c>
      <c r="C148" s="252" t="s">
        <v>569</v>
      </c>
      <c r="D148" s="230">
        <f>SUM(D149:D158)</f>
        <v>4.8492200000400804E-2</v>
      </c>
      <c r="E148" s="253">
        <f t="shared" si="3"/>
        <v>58068301528</v>
      </c>
      <c r="F148" s="1"/>
      <c r="G148" s="214"/>
    </row>
    <row r="149" spans="1:7" s="238" customFormat="1" ht="24.95" customHeight="1">
      <c r="A149" s="233">
        <v>144</v>
      </c>
      <c r="B149" s="234" t="s">
        <v>265</v>
      </c>
      <c r="C149" s="235" t="s">
        <v>530</v>
      </c>
      <c r="D149" s="254">
        <v>2.4246099996860044E-3</v>
      </c>
      <c r="E149" s="255">
        <f t="shared" si="3"/>
        <v>2903415076</v>
      </c>
      <c r="F149" s="1"/>
      <c r="G149" s="214"/>
    </row>
    <row r="150" spans="1:7" s="238" customFormat="1" ht="24.95" customHeight="1">
      <c r="A150" s="233">
        <v>145</v>
      </c>
      <c r="B150" s="234" t="s">
        <v>266</v>
      </c>
      <c r="C150" s="235" t="s">
        <v>531</v>
      </c>
      <c r="D150" s="254">
        <v>4.8492200002070978E-3</v>
      </c>
      <c r="E150" s="255">
        <f t="shared" si="3"/>
        <v>5806830153</v>
      </c>
      <c r="F150" s="1"/>
      <c r="G150" s="214"/>
    </row>
    <row r="151" spans="1:7" s="238" customFormat="1" ht="24.95" customHeight="1">
      <c r="A151" s="233">
        <v>146</v>
      </c>
      <c r="B151" s="234" t="s">
        <v>267</v>
      </c>
      <c r="C151" s="235" t="s">
        <v>539</v>
      </c>
      <c r="D151" s="254">
        <v>2.4246099996860044E-3</v>
      </c>
      <c r="E151" s="255">
        <f t="shared" si="3"/>
        <v>2903415076</v>
      </c>
      <c r="F151" s="1"/>
      <c r="G151" s="214"/>
    </row>
    <row r="152" spans="1:7" s="238" customFormat="1" ht="24.95" customHeight="1">
      <c r="A152" s="233">
        <v>147</v>
      </c>
      <c r="B152" s="234" t="s">
        <v>268</v>
      </c>
      <c r="C152" s="235" t="s">
        <v>624</v>
      </c>
      <c r="D152" s="254">
        <v>4.8492200002070978E-3</v>
      </c>
      <c r="E152" s="255">
        <f t="shared" si="3"/>
        <v>5806830153</v>
      </c>
      <c r="F152" s="1"/>
      <c r="G152" s="214"/>
    </row>
    <row r="153" spans="1:7" s="238" customFormat="1" ht="24.95" customHeight="1">
      <c r="A153" s="233">
        <v>148</v>
      </c>
      <c r="B153" s="234" t="s">
        <v>269</v>
      </c>
      <c r="C153" s="235" t="s">
        <v>625</v>
      </c>
      <c r="D153" s="254">
        <v>9.6984400004141956E-3</v>
      </c>
      <c r="E153" s="255">
        <f t="shared" si="3"/>
        <v>11613660306</v>
      </c>
      <c r="F153" s="1"/>
      <c r="G153" s="214"/>
    </row>
    <row r="154" spans="1:7" s="238" customFormat="1" ht="24.95" customHeight="1">
      <c r="A154" s="233">
        <v>149</v>
      </c>
      <c r="B154" s="234" t="s">
        <v>270</v>
      </c>
      <c r="C154" s="235" t="s">
        <v>626</v>
      </c>
      <c r="D154" s="254">
        <v>7.2738299998931022E-3</v>
      </c>
      <c r="E154" s="255">
        <f t="shared" si="3"/>
        <v>8710245229</v>
      </c>
      <c r="F154" s="1"/>
      <c r="G154" s="214"/>
    </row>
    <row r="155" spans="1:7" s="238" customFormat="1" ht="24.95" customHeight="1">
      <c r="A155" s="233">
        <v>150</v>
      </c>
      <c r="B155" s="234" t="s">
        <v>271</v>
      </c>
      <c r="C155" s="235" t="s">
        <v>627</v>
      </c>
      <c r="D155" s="254">
        <v>5.576603000279917E-3</v>
      </c>
      <c r="E155" s="255">
        <f t="shared" si="3"/>
        <v>6677854676</v>
      </c>
      <c r="F155" s="1"/>
      <c r="G155" s="214"/>
    </row>
    <row r="156" spans="1:7" s="238" customFormat="1" ht="24.95" customHeight="1">
      <c r="A156" s="233">
        <v>151</v>
      </c>
      <c r="B156" s="234" t="s">
        <v>272</v>
      </c>
      <c r="C156" s="235" t="s">
        <v>628</v>
      </c>
      <c r="D156" s="254">
        <v>4.1218370001342786E-3</v>
      </c>
      <c r="E156" s="255">
        <f t="shared" si="3"/>
        <v>4935805630</v>
      </c>
      <c r="F156" s="1"/>
      <c r="G156" s="214"/>
    </row>
    <row r="157" spans="1:7" s="238" customFormat="1" ht="24.95" customHeight="1">
      <c r="A157" s="233">
        <v>152</v>
      </c>
      <c r="B157" s="234" t="s">
        <v>273</v>
      </c>
      <c r="C157" s="235" t="s">
        <v>629</v>
      </c>
      <c r="D157" s="254">
        <v>3.6369149999465511E-3</v>
      </c>
      <c r="E157" s="255">
        <f t="shared" si="3"/>
        <v>4355122614.5</v>
      </c>
      <c r="F157" s="1"/>
      <c r="G157" s="214"/>
    </row>
    <row r="158" spans="1:7" s="238" customFormat="1" ht="24.95" customHeight="1">
      <c r="A158" s="233">
        <v>153</v>
      </c>
      <c r="B158" s="234" t="s">
        <v>630</v>
      </c>
      <c r="C158" s="235" t="s">
        <v>631</v>
      </c>
      <c r="D158" s="254">
        <v>3.6369149999465511E-3</v>
      </c>
      <c r="E158" s="255">
        <f t="shared" si="3"/>
        <v>4355122614.5</v>
      </c>
      <c r="F158" s="244"/>
      <c r="G158" s="214"/>
    </row>
    <row r="159" spans="1:7" s="226" customFormat="1" ht="24.95" customHeight="1">
      <c r="A159" s="227">
        <v>154</v>
      </c>
      <c r="B159" s="251" t="s">
        <v>632</v>
      </c>
      <c r="C159" s="252" t="s">
        <v>633</v>
      </c>
      <c r="D159" s="230">
        <f>SUM(D160:D169)</f>
        <v>3.9318000000054136E-2</v>
      </c>
      <c r="E159" s="253">
        <f t="shared" si="3"/>
        <v>47082406644</v>
      </c>
      <c r="F159" s="1"/>
      <c r="G159" s="214"/>
    </row>
    <row r="160" spans="1:7" s="238" customFormat="1" ht="24.95" customHeight="1">
      <c r="A160" s="233">
        <v>155</v>
      </c>
      <c r="B160" s="234" t="s">
        <v>634</v>
      </c>
      <c r="C160" s="235" t="s">
        <v>564</v>
      </c>
      <c r="D160" s="254">
        <v>1.3368120000886898E-3</v>
      </c>
      <c r="E160" s="255">
        <f t="shared" si="3"/>
        <v>1600801826</v>
      </c>
      <c r="F160" s="1"/>
      <c r="G160" s="214"/>
    </row>
    <row r="161" spans="1:7" s="238" customFormat="1" ht="24.95" customHeight="1">
      <c r="A161" s="233">
        <v>156</v>
      </c>
      <c r="B161" s="234" t="s">
        <v>635</v>
      </c>
      <c r="C161" s="235" t="s">
        <v>636</v>
      </c>
      <c r="D161" s="254">
        <v>7.077240000076551E-3</v>
      </c>
      <c r="E161" s="255">
        <f t="shared" si="3"/>
        <v>8474833196</v>
      </c>
      <c r="F161" s="1"/>
      <c r="G161" s="214"/>
    </row>
    <row r="162" spans="1:7" s="238" customFormat="1" ht="24.95" customHeight="1">
      <c r="A162" s="233">
        <v>157</v>
      </c>
      <c r="B162" s="234" t="s">
        <v>637</v>
      </c>
      <c r="C162" s="235" t="s">
        <v>638</v>
      </c>
      <c r="D162" s="254">
        <v>1.4154480000153102E-2</v>
      </c>
      <c r="E162" s="255">
        <f t="shared" si="3"/>
        <v>16949666392</v>
      </c>
      <c r="F162" s="1"/>
      <c r="G162" s="214"/>
    </row>
    <row r="163" spans="1:7" s="238" customFormat="1" ht="24.95" customHeight="1">
      <c r="A163" s="233">
        <v>158</v>
      </c>
      <c r="B163" s="234" t="s">
        <v>639</v>
      </c>
      <c r="C163" s="235" t="s">
        <v>640</v>
      </c>
      <c r="D163" s="254">
        <v>7.077240000076551E-3</v>
      </c>
      <c r="E163" s="255">
        <f t="shared" si="3"/>
        <v>8474833196</v>
      </c>
      <c r="F163" s="1"/>
      <c r="G163" s="214"/>
    </row>
    <row r="164" spans="1:7" s="238" customFormat="1" ht="24.95" customHeight="1">
      <c r="A164" s="233">
        <v>159</v>
      </c>
      <c r="B164" s="234" t="s">
        <v>641</v>
      </c>
      <c r="C164" s="235" t="s">
        <v>642</v>
      </c>
      <c r="D164" s="254">
        <v>3.9317999963310216E-4</v>
      </c>
      <c r="E164" s="255">
        <f t="shared" si="3"/>
        <v>470824066</v>
      </c>
      <c r="F164" s="1"/>
      <c r="G164" s="214"/>
    </row>
    <row r="165" spans="1:7" s="238" customFormat="1" ht="24.95" customHeight="1">
      <c r="A165" s="233">
        <v>160</v>
      </c>
      <c r="B165" s="234" t="s">
        <v>643</v>
      </c>
      <c r="C165" s="235" t="s">
        <v>644</v>
      </c>
      <c r="D165" s="254">
        <v>7.0772400034169072E-4</v>
      </c>
      <c r="E165" s="255">
        <f t="shared" si="3"/>
        <v>847483320</v>
      </c>
      <c r="F165" s="1"/>
      <c r="G165" s="214"/>
    </row>
    <row r="166" spans="1:7" s="238" customFormat="1" ht="24.95" customHeight="1">
      <c r="A166" s="233">
        <v>161</v>
      </c>
      <c r="B166" s="234" t="s">
        <v>645</v>
      </c>
      <c r="C166" s="235" t="s">
        <v>646</v>
      </c>
      <c r="D166" s="254">
        <v>2.2018079999495859E-3</v>
      </c>
      <c r="E166" s="255">
        <f t="shared" si="3"/>
        <v>2636614772</v>
      </c>
      <c r="F166" s="1"/>
      <c r="G166" s="214"/>
    </row>
    <row r="167" spans="1:7" s="238" customFormat="1" ht="24.95" customHeight="1">
      <c r="A167" s="233">
        <v>162</v>
      </c>
      <c r="B167" s="234" t="s">
        <v>647</v>
      </c>
      <c r="C167" s="235" t="s">
        <v>648</v>
      </c>
      <c r="D167" s="254">
        <v>3.3027119999243788E-3</v>
      </c>
      <c r="E167" s="255">
        <f t="shared" si="3"/>
        <v>3954922158</v>
      </c>
      <c r="F167" s="1"/>
      <c r="G167" s="214"/>
    </row>
    <row r="168" spans="1:7" s="238" customFormat="1" ht="24.95" customHeight="1">
      <c r="A168" s="233">
        <v>163</v>
      </c>
      <c r="B168" s="234" t="s">
        <v>649</v>
      </c>
      <c r="C168" s="235" t="s">
        <v>650</v>
      </c>
      <c r="D168" s="254">
        <v>1.1009039999747929E-3</v>
      </c>
      <c r="E168" s="255">
        <f t="shared" si="3"/>
        <v>1318307386</v>
      </c>
      <c r="F168" s="1"/>
      <c r="G168" s="214"/>
    </row>
    <row r="169" spans="1:7" s="238" customFormat="1" ht="24.95" customHeight="1">
      <c r="A169" s="233">
        <v>164</v>
      </c>
      <c r="B169" s="234" t="s">
        <v>651</v>
      </c>
      <c r="C169" s="235" t="s">
        <v>539</v>
      </c>
      <c r="D169" s="254">
        <v>1.9658999998356888E-3</v>
      </c>
      <c r="E169" s="255">
        <f t="shared" si="3"/>
        <v>2354120332</v>
      </c>
      <c r="F169" s="226"/>
      <c r="G169" s="214"/>
    </row>
    <row r="170" spans="1:7" s="226" customFormat="1" ht="24.95" customHeight="1">
      <c r="A170" s="227">
        <v>165</v>
      </c>
      <c r="B170" s="251" t="s">
        <v>274</v>
      </c>
      <c r="C170" s="252" t="s">
        <v>604</v>
      </c>
      <c r="D170" s="230">
        <f>SUM(D171:D188)</f>
        <v>4.324979999889042E-2</v>
      </c>
      <c r="E170" s="253">
        <f t="shared" si="3"/>
        <v>51790647307</v>
      </c>
      <c r="F170" s="1"/>
      <c r="G170" s="214"/>
    </row>
    <row r="171" spans="1:7" s="238" customFormat="1" ht="24.95" customHeight="1">
      <c r="A171" s="233">
        <v>166</v>
      </c>
      <c r="B171" s="234" t="s">
        <v>275</v>
      </c>
      <c r="C171" s="235" t="s">
        <v>545</v>
      </c>
      <c r="D171" s="254">
        <v>4.3249799993044802E-4</v>
      </c>
      <c r="E171" s="255">
        <f t="shared" si="3"/>
        <v>517906473</v>
      </c>
      <c r="F171" s="1"/>
      <c r="G171" s="214"/>
    </row>
    <row r="172" spans="1:7" s="238" customFormat="1" ht="24.95" customHeight="1">
      <c r="A172" s="233">
        <v>167</v>
      </c>
      <c r="B172" s="234" t="s">
        <v>276</v>
      </c>
      <c r="C172" s="235" t="s">
        <v>546</v>
      </c>
      <c r="D172" s="254">
        <v>4.2817302003970506E-3</v>
      </c>
      <c r="E172" s="255">
        <f t="shared" si="3"/>
        <v>5127274084</v>
      </c>
      <c r="F172" s="1"/>
      <c r="G172" s="214"/>
    </row>
    <row r="173" spans="1:7" s="238" customFormat="1" ht="24.95" customHeight="1">
      <c r="A173" s="233">
        <v>168</v>
      </c>
      <c r="B173" s="234" t="s">
        <v>277</v>
      </c>
      <c r="C173" s="235" t="s">
        <v>547</v>
      </c>
      <c r="D173" s="254">
        <v>4.3249800001395689E-3</v>
      </c>
      <c r="E173" s="255">
        <f t="shared" si="3"/>
        <v>5179064731</v>
      </c>
      <c r="F173" s="1"/>
      <c r="G173" s="214"/>
    </row>
    <row r="174" spans="1:7" s="238" customFormat="1" ht="24.95" customHeight="1">
      <c r="A174" s="233">
        <v>169</v>
      </c>
      <c r="B174" s="234" t="s">
        <v>278</v>
      </c>
      <c r="C174" s="235" t="s">
        <v>548</v>
      </c>
      <c r="D174" s="254">
        <v>4.3249800001395689E-3</v>
      </c>
      <c r="E174" s="255">
        <f t="shared" si="3"/>
        <v>5179064731</v>
      </c>
      <c r="F174" s="1"/>
      <c r="G174" s="214"/>
    </row>
    <row r="175" spans="1:7" s="238" customFormat="1" ht="24.95" customHeight="1">
      <c r="A175" s="233">
        <v>170</v>
      </c>
      <c r="B175" s="234" t="s">
        <v>279</v>
      </c>
      <c r="C175" s="235" t="s">
        <v>549</v>
      </c>
      <c r="D175" s="254">
        <v>3.4599840002786731E-3</v>
      </c>
      <c r="E175" s="255">
        <f t="shared" si="3"/>
        <v>4143251785</v>
      </c>
      <c r="F175" s="1"/>
      <c r="G175" s="214"/>
    </row>
    <row r="176" spans="1:7" s="238" customFormat="1" ht="24.95" customHeight="1">
      <c r="A176" s="233">
        <v>171</v>
      </c>
      <c r="B176" s="234" t="s">
        <v>280</v>
      </c>
      <c r="C176" s="235" t="s">
        <v>550</v>
      </c>
      <c r="D176" s="254">
        <v>2.16248999965224E-3</v>
      </c>
      <c r="E176" s="255">
        <f t="shared" si="3"/>
        <v>2589532365</v>
      </c>
      <c r="F176" s="1"/>
      <c r="G176" s="214"/>
    </row>
    <row r="177" spans="1:7" s="238" customFormat="1" ht="24.95" customHeight="1">
      <c r="A177" s="233">
        <v>172</v>
      </c>
      <c r="B177" s="234" t="s">
        <v>281</v>
      </c>
      <c r="C177" s="235" t="s">
        <v>551</v>
      </c>
      <c r="D177" s="254">
        <v>1.7299919997217921E-3</v>
      </c>
      <c r="E177" s="255">
        <f t="shared" ref="E177:E240" si="4">$F$6*D177</f>
        <v>2071625892</v>
      </c>
      <c r="F177" s="1"/>
      <c r="G177" s="214"/>
    </row>
    <row r="178" spans="1:7" s="238" customFormat="1" ht="24.95" customHeight="1">
      <c r="A178" s="233">
        <v>173</v>
      </c>
      <c r="B178" s="234" t="s">
        <v>282</v>
      </c>
      <c r="C178" s="235" t="s">
        <v>552</v>
      </c>
      <c r="D178" s="254">
        <v>1.0812450002436645E-3</v>
      </c>
      <c r="E178" s="255">
        <f t="shared" si="4"/>
        <v>1294766183</v>
      </c>
      <c r="F178" s="1"/>
      <c r="G178" s="214"/>
    </row>
    <row r="179" spans="1:7" s="238" customFormat="1" ht="24.95" customHeight="1">
      <c r="A179" s="233">
        <v>174</v>
      </c>
      <c r="B179" s="234" t="s">
        <v>283</v>
      </c>
      <c r="C179" s="235" t="s">
        <v>553</v>
      </c>
      <c r="D179" s="254">
        <v>2.16248999965224E-3</v>
      </c>
      <c r="E179" s="255">
        <f t="shared" si="4"/>
        <v>2589532365</v>
      </c>
      <c r="F179" s="1"/>
      <c r="G179" s="214"/>
    </row>
    <row r="180" spans="1:7" s="238" customFormat="1" ht="24.95" customHeight="1">
      <c r="A180" s="233">
        <v>175</v>
      </c>
      <c r="B180" s="234" t="s">
        <v>284</v>
      </c>
      <c r="C180" s="235" t="s">
        <v>554</v>
      </c>
      <c r="D180" s="254">
        <v>1.0812450002436645E-3</v>
      </c>
      <c r="E180" s="255">
        <f t="shared" si="4"/>
        <v>1294766183</v>
      </c>
      <c r="F180" s="1"/>
      <c r="G180" s="214"/>
    </row>
    <row r="181" spans="1:7" s="238" customFormat="1" ht="24.95" customHeight="1">
      <c r="A181" s="233">
        <v>176</v>
      </c>
      <c r="B181" s="234" t="s">
        <v>285</v>
      </c>
      <c r="C181" s="235" t="s">
        <v>555</v>
      </c>
      <c r="D181" s="254">
        <v>1.0812450002436645E-3</v>
      </c>
      <c r="E181" s="255">
        <f t="shared" si="4"/>
        <v>1294766183</v>
      </c>
      <c r="F181" s="1"/>
      <c r="G181" s="214"/>
    </row>
    <row r="182" spans="1:7" s="238" customFormat="1" ht="24.95" customHeight="1">
      <c r="A182" s="233">
        <v>177</v>
      </c>
      <c r="B182" s="234" t="s">
        <v>286</v>
      </c>
      <c r="C182" s="235" t="s">
        <v>652</v>
      </c>
      <c r="D182" s="254">
        <v>6.4874699997918093E-3</v>
      </c>
      <c r="E182" s="255">
        <f t="shared" si="4"/>
        <v>7768597096</v>
      </c>
      <c r="F182" s="1"/>
      <c r="G182" s="214"/>
    </row>
    <row r="183" spans="1:7" s="238" customFormat="1" ht="24.95" customHeight="1">
      <c r="A183" s="233">
        <v>178</v>
      </c>
      <c r="B183" s="234" t="s">
        <v>287</v>
      </c>
      <c r="C183" s="235" t="s">
        <v>557</v>
      </c>
      <c r="D183" s="254">
        <v>2.5949879995826879E-3</v>
      </c>
      <c r="E183" s="255">
        <f t="shared" si="4"/>
        <v>3107438838</v>
      </c>
      <c r="F183" s="1"/>
      <c r="G183" s="214"/>
    </row>
    <row r="184" spans="1:7" s="238" customFormat="1" ht="24.95" customHeight="1">
      <c r="A184" s="233">
        <v>179</v>
      </c>
      <c r="B184" s="234" t="s">
        <v>288</v>
      </c>
      <c r="C184" s="235" t="s">
        <v>558</v>
      </c>
      <c r="D184" s="254">
        <v>2.5949879995826879E-3</v>
      </c>
      <c r="E184" s="255">
        <f t="shared" si="4"/>
        <v>3107438838</v>
      </c>
      <c r="F184" s="1"/>
      <c r="G184" s="214"/>
    </row>
    <row r="185" spans="1:7" s="238" customFormat="1" ht="24.95" customHeight="1">
      <c r="A185" s="233">
        <v>180</v>
      </c>
      <c r="B185" s="234" t="s">
        <v>289</v>
      </c>
      <c r="C185" s="235" t="s">
        <v>559</v>
      </c>
      <c r="D185" s="254">
        <v>1.7299919997217921E-3</v>
      </c>
      <c r="E185" s="255">
        <f t="shared" si="4"/>
        <v>2071625892</v>
      </c>
      <c r="F185" s="1"/>
      <c r="G185" s="214"/>
    </row>
    <row r="186" spans="1:7" s="238" customFormat="1" ht="24.95" customHeight="1">
      <c r="A186" s="233">
        <v>181</v>
      </c>
      <c r="B186" s="234" t="s">
        <v>290</v>
      </c>
      <c r="C186" s="235" t="s">
        <v>560</v>
      </c>
      <c r="D186" s="254">
        <v>1.7299919997217921E-3</v>
      </c>
      <c r="E186" s="255">
        <f t="shared" si="4"/>
        <v>2071625892</v>
      </c>
      <c r="F186" s="1"/>
      <c r="G186" s="214"/>
    </row>
    <row r="187" spans="1:7" s="238" customFormat="1" ht="24.95" customHeight="1">
      <c r="A187" s="233">
        <v>182</v>
      </c>
      <c r="B187" s="234" t="s">
        <v>291</v>
      </c>
      <c r="C187" s="235" t="s">
        <v>561</v>
      </c>
      <c r="D187" s="254">
        <v>1.0812450002436645E-3</v>
      </c>
      <c r="E187" s="255">
        <f t="shared" si="4"/>
        <v>1294766183</v>
      </c>
      <c r="F187" s="1"/>
      <c r="G187" s="214"/>
    </row>
    <row r="188" spans="1:7" s="238" customFormat="1" ht="24.95" customHeight="1">
      <c r="A188" s="233">
        <v>183</v>
      </c>
      <c r="B188" s="234" t="s">
        <v>292</v>
      </c>
      <c r="C188" s="235" t="s">
        <v>563</v>
      </c>
      <c r="D188" s="254">
        <v>9.082457996034141E-4</v>
      </c>
      <c r="E188" s="255">
        <f t="shared" si="4"/>
        <v>1087603593</v>
      </c>
      <c r="F188" s="241">
        <v>-4679266.8838272104</v>
      </c>
      <c r="G188" s="214"/>
    </row>
    <row r="189" spans="1:7" s="226" customFormat="1" ht="30" customHeight="1">
      <c r="A189" s="221">
        <v>184</v>
      </c>
      <c r="B189" s="222" t="s">
        <v>208</v>
      </c>
      <c r="C189" s="223" t="s">
        <v>452</v>
      </c>
      <c r="D189" s="239">
        <f>D190+D201</f>
        <v>2.3138252804603431E-2</v>
      </c>
      <c r="E189" s="240">
        <f t="shared" si="4"/>
        <v>27707529059.883827</v>
      </c>
      <c r="G189" s="214"/>
    </row>
    <row r="190" spans="1:7" s="226" customFormat="1" ht="24.95" customHeight="1">
      <c r="A190" s="227">
        <v>185</v>
      </c>
      <c r="B190" s="251" t="s">
        <v>293</v>
      </c>
      <c r="C190" s="252" t="s">
        <v>569</v>
      </c>
      <c r="D190" s="230">
        <f>SUM(D191:D200)</f>
        <v>1.2720113805425525E-2</v>
      </c>
      <c r="E190" s="256">
        <f t="shared" si="4"/>
        <v>15232045646.883827</v>
      </c>
      <c r="F190" s="1"/>
      <c r="G190" s="214"/>
    </row>
    <row r="191" spans="1:7" s="238" customFormat="1" ht="24.95" customHeight="1">
      <c r="A191" s="233">
        <v>186</v>
      </c>
      <c r="B191" s="234" t="s">
        <v>294</v>
      </c>
      <c r="C191" s="235" t="s">
        <v>530</v>
      </c>
      <c r="D191" s="254">
        <v>6.3620269231019939E-4</v>
      </c>
      <c r="E191" s="255">
        <f t="shared" si="4"/>
        <v>761838187.78460705</v>
      </c>
      <c r="F191" s="1"/>
      <c r="G191" s="214"/>
    </row>
    <row r="192" spans="1:7" s="238" customFormat="1" ht="24.95" customHeight="1">
      <c r="A192" s="233">
        <v>187</v>
      </c>
      <c r="B192" s="234" t="s">
        <v>295</v>
      </c>
      <c r="C192" s="235" t="s">
        <v>531</v>
      </c>
      <c r="D192" s="254">
        <v>1.2724053854554986E-3</v>
      </c>
      <c r="E192" s="255">
        <f t="shared" si="4"/>
        <v>1523676376.569227</v>
      </c>
      <c r="F192" s="1"/>
      <c r="G192" s="214"/>
    </row>
    <row r="193" spans="1:7" s="238" customFormat="1" ht="24.95" customHeight="1">
      <c r="A193" s="233">
        <v>188</v>
      </c>
      <c r="B193" s="234" t="s">
        <v>296</v>
      </c>
      <c r="C193" s="235" t="s">
        <v>532</v>
      </c>
      <c r="D193" s="254">
        <v>1.2724053854554986E-3</v>
      </c>
      <c r="E193" s="255">
        <f t="shared" si="4"/>
        <v>1523676376.569227</v>
      </c>
      <c r="F193" s="1"/>
      <c r="G193" s="214"/>
    </row>
    <row r="194" spans="1:7" s="238" customFormat="1" ht="24.95" customHeight="1">
      <c r="A194" s="233">
        <v>189</v>
      </c>
      <c r="B194" s="234" t="s">
        <v>297</v>
      </c>
      <c r="C194" s="235" t="s">
        <v>533</v>
      </c>
      <c r="D194" s="254">
        <v>2.5448107700758969E-3</v>
      </c>
      <c r="E194" s="255">
        <f t="shared" si="4"/>
        <v>3047352752.1384406</v>
      </c>
      <c r="F194" s="1"/>
      <c r="G194" s="214"/>
    </row>
    <row r="195" spans="1:7" s="238" customFormat="1" ht="24.95" customHeight="1">
      <c r="A195" s="233">
        <v>190</v>
      </c>
      <c r="B195" s="234" t="s">
        <v>298</v>
      </c>
      <c r="C195" s="235" t="s">
        <v>534</v>
      </c>
      <c r="D195" s="254">
        <v>1.9086080777656978E-3</v>
      </c>
      <c r="E195" s="255">
        <f t="shared" si="4"/>
        <v>2285514564.3538337</v>
      </c>
      <c r="F195" s="1"/>
      <c r="G195" s="214"/>
    </row>
    <row r="196" spans="1:7" s="238" customFormat="1" ht="24.95" customHeight="1">
      <c r="A196" s="233">
        <v>191</v>
      </c>
      <c r="B196" s="234" t="s">
        <v>299</v>
      </c>
      <c r="C196" s="235" t="s">
        <v>603</v>
      </c>
      <c r="D196" s="254">
        <v>1.1428008188519429E-3</v>
      </c>
      <c r="E196" s="255">
        <f t="shared" si="4"/>
        <v>1368477869.3272617</v>
      </c>
      <c r="F196" s="1"/>
      <c r="G196" s="214"/>
    </row>
    <row r="197" spans="1:7" s="238" customFormat="1" ht="24.95" customHeight="1">
      <c r="A197" s="233">
        <v>192</v>
      </c>
      <c r="B197" s="234" t="s">
        <v>300</v>
      </c>
      <c r="C197" s="235" t="s">
        <v>536</v>
      </c>
      <c r="D197" s="254">
        <v>7.6186721312469503E-4</v>
      </c>
      <c r="E197" s="255">
        <f t="shared" si="4"/>
        <v>912318580.21818292</v>
      </c>
      <c r="F197" s="1"/>
      <c r="G197" s="214"/>
    </row>
    <row r="198" spans="1:7" s="238" customFormat="1" ht="24.95" customHeight="1">
      <c r="A198" s="233">
        <v>193</v>
      </c>
      <c r="B198" s="234" t="s">
        <v>301</v>
      </c>
      <c r="C198" s="235" t="s">
        <v>537</v>
      </c>
      <c r="D198" s="254">
        <v>1.2724053850379485E-3</v>
      </c>
      <c r="E198" s="255">
        <f t="shared" si="4"/>
        <v>1523676376.0692203</v>
      </c>
      <c r="F198" s="1"/>
      <c r="G198" s="214"/>
    </row>
    <row r="199" spans="1:7" s="238" customFormat="1" ht="24.95" customHeight="1">
      <c r="A199" s="233">
        <v>194</v>
      </c>
      <c r="B199" s="234" t="s">
        <v>302</v>
      </c>
      <c r="C199" s="235" t="s">
        <v>538</v>
      </c>
      <c r="D199" s="254">
        <v>1.2724053850379485E-3</v>
      </c>
      <c r="E199" s="255">
        <f t="shared" si="4"/>
        <v>1523676376.0692203</v>
      </c>
      <c r="F199" s="1"/>
      <c r="G199" s="214"/>
    </row>
    <row r="200" spans="1:7" s="238" customFormat="1" ht="24.95" customHeight="1">
      <c r="A200" s="233">
        <v>195</v>
      </c>
      <c r="B200" s="234" t="s">
        <v>653</v>
      </c>
      <c r="C200" s="235" t="s">
        <v>539</v>
      </c>
      <c r="D200" s="254">
        <v>6.3620269231019939E-4</v>
      </c>
      <c r="E200" s="255">
        <f t="shared" si="4"/>
        <v>761838187.78460705</v>
      </c>
      <c r="F200" s="226"/>
      <c r="G200" s="214"/>
    </row>
    <row r="201" spans="1:7" s="226" customFormat="1" ht="24.95" customHeight="1">
      <c r="A201" s="227">
        <v>196</v>
      </c>
      <c r="B201" s="251" t="s">
        <v>303</v>
      </c>
      <c r="C201" s="252" t="s">
        <v>604</v>
      </c>
      <c r="D201" s="230">
        <f>SUM(D202:D216)</f>
        <v>1.0418138999177906E-2</v>
      </c>
      <c r="E201" s="253">
        <f t="shared" si="4"/>
        <v>12475483413</v>
      </c>
      <c r="F201" s="1"/>
      <c r="G201" s="214"/>
    </row>
    <row r="202" spans="1:7" s="238" customFormat="1" ht="24.95" customHeight="1">
      <c r="A202" s="233">
        <v>197</v>
      </c>
      <c r="B202" s="234" t="s">
        <v>654</v>
      </c>
      <c r="C202" s="235" t="s">
        <v>545</v>
      </c>
      <c r="D202" s="254">
        <v>1.0418138988321749E-4</v>
      </c>
      <c r="E202" s="255">
        <f t="shared" si="4"/>
        <v>124754834</v>
      </c>
      <c r="F202" s="1"/>
      <c r="G202" s="214"/>
    </row>
    <row r="203" spans="1:7" s="238" customFormat="1" ht="24.95" customHeight="1">
      <c r="A203" s="233">
        <v>198</v>
      </c>
      <c r="B203" s="234" t="s">
        <v>305</v>
      </c>
      <c r="C203" s="235" t="s">
        <v>605</v>
      </c>
      <c r="D203" s="254">
        <v>2.5732803327877568E-3</v>
      </c>
      <c r="E203" s="255">
        <f t="shared" si="4"/>
        <v>3081444403</v>
      </c>
      <c r="F203" s="1"/>
      <c r="G203" s="214"/>
    </row>
    <row r="204" spans="1:7" s="238" customFormat="1" ht="24.95" customHeight="1">
      <c r="A204" s="233">
        <v>199</v>
      </c>
      <c r="B204" s="234" t="s">
        <v>306</v>
      </c>
      <c r="C204" s="235" t="s">
        <v>606</v>
      </c>
      <c r="D204" s="254">
        <v>9.7930506607136905E-4</v>
      </c>
      <c r="E204" s="255">
        <f t="shared" si="4"/>
        <v>1172695441</v>
      </c>
      <c r="F204" s="1"/>
      <c r="G204" s="214"/>
    </row>
    <row r="205" spans="1:7" s="238" customFormat="1" ht="24.95" customHeight="1">
      <c r="A205" s="233">
        <v>200</v>
      </c>
      <c r="B205" s="234" t="s">
        <v>307</v>
      </c>
      <c r="C205" s="235" t="s">
        <v>607</v>
      </c>
      <c r="D205" s="254">
        <v>3.7505300408063636E-4</v>
      </c>
      <c r="E205" s="255">
        <f t="shared" si="4"/>
        <v>449117403</v>
      </c>
      <c r="F205" s="1"/>
      <c r="G205" s="214"/>
    </row>
    <row r="206" spans="1:7" s="238" customFormat="1" ht="24.95" customHeight="1">
      <c r="A206" s="233">
        <v>201</v>
      </c>
      <c r="B206" s="234" t="s">
        <v>308</v>
      </c>
      <c r="C206" s="235" t="s">
        <v>608</v>
      </c>
      <c r="D206" s="254">
        <v>4.5839811582019257E-4</v>
      </c>
      <c r="E206" s="255">
        <f t="shared" si="4"/>
        <v>548921270</v>
      </c>
      <c r="F206" s="1"/>
      <c r="G206" s="214"/>
    </row>
    <row r="207" spans="1:7" s="238" customFormat="1" ht="24.95" customHeight="1">
      <c r="A207" s="233">
        <v>202</v>
      </c>
      <c r="B207" s="234" t="s">
        <v>309</v>
      </c>
      <c r="C207" s="235" t="s">
        <v>655</v>
      </c>
      <c r="D207" s="254">
        <v>2.3961719698192691E-3</v>
      </c>
      <c r="E207" s="255">
        <f t="shared" si="4"/>
        <v>2869361185</v>
      </c>
      <c r="F207" s="1"/>
      <c r="G207" s="214"/>
    </row>
    <row r="208" spans="1:7" s="238" customFormat="1" ht="24.95" customHeight="1">
      <c r="A208" s="233">
        <v>203</v>
      </c>
      <c r="B208" s="234" t="s">
        <v>310</v>
      </c>
      <c r="C208" s="235" t="s">
        <v>610</v>
      </c>
      <c r="D208" s="254">
        <v>5.3132508890546255E-4</v>
      </c>
      <c r="E208" s="255">
        <f t="shared" si="4"/>
        <v>636249654</v>
      </c>
      <c r="F208" s="1"/>
      <c r="G208" s="214"/>
    </row>
    <row r="209" spans="1:7" s="238" customFormat="1" ht="24.95" customHeight="1">
      <c r="A209" s="233">
        <v>204</v>
      </c>
      <c r="B209" s="234" t="s">
        <v>656</v>
      </c>
      <c r="C209" s="235" t="s">
        <v>611</v>
      </c>
      <c r="D209" s="254">
        <v>2.5003533605375759E-4</v>
      </c>
      <c r="E209" s="255">
        <f t="shared" si="4"/>
        <v>299411602</v>
      </c>
      <c r="F209" s="1"/>
      <c r="G209" s="214"/>
    </row>
    <row r="210" spans="1:7" s="238" customFormat="1" ht="24.95" customHeight="1">
      <c r="A210" s="233">
        <v>205</v>
      </c>
      <c r="B210" s="234" t="s">
        <v>657</v>
      </c>
      <c r="C210" s="235" t="s">
        <v>557</v>
      </c>
      <c r="D210" s="254">
        <v>6.1467020064501882E-4</v>
      </c>
      <c r="E210" s="255">
        <f t="shared" si="4"/>
        <v>736053521</v>
      </c>
      <c r="F210" s="1"/>
      <c r="G210" s="214"/>
    </row>
    <row r="211" spans="1:7" s="238" customFormat="1" ht="24.95" customHeight="1">
      <c r="A211" s="233">
        <v>206</v>
      </c>
      <c r="B211" s="234" t="s">
        <v>658</v>
      </c>
      <c r="C211" s="235" t="s">
        <v>558</v>
      </c>
      <c r="D211" s="254">
        <v>6.1467020064501882E-4</v>
      </c>
      <c r="E211" s="255">
        <f t="shared" si="4"/>
        <v>736053521</v>
      </c>
      <c r="F211" s="1"/>
      <c r="G211" s="214"/>
    </row>
    <row r="212" spans="1:7" s="238" customFormat="1" ht="24.95" customHeight="1">
      <c r="A212" s="233">
        <v>207</v>
      </c>
      <c r="B212" s="234" t="s">
        <v>659</v>
      </c>
      <c r="C212" s="235" t="s">
        <v>559</v>
      </c>
      <c r="D212" s="254">
        <v>4.1672556036795896E-4</v>
      </c>
      <c r="E212" s="255">
        <f t="shared" si="4"/>
        <v>499019337</v>
      </c>
      <c r="F212" s="1"/>
      <c r="G212" s="214"/>
    </row>
    <row r="213" spans="1:7" s="238" customFormat="1" ht="24.95" customHeight="1">
      <c r="A213" s="233">
        <v>208</v>
      </c>
      <c r="B213" s="234" t="s">
        <v>660</v>
      </c>
      <c r="C213" s="235" t="s">
        <v>616</v>
      </c>
      <c r="D213" s="254">
        <v>4.1672556036795896E-4</v>
      </c>
      <c r="E213" s="255">
        <f t="shared" si="4"/>
        <v>499019337</v>
      </c>
      <c r="F213" s="1"/>
      <c r="G213" s="214"/>
    </row>
    <row r="214" spans="1:7" s="238" customFormat="1" ht="24.95" customHeight="1">
      <c r="A214" s="233">
        <v>209</v>
      </c>
      <c r="B214" s="234" t="s">
        <v>661</v>
      </c>
      <c r="C214" s="235" t="s">
        <v>618</v>
      </c>
      <c r="D214" s="254">
        <v>2.2919905791009629E-4</v>
      </c>
      <c r="E214" s="255">
        <f t="shared" si="4"/>
        <v>274460635</v>
      </c>
      <c r="F214" s="1"/>
      <c r="G214" s="214"/>
    </row>
    <row r="215" spans="1:7" s="238" customFormat="1" ht="24.95" customHeight="1">
      <c r="A215" s="233">
        <v>210</v>
      </c>
      <c r="B215" s="234" t="s">
        <v>662</v>
      </c>
      <c r="C215" s="235" t="s">
        <v>620</v>
      </c>
      <c r="D215" s="254">
        <v>2.2919905791009629E-4</v>
      </c>
      <c r="E215" s="255">
        <f t="shared" si="4"/>
        <v>274460635</v>
      </c>
      <c r="F215" s="1"/>
      <c r="G215" s="214"/>
    </row>
    <row r="216" spans="1:7" s="238" customFormat="1" ht="24.95" customHeight="1">
      <c r="A216" s="233">
        <v>211</v>
      </c>
      <c r="B216" s="234" t="s">
        <v>663</v>
      </c>
      <c r="C216" s="235" t="s">
        <v>622</v>
      </c>
      <c r="D216" s="254">
        <v>2.2919905791009629E-4</v>
      </c>
      <c r="E216" s="255">
        <f t="shared" si="4"/>
        <v>274460635</v>
      </c>
      <c r="F216" s="226"/>
      <c r="G216" s="214"/>
    </row>
    <row r="217" spans="1:7" s="226" customFormat="1" ht="30" customHeight="1">
      <c r="A217" s="221">
        <v>212</v>
      </c>
      <c r="B217" s="222" t="s">
        <v>209</v>
      </c>
      <c r="C217" s="223" t="s">
        <v>664</v>
      </c>
      <c r="D217" s="224">
        <f>D218+D229+D240</f>
        <v>0.13105999999934537</v>
      </c>
      <c r="E217" s="225">
        <f t="shared" si="4"/>
        <v>156941355479</v>
      </c>
      <c r="G217" s="214"/>
    </row>
    <row r="218" spans="1:7" s="226" customFormat="1" ht="24.95" customHeight="1">
      <c r="A218" s="227">
        <v>213</v>
      </c>
      <c r="B218" s="251" t="s">
        <v>330</v>
      </c>
      <c r="C218" s="252" t="s">
        <v>569</v>
      </c>
      <c r="D218" s="230">
        <f>SUM(D219:D228)</f>
        <v>4.8492200000400804E-2</v>
      </c>
      <c r="E218" s="253">
        <f t="shared" si="4"/>
        <v>58068301528</v>
      </c>
      <c r="F218" s="1"/>
      <c r="G218" s="214"/>
    </row>
    <row r="219" spans="1:7" s="238" customFormat="1" ht="24.95" customHeight="1">
      <c r="A219" s="233">
        <v>214</v>
      </c>
      <c r="B219" s="234" t="s">
        <v>331</v>
      </c>
      <c r="C219" s="235" t="s">
        <v>530</v>
      </c>
      <c r="D219" s="254">
        <v>2.4246099996860044E-3</v>
      </c>
      <c r="E219" s="255">
        <f t="shared" si="4"/>
        <v>2903415076</v>
      </c>
      <c r="F219" s="1"/>
      <c r="G219" s="214"/>
    </row>
    <row r="220" spans="1:7" s="238" customFormat="1" ht="24.95" customHeight="1">
      <c r="A220" s="233">
        <v>215</v>
      </c>
      <c r="B220" s="234" t="s">
        <v>332</v>
      </c>
      <c r="C220" s="235" t="s">
        <v>531</v>
      </c>
      <c r="D220" s="254">
        <v>4.8492200002070978E-3</v>
      </c>
      <c r="E220" s="255">
        <f t="shared" si="4"/>
        <v>5806830153</v>
      </c>
      <c r="F220" s="1"/>
      <c r="G220" s="214"/>
    </row>
    <row r="221" spans="1:7" s="238" customFormat="1" ht="24.95" customHeight="1">
      <c r="A221" s="233">
        <v>216</v>
      </c>
      <c r="B221" s="234" t="s">
        <v>333</v>
      </c>
      <c r="C221" s="235" t="s">
        <v>539</v>
      </c>
      <c r="D221" s="254">
        <v>2.4246099996860044E-3</v>
      </c>
      <c r="E221" s="255">
        <f t="shared" si="4"/>
        <v>2903415076</v>
      </c>
      <c r="F221" s="1"/>
      <c r="G221" s="214"/>
    </row>
    <row r="222" spans="1:7" s="238" customFormat="1" ht="24.95" customHeight="1">
      <c r="A222" s="233">
        <v>217</v>
      </c>
      <c r="B222" s="234" t="s">
        <v>334</v>
      </c>
      <c r="C222" s="235" t="s">
        <v>624</v>
      </c>
      <c r="D222" s="254">
        <v>4.8492200002070978E-3</v>
      </c>
      <c r="E222" s="255">
        <f t="shared" si="4"/>
        <v>5806830153</v>
      </c>
      <c r="F222" s="1"/>
      <c r="G222" s="214"/>
    </row>
    <row r="223" spans="1:7" s="238" customFormat="1" ht="24.95" customHeight="1">
      <c r="A223" s="233">
        <v>218</v>
      </c>
      <c r="B223" s="234" t="s">
        <v>335</v>
      </c>
      <c r="C223" s="235" t="s">
        <v>625</v>
      </c>
      <c r="D223" s="254">
        <v>9.6984400004141956E-3</v>
      </c>
      <c r="E223" s="255">
        <f t="shared" si="4"/>
        <v>11613660306</v>
      </c>
      <c r="F223" s="1"/>
      <c r="G223" s="214"/>
    </row>
    <row r="224" spans="1:7" s="238" customFormat="1" ht="24.95" customHeight="1">
      <c r="A224" s="233">
        <v>219</v>
      </c>
      <c r="B224" s="234" t="s">
        <v>336</v>
      </c>
      <c r="C224" s="235" t="s">
        <v>626</v>
      </c>
      <c r="D224" s="254">
        <v>7.2738299998931022E-3</v>
      </c>
      <c r="E224" s="255">
        <f t="shared" si="4"/>
        <v>8710245229</v>
      </c>
      <c r="F224" s="1"/>
      <c r="G224" s="214"/>
    </row>
    <row r="225" spans="1:7" s="238" customFormat="1" ht="24.95" customHeight="1">
      <c r="A225" s="233">
        <v>220</v>
      </c>
      <c r="B225" s="234" t="s">
        <v>337</v>
      </c>
      <c r="C225" s="235" t="s">
        <v>627</v>
      </c>
      <c r="D225" s="254">
        <v>5.576603000279917E-3</v>
      </c>
      <c r="E225" s="255">
        <f t="shared" si="4"/>
        <v>6677854676</v>
      </c>
      <c r="F225" s="1"/>
      <c r="G225" s="214"/>
    </row>
    <row r="226" spans="1:7" s="238" customFormat="1" ht="24.95" customHeight="1">
      <c r="A226" s="233">
        <v>221</v>
      </c>
      <c r="B226" s="234" t="s">
        <v>338</v>
      </c>
      <c r="C226" s="235" t="s">
        <v>628</v>
      </c>
      <c r="D226" s="254">
        <v>4.1218370001342786E-3</v>
      </c>
      <c r="E226" s="255">
        <f t="shared" si="4"/>
        <v>4935805630</v>
      </c>
      <c r="F226" s="1"/>
      <c r="G226" s="214"/>
    </row>
    <row r="227" spans="1:7" s="238" customFormat="1" ht="24.95" customHeight="1">
      <c r="A227" s="233">
        <v>222</v>
      </c>
      <c r="B227" s="234" t="s">
        <v>339</v>
      </c>
      <c r="C227" s="235" t="s">
        <v>629</v>
      </c>
      <c r="D227" s="254">
        <v>3.6369149999465511E-3</v>
      </c>
      <c r="E227" s="255">
        <f t="shared" si="4"/>
        <v>4355122614.5</v>
      </c>
      <c r="F227" s="1"/>
      <c r="G227" s="214"/>
    </row>
    <row r="228" spans="1:7" s="238" customFormat="1" ht="24.95" customHeight="1">
      <c r="A228" s="233">
        <v>223</v>
      </c>
      <c r="B228" s="234" t="s">
        <v>665</v>
      </c>
      <c r="C228" s="235" t="s">
        <v>631</v>
      </c>
      <c r="D228" s="254">
        <v>3.6369149999465511E-3</v>
      </c>
      <c r="E228" s="255">
        <f t="shared" si="4"/>
        <v>4355122614.5</v>
      </c>
      <c r="F228" s="244"/>
      <c r="G228" s="214"/>
    </row>
    <row r="229" spans="1:7" s="226" customFormat="1" ht="24.95" customHeight="1">
      <c r="A229" s="227">
        <v>224</v>
      </c>
      <c r="B229" s="251" t="s">
        <v>666</v>
      </c>
      <c r="C229" s="252" t="s">
        <v>633</v>
      </c>
      <c r="D229" s="230">
        <f>SUM(D230:D239)</f>
        <v>3.9318000000054136E-2</v>
      </c>
      <c r="E229" s="253">
        <f t="shared" si="4"/>
        <v>47082406644</v>
      </c>
      <c r="F229" s="1"/>
      <c r="G229" s="214"/>
    </row>
    <row r="230" spans="1:7" s="238" customFormat="1" ht="24.95" customHeight="1">
      <c r="A230" s="233">
        <v>225</v>
      </c>
      <c r="B230" s="234" t="s">
        <v>667</v>
      </c>
      <c r="C230" s="235" t="s">
        <v>564</v>
      </c>
      <c r="D230" s="254">
        <v>1.3368120000886898E-3</v>
      </c>
      <c r="E230" s="255">
        <f t="shared" si="4"/>
        <v>1600801826</v>
      </c>
      <c r="F230" s="1"/>
      <c r="G230" s="214"/>
    </row>
    <row r="231" spans="1:7" s="238" customFormat="1" ht="24.95" customHeight="1">
      <c r="A231" s="233">
        <v>226</v>
      </c>
      <c r="B231" s="234" t="s">
        <v>668</v>
      </c>
      <c r="C231" s="235" t="s">
        <v>636</v>
      </c>
      <c r="D231" s="254">
        <v>7.077240000076551E-3</v>
      </c>
      <c r="E231" s="255">
        <f t="shared" si="4"/>
        <v>8474833196</v>
      </c>
      <c r="F231" s="1"/>
      <c r="G231" s="214"/>
    </row>
    <row r="232" spans="1:7" s="238" customFormat="1" ht="24.95" customHeight="1">
      <c r="A232" s="233">
        <v>227</v>
      </c>
      <c r="B232" s="234" t="s">
        <v>669</v>
      </c>
      <c r="C232" s="235" t="s">
        <v>638</v>
      </c>
      <c r="D232" s="254">
        <v>1.4154480000153102E-2</v>
      </c>
      <c r="E232" s="255">
        <f t="shared" si="4"/>
        <v>16949666392</v>
      </c>
      <c r="F232" s="1"/>
      <c r="G232" s="214"/>
    </row>
    <row r="233" spans="1:7" s="238" customFormat="1" ht="24.95" customHeight="1">
      <c r="A233" s="233">
        <v>228</v>
      </c>
      <c r="B233" s="234" t="s">
        <v>670</v>
      </c>
      <c r="C233" s="235" t="s">
        <v>640</v>
      </c>
      <c r="D233" s="254">
        <v>7.077240000076551E-3</v>
      </c>
      <c r="E233" s="255">
        <f t="shared" si="4"/>
        <v>8474833196</v>
      </c>
      <c r="F233" s="1"/>
      <c r="G233" s="214"/>
    </row>
    <row r="234" spans="1:7" s="238" customFormat="1" ht="24.95" customHeight="1">
      <c r="A234" s="233">
        <v>229</v>
      </c>
      <c r="B234" s="234" t="s">
        <v>671</v>
      </c>
      <c r="C234" s="235" t="s">
        <v>642</v>
      </c>
      <c r="D234" s="254">
        <v>3.9317999963310216E-4</v>
      </c>
      <c r="E234" s="255">
        <f t="shared" si="4"/>
        <v>470824066</v>
      </c>
      <c r="F234" s="1"/>
      <c r="G234" s="214"/>
    </row>
    <row r="235" spans="1:7" s="238" customFormat="1" ht="24.95" customHeight="1">
      <c r="A235" s="233">
        <v>230</v>
      </c>
      <c r="B235" s="234" t="s">
        <v>672</v>
      </c>
      <c r="C235" s="235" t="s">
        <v>644</v>
      </c>
      <c r="D235" s="254">
        <v>7.0772400034169072E-4</v>
      </c>
      <c r="E235" s="255">
        <f t="shared" si="4"/>
        <v>847483320</v>
      </c>
      <c r="F235" s="1"/>
      <c r="G235" s="214"/>
    </row>
    <row r="236" spans="1:7" s="238" customFormat="1" ht="24.95" customHeight="1">
      <c r="A236" s="233">
        <v>231</v>
      </c>
      <c r="B236" s="234" t="s">
        <v>673</v>
      </c>
      <c r="C236" s="235" t="s">
        <v>646</v>
      </c>
      <c r="D236" s="254">
        <v>2.2018079999495859E-3</v>
      </c>
      <c r="E236" s="255">
        <f t="shared" si="4"/>
        <v>2636614772</v>
      </c>
      <c r="F236" s="1"/>
      <c r="G236" s="214"/>
    </row>
    <row r="237" spans="1:7" s="238" customFormat="1" ht="24.95" customHeight="1">
      <c r="A237" s="233">
        <v>232</v>
      </c>
      <c r="B237" s="234" t="s">
        <v>674</v>
      </c>
      <c r="C237" s="235" t="s">
        <v>648</v>
      </c>
      <c r="D237" s="254">
        <v>3.3027119999243788E-3</v>
      </c>
      <c r="E237" s="255">
        <f t="shared" si="4"/>
        <v>3954922158</v>
      </c>
      <c r="F237" s="1"/>
      <c r="G237" s="214"/>
    </row>
    <row r="238" spans="1:7" s="238" customFormat="1" ht="24.95" customHeight="1">
      <c r="A238" s="233">
        <v>233</v>
      </c>
      <c r="B238" s="234" t="s">
        <v>675</v>
      </c>
      <c r="C238" s="235" t="s">
        <v>650</v>
      </c>
      <c r="D238" s="254">
        <v>1.1009039999747929E-3</v>
      </c>
      <c r="E238" s="255">
        <f t="shared" si="4"/>
        <v>1318307386</v>
      </c>
      <c r="F238" s="1"/>
      <c r="G238" s="214"/>
    </row>
    <row r="239" spans="1:7" s="238" customFormat="1" ht="24.95" customHeight="1">
      <c r="A239" s="233">
        <v>234</v>
      </c>
      <c r="B239" s="234" t="s">
        <v>676</v>
      </c>
      <c r="C239" s="235" t="s">
        <v>539</v>
      </c>
      <c r="D239" s="254">
        <v>1.9658999998356888E-3</v>
      </c>
      <c r="E239" s="255">
        <f t="shared" si="4"/>
        <v>2354120332</v>
      </c>
      <c r="F239" s="226"/>
      <c r="G239" s="214"/>
    </row>
    <row r="240" spans="1:7" s="226" customFormat="1" ht="24.95" customHeight="1">
      <c r="A240" s="227">
        <v>235</v>
      </c>
      <c r="B240" s="251" t="s">
        <v>340</v>
      </c>
      <c r="C240" s="252" t="s">
        <v>604</v>
      </c>
      <c r="D240" s="230">
        <f>SUM(D241:D258)</f>
        <v>4.324979999889042E-2</v>
      </c>
      <c r="E240" s="253">
        <f t="shared" si="4"/>
        <v>51790647307</v>
      </c>
      <c r="F240" s="1"/>
      <c r="G240" s="214"/>
    </row>
    <row r="241" spans="1:7" s="238" customFormat="1" ht="24.95" customHeight="1">
      <c r="A241" s="233">
        <v>236</v>
      </c>
      <c r="B241" s="234" t="s">
        <v>341</v>
      </c>
      <c r="C241" s="235" t="s">
        <v>545</v>
      </c>
      <c r="D241" s="254">
        <v>4.3249799993044802E-4</v>
      </c>
      <c r="E241" s="255">
        <f t="shared" ref="E241:E304" si="5">$F$6*D241</f>
        <v>517906473</v>
      </c>
      <c r="F241" s="1"/>
      <c r="G241" s="214"/>
    </row>
    <row r="242" spans="1:7" s="238" customFormat="1" ht="24.95" customHeight="1">
      <c r="A242" s="233">
        <v>237</v>
      </c>
      <c r="B242" s="234" t="s">
        <v>342</v>
      </c>
      <c r="C242" s="235" t="s">
        <v>546</v>
      </c>
      <c r="D242" s="254">
        <v>4.2817302003970506E-3</v>
      </c>
      <c r="E242" s="255">
        <f t="shared" si="5"/>
        <v>5127274084</v>
      </c>
      <c r="F242" s="1"/>
      <c r="G242" s="214"/>
    </row>
    <row r="243" spans="1:7" s="238" customFormat="1" ht="24.95" customHeight="1">
      <c r="A243" s="233">
        <v>238</v>
      </c>
      <c r="B243" s="234" t="s">
        <v>343</v>
      </c>
      <c r="C243" s="235" t="s">
        <v>547</v>
      </c>
      <c r="D243" s="254">
        <v>4.3249800001395689E-3</v>
      </c>
      <c r="E243" s="255">
        <f t="shared" si="5"/>
        <v>5179064731</v>
      </c>
      <c r="F243" s="1"/>
      <c r="G243" s="214"/>
    </row>
    <row r="244" spans="1:7" s="238" customFormat="1" ht="24.95" customHeight="1">
      <c r="A244" s="233">
        <v>239</v>
      </c>
      <c r="B244" s="234" t="s">
        <v>344</v>
      </c>
      <c r="C244" s="235" t="s">
        <v>548</v>
      </c>
      <c r="D244" s="254">
        <v>4.3249800001395689E-3</v>
      </c>
      <c r="E244" s="255">
        <f t="shared" si="5"/>
        <v>5179064731</v>
      </c>
      <c r="F244" s="1"/>
      <c r="G244" s="214"/>
    </row>
    <row r="245" spans="1:7" s="238" customFormat="1" ht="24.95" customHeight="1">
      <c r="A245" s="233">
        <v>240</v>
      </c>
      <c r="B245" s="234" t="s">
        <v>345</v>
      </c>
      <c r="C245" s="235" t="s">
        <v>549</v>
      </c>
      <c r="D245" s="254">
        <v>3.4599840002786731E-3</v>
      </c>
      <c r="E245" s="255">
        <f t="shared" si="5"/>
        <v>4143251785</v>
      </c>
      <c r="F245" s="1"/>
      <c r="G245" s="214"/>
    </row>
    <row r="246" spans="1:7" s="238" customFormat="1" ht="24.95" customHeight="1">
      <c r="A246" s="233">
        <v>241</v>
      </c>
      <c r="B246" s="234" t="s">
        <v>346</v>
      </c>
      <c r="C246" s="235" t="s">
        <v>550</v>
      </c>
      <c r="D246" s="254">
        <v>2.16248999965224E-3</v>
      </c>
      <c r="E246" s="255">
        <f t="shared" si="5"/>
        <v>2589532365</v>
      </c>
      <c r="F246" s="1"/>
      <c r="G246" s="214"/>
    </row>
    <row r="247" spans="1:7" s="238" customFormat="1" ht="24.95" customHeight="1">
      <c r="A247" s="233">
        <v>242</v>
      </c>
      <c r="B247" s="234" t="s">
        <v>347</v>
      </c>
      <c r="C247" s="235" t="s">
        <v>551</v>
      </c>
      <c r="D247" s="254">
        <v>1.7299919997217921E-3</v>
      </c>
      <c r="E247" s="255">
        <f t="shared" si="5"/>
        <v>2071625892</v>
      </c>
      <c r="F247" s="1"/>
      <c r="G247" s="214"/>
    </row>
    <row r="248" spans="1:7" s="238" customFormat="1" ht="24.95" customHeight="1">
      <c r="A248" s="233">
        <v>243</v>
      </c>
      <c r="B248" s="234" t="s">
        <v>348</v>
      </c>
      <c r="C248" s="235" t="s">
        <v>552</v>
      </c>
      <c r="D248" s="254">
        <v>1.0812450002436645E-3</v>
      </c>
      <c r="E248" s="255">
        <f t="shared" si="5"/>
        <v>1294766183</v>
      </c>
      <c r="F248" s="1"/>
      <c r="G248" s="214"/>
    </row>
    <row r="249" spans="1:7" s="238" customFormat="1" ht="24.95" customHeight="1">
      <c r="A249" s="233">
        <v>244</v>
      </c>
      <c r="B249" s="234" t="s">
        <v>349</v>
      </c>
      <c r="C249" s="235" t="s">
        <v>553</v>
      </c>
      <c r="D249" s="254">
        <v>2.16248999965224E-3</v>
      </c>
      <c r="E249" s="255">
        <f t="shared" si="5"/>
        <v>2589532365</v>
      </c>
      <c r="F249" s="1"/>
      <c r="G249" s="214"/>
    </row>
    <row r="250" spans="1:7" s="238" customFormat="1" ht="24.95" customHeight="1">
      <c r="A250" s="233">
        <v>245</v>
      </c>
      <c r="B250" s="234" t="s">
        <v>350</v>
      </c>
      <c r="C250" s="235" t="s">
        <v>554</v>
      </c>
      <c r="D250" s="254">
        <v>1.0812450002436645E-3</v>
      </c>
      <c r="E250" s="255">
        <f t="shared" si="5"/>
        <v>1294766183</v>
      </c>
      <c r="F250" s="1"/>
      <c r="G250" s="214"/>
    </row>
    <row r="251" spans="1:7" s="238" customFormat="1" ht="24.95" customHeight="1">
      <c r="A251" s="233">
        <v>246</v>
      </c>
      <c r="B251" s="234" t="s">
        <v>351</v>
      </c>
      <c r="C251" s="235" t="s">
        <v>555</v>
      </c>
      <c r="D251" s="254">
        <v>1.0812450002436645E-3</v>
      </c>
      <c r="E251" s="255">
        <f t="shared" si="5"/>
        <v>1294766183</v>
      </c>
      <c r="F251" s="1"/>
      <c r="G251" s="214"/>
    </row>
    <row r="252" spans="1:7" s="238" customFormat="1" ht="24.95" customHeight="1">
      <c r="A252" s="233">
        <v>247</v>
      </c>
      <c r="B252" s="234" t="s">
        <v>352</v>
      </c>
      <c r="C252" s="235" t="s">
        <v>652</v>
      </c>
      <c r="D252" s="254">
        <v>6.4874699997918093E-3</v>
      </c>
      <c r="E252" s="255">
        <f t="shared" si="5"/>
        <v>7768597096</v>
      </c>
      <c r="F252" s="1"/>
      <c r="G252" s="214"/>
    </row>
    <row r="253" spans="1:7" s="238" customFormat="1" ht="24.95" customHeight="1">
      <c r="A253" s="233">
        <v>248</v>
      </c>
      <c r="B253" s="234" t="s">
        <v>353</v>
      </c>
      <c r="C253" s="235" t="s">
        <v>557</v>
      </c>
      <c r="D253" s="254">
        <v>2.5949879995826879E-3</v>
      </c>
      <c r="E253" s="255">
        <f t="shared" si="5"/>
        <v>3107438838</v>
      </c>
      <c r="F253" s="1"/>
      <c r="G253" s="214"/>
    </row>
    <row r="254" spans="1:7" s="238" customFormat="1" ht="24.95" customHeight="1">
      <c r="A254" s="233">
        <v>249</v>
      </c>
      <c r="B254" s="234" t="s">
        <v>354</v>
      </c>
      <c r="C254" s="235" t="s">
        <v>558</v>
      </c>
      <c r="D254" s="254">
        <v>2.5949879995826879E-3</v>
      </c>
      <c r="E254" s="255">
        <f t="shared" si="5"/>
        <v>3107438838</v>
      </c>
      <c r="F254" s="1"/>
      <c r="G254" s="214"/>
    </row>
    <row r="255" spans="1:7" s="238" customFormat="1" ht="24.95" customHeight="1">
      <c r="A255" s="233">
        <v>250</v>
      </c>
      <c r="B255" s="234" t="s">
        <v>355</v>
      </c>
      <c r="C255" s="235" t="s">
        <v>559</v>
      </c>
      <c r="D255" s="254">
        <v>1.7299919997217921E-3</v>
      </c>
      <c r="E255" s="255">
        <f t="shared" si="5"/>
        <v>2071625892</v>
      </c>
      <c r="F255" s="1"/>
      <c r="G255" s="214"/>
    </row>
    <row r="256" spans="1:7" s="238" customFormat="1" ht="24.95" customHeight="1">
      <c r="A256" s="233">
        <v>251</v>
      </c>
      <c r="B256" s="234" t="s">
        <v>356</v>
      </c>
      <c r="C256" s="235" t="s">
        <v>560</v>
      </c>
      <c r="D256" s="254">
        <v>1.7299919997217921E-3</v>
      </c>
      <c r="E256" s="255">
        <f t="shared" si="5"/>
        <v>2071625892</v>
      </c>
      <c r="F256" s="1"/>
      <c r="G256" s="214"/>
    </row>
    <row r="257" spans="1:7" s="238" customFormat="1" ht="24.95" customHeight="1">
      <c r="A257" s="233">
        <v>252</v>
      </c>
      <c r="B257" s="234" t="s">
        <v>357</v>
      </c>
      <c r="C257" s="235" t="s">
        <v>561</v>
      </c>
      <c r="D257" s="254">
        <v>1.0812450002436645E-3</v>
      </c>
      <c r="E257" s="255">
        <f t="shared" si="5"/>
        <v>1294766183</v>
      </c>
      <c r="F257" s="1"/>
      <c r="G257" s="214"/>
    </row>
    <row r="258" spans="1:7" s="238" customFormat="1" ht="24.95" customHeight="1">
      <c r="A258" s="233">
        <v>253</v>
      </c>
      <c r="B258" s="234" t="s">
        <v>358</v>
      </c>
      <c r="C258" s="235" t="s">
        <v>563</v>
      </c>
      <c r="D258" s="254">
        <v>9.082457996034141E-4</v>
      </c>
      <c r="E258" s="255">
        <f t="shared" si="5"/>
        <v>1087603593</v>
      </c>
      <c r="F258" s="241"/>
      <c r="G258" s="214"/>
    </row>
    <row r="259" spans="1:7" s="226" customFormat="1" ht="30" customHeight="1">
      <c r="A259" s="221">
        <v>254</v>
      </c>
      <c r="B259" s="222" t="s">
        <v>214</v>
      </c>
      <c r="C259" s="223" t="s">
        <v>453</v>
      </c>
      <c r="D259" s="239">
        <f>D260+D271</f>
        <v>2.3147512398109797E-2</v>
      </c>
      <c r="E259" s="240">
        <f t="shared" si="5"/>
        <v>27718617211.540173</v>
      </c>
      <c r="F259" s="241"/>
      <c r="G259" s="214"/>
    </row>
    <row r="260" spans="1:7" s="226" customFormat="1" ht="24.95" customHeight="1">
      <c r="A260" s="227">
        <v>255</v>
      </c>
      <c r="B260" s="251" t="s">
        <v>359</v>
      </c>
      <c r="C260" s="252" t="s">
        <v>569</v>
      </c>
      <c r="D260" s="230">
        <f>SUM(D261:D270)</f>
        <v>1.2729373398931891E-2</v>
      </c>
      <c r="E260" s="256">
        <f t="shared" si="5"/>
        <v>15243133798.540174</v>
      </c>
      <c r="F260" s="1"/>
      <c r="G260" s="214"/>
    </row>
    <row r="261" spans="1:7" s="238" customFormat="1" ht="24.95" customHeight="1">
      <c r="A261" s="233">
        <v>256</v>
      </c>
      <c r="B261" s="234" t="s">
        <v>360</v>
      </c>
      <c r="C261" s="235" t="s">
        <v>530</v>
      </c>
      <c r="D261" s="254">
        <v>6.367361335119703E-4</v>
      </c>
      <c r="E261" s="255">
        <f t="shared" si="5"/>
        <v>762476971.43541348</v>
      </c>
      <c r="F261" s="1"/>
      <c r="G261" s="214"/>
    </row>
    <row r="262" spans="1:7" s="238" customFormat="1" ht="24.95" customHeight="1">
      <c r="A262" s="233">
        <v>257</v>
      </c>
      <c r="B262" s="234" t="s">
        <v>361</v>
      </c>
      <c r="C262" s="235" t="s">
        <v>531</v>
      </c>
      <c r="D262" s="254">
        <v>1.2734722670239408E-3</v>
      </c>
      <c r="E262" s="255">
        <f t="shared" si="5"/>
        <v>1524953942.8708272</v>
      </c>
      <c r="F262" s="1"/>
      <c r="G262" s="214"/>
    </row>
    <row r="263" spans="1:7" s="238" customFormat="1" ht="24.95" customHeight="1">
      <c r="A263" s="233">
        <v>258</v>
      </c>
      <c r="B263" s="234" t="s">
        <v>362</v>
      </c>
      <c r="C263" s="235" t="s">
        <v>532</v>
      </c>
      <c r="D263" s="254">
        <v>1.2734722670239408E-3</v>
      </c>
      <c r="E263" s="255">
        <f t="shared" si="5"/>
        <v>1524953942.8708272</v>
      </c>
      <c r="F263" s="1"/>
      <c r="G263" s="214"/>
    </row>
    <row r="264" spans="1:7" s="238" customFormat="1" ht="24.95" customHeight="1">
      <c r="A264" s="233">
        <v>259</v>
      </c>
      <c r="B264" s="234" t="s">
        <v>363</v>
      </c>
      <c r="C264" s="235" t="s">
        <v>533</v>
      </c>
      <c r="D264" s="254">
        <v>2.5469445340478816E-3</v>
      </c>
      <c r="E264" s="255">
        <f t="shared" si="5"/>
        <v>3049907885.7416544</v>
      </c>
      <c r="F264" s="1"/>
      <c r="G264" s="214"/>
    </row>
    <row r="265" spans="1:7" s="238" customFormat="1" ht="24.95" customHeight="1">
      <c r="A265" s="233">
        <v>260</v>
      </c>
      <c r="B265" s="234" t="s">
        <v>364</v>
      </c>
      <c r="C265" s="235" t="s">
        <v>534</v>
      </c>
      <c r="D265" s="254">
        <v>1.9102084005359111E-3</v>
      </c>
      <c r="E265" s="255">
        <f t="shared" si="5"/>
        <v>2287430914.3062406</v>
      </c>
      <c r="F265" s="1"/>
      <c r="G265" s="214"/>
    </row>
    <row r="266" spans="1:7" s="238" customFormat="1" ht="24.95" customHeight="1">
      <c r="A266" s="233">
        <v>261</v>
      </c>
      <c r="B266" s="234" t="s">
        <v>365</v>
      </c>
      <c r="C266" s="235" t="s">
        <v>603</v>
      </c>
      <c r="D266" s="254">
        <v>1.1429154772029635E-3</v>
      </c>
      <c r="E266" s="255">
        <f t="shared" si="5"/>
        <v>1368615170.0828412</v>
      </c>
      <c r="F266" s="1"/>
      <c r="G266" s="214"/>
    </row>
    <row r="267" spans="1:7" s="238" customFormat="1" ht="24.95" customHeight="1">
      <c r="A267" s="233">
        <v>262</v>
      </c>
      <c r="B267" s="234" t="s">
        <v>366</v>
      </c>
      <c r="C267" s="235" t="s">
        <v>536</v>
      </c>
      <c r="D267" s="254">
        <v>7.6194365202543143E-4</v>
      </c>
      <c r="E267" s="255">
        <f t="shared" si="5"/>
        <v>912410114.05530298</v>
      </c>
      <c r="F267" s="1"/>
      <c r="G267" s="214"/>
    </row>
    <row r="268" spans="1:7" s="238" customFormat="1" ht="24.95" customHeight="1">
      <c r="A268" s="233">
        <v>263</v>
      </c>
      <c r="B268" s="234" t="s">
        <v>367</v>
      </c>
      <c r="C268" s="235" t="s">
        <v>537</v>
      </c>
      <c r="D268" s="254">
        <v>1.2734722670239408E-3</v>
      </c>
      <c r="E268" s="255">
        <f t="shared" si="5"/>
        <v>1524953942.8708272</v>
      </c>
      <c r="F268" s="1"/>
      <c r="G268" s="214"/>
    </row>
    <row r="269" spans="1:7" s="238" customFormat="1" ht="24.95" customHeight="1">
      <c r="A269" s="233">
        <v>264</v>
      </c>
      <c r="B269" s="234" t="s">
        <v>368</v>
      </c>
      <c r="C269" s="235" t="s">
        <v>538</v>
      </c>
      <c r="D269" s="254">
        <v>1.2734722670239408E-3</v>
      </c>
      <c r="E269" s="255">
        <f t="shared" si="5"/>
        <v>1524953942.8708272</v>
      </c>
      <c r="F269" s="1"/>
      <c r="G269" s="214"/>
    </row>
    <row r="270" spans="1:7" s="238" customFormat="1" ht="24.95" customHeight="1">
      <c r="A270" s="233">
        <v>265</v>
      </c>
      <c r="B270" s="234" t="s">
        <v>677</v>
      </c>
      <c r="C270" s="235" t="s">
        <v>539</v>
      </c>
      <c r="D270" s="254">
        <v>6.3673613351197041E-4</v>
      </c>
      <c r="E270" s="255">
        <f t="shared" si="5"/>
        <v>762476971.4354136</v>
      </c>
      <c r="F270" s="1"/>
      <c r="G270" s="214"/>
    </row>
    <row r="271" spans="1:7" s="226" customFormat="1" ht="24.95" customHeight="1">
      <c r="A271" s="227">
        <v>266</v>
      </c>
      <c r="B271" s="251" t="s">
        <v>369</v>
      </c>
      <c r="C271" s="252" t="s">
        <v>604</v>
      </c>
      <c r="D271" s="230">
        <f>SUM(D272:D286)</f>
        <v>1.0418138999177906E-2</v>
      </c>
      <c r="E271" s="253">
        <f t="shared" si="5"/>
        <v>12475483413</v>
      </c>
      <c r="F271" s="1"/>
      <c r="G271" s="214"/>
    </row>
    <row r="272" spans="1:7" s="238" customFormat="1" ht="24.95" customHeight="1">
      <c r="A272" s="233">
        <v>267</v>
      </c>
      <c r="B272" s="234" t="s">
        <v>370</v>
      </c>
      <c r="C272" s="235" t="s">
        <v>545</v>
      </c>
      <c r="D272" s="254">
        <v>1.0418138988321749E-4</v>
      </c>
      <c r="E272" s="255">
        <f t="shared" si="5"/>
        <v>124754834</v>
      </c>
      <c r="F272" s="1"/>
      <c r="G272" s="214"/>
    </row>
    <row r="273" spans="1:7" s="238" customFormat="1" ht="24.95" customHeight="1">
      <c r="A273" s="233">
        <v>268</v>
      </c>
      <c r="B273" s="234" t="s">
        <v>371</v>
      </c>
      <c r="C273" s="235" t="s">
        <v>605</v>
      </c>
      <c r="D273" s="254">
        <v>2.5732803327877568E-3</v>
      </c>
      <c r="E273" s="255">
        <f t="shared" si="5"/>
        <v>3081444403</v>
      </c>
      <c r="F273" s="1"/>
      <c r="G273" s="214"/>
    </row>
    <row r="274" spans="1:7" s="238" customFormat="1" ht="24.95" customHeight="1">
      <c r="A274" s="233">
        <v>269</v>
      </c>
      <c r="B274" s="234" t="s">
        <v>372</v>
      </c>
      <c r="C274" s="235" t="s">
        <v>606</v>
      </c>
      <c r="D274" s="254">
        <v>9.7930506607136905E-4</v>
      </c>
      <c r="E274" s="255">
        <f t="shared" si="5"/>
        <v>1172695441</v>
      </c>
      <c r="F274" s="1"/>
      <c r="G274" s="214"/>
    </row>
    <row r="275" spans="1:7" s="238" customFormat="1" ht="24.95" customHeight="1">
      <c r="A275" s="233">
        <v>270</v>
      </c>
      <c r="B275" s="234" t="s">
        <v>373</v>
      </c>
      <c r="C275" s="235" t="s">
        <v>607</v>
      </c>
      <c r="D275" s="254">
        <v>3.7505300408063636E-4</v>
      </c>
      <c r="E275" s="255">
        <f t="shared" si="5"/>
        <v>449117403</v>
      </c>
      <c r="F275" s="1"/>
      <c r="G275" s="214"/>
    </row>
    <row r="276" spans="1:7" s="238" customFormat="1" ht="24.95" customHeight="1">
      <c r="A276" s="233">
        <v>271</v>
      </c>
      <c r="B276" s="234" t="s">
        <v>374</v>
      </c>
      <c r="C276" s="235" t="s">
        <v>608</v>
      </c>
      <c r="D276" s="254">
        <v>4.5839811582019257E-4</v>
      </c>
      <c r="E276" s="255">
        <f t="shared" si="5"/>
        <v>548921270</v>
      </c>
      <c r="F276" s="1"/>
      <c r="G276" s="214"/>
    </row>
    <row r="277" spans="1:7" s="238" customFormat="1" ht="24.95" customHeight="1">
      <c r="A277" s="233">
        <v>272</v>
      </c>
      <c r="B277" s="234" t="s">
        <v>375</v>
      </c>
      <c r="C277" s="235" t="s">
        <v>655</v>
      </c>
      <c r="D277" s="254">
        <v>2.3961719698192691E-3</v>
      </c>
      <c r="E277" s="255">
        <f t="shared" si="5"/>
        <v>2869361185</v>
      </c>
      <c r="F277" s="1"/>
      <c r="G277" s="214"/>
    </row>
    <row r="278" spans="1:7" s="238" customFormat="1" ht="24.95" customHeight="1">
      <c r="A278" s="233">
        <v>273</v>
      </c>
      <c r="B278" s="234" t="s">
        <v>376</v>
      </c>
      <c r="C278" s="235" t="s">
        <v>610</v>
      </c>
      <c r="D278" s="254">
        <v>5.3132508890546255E-4</v>
      </c>
      <c r="E278" s="255">
        <f t="shared" si="5"/>
        <v>636249654</v>
      </c>
      <c r="F278" s="1"/>
      <c r="G278" s="214"/>
    </row>
    <row r="279" spans="1:7" s="238" customFormat="1" ht="24.95" customHeight="1">
      <c r="A279" s="233">
        <v>274</v>
      </c>
      <c r="B279" s="234" t="s">
        <v>377</v>
      </c>
      <c r="C279" s="235" t="s">
        <v>611</v>
      </c>
      <c r="D279" s="254">
        <v>2.5003533605375759E-4</v>
      </c>
      <c r="E279" s="255">
        <f t="shared" si="5"/>
        <v>299411602</v>
      </c>
      <c r="F279" s="1"/>
      <c r="G279" s="214"/>
    </row>
    <row r="280" spans="1:7" s="238" customFormat="1" ht="24.95" customHeight="1">
      <c r="A280" s="233">
        <v>275</v>
      </c>
      <c r="B280" s="234" t="s">
        <v>678</v>
      </c>
      <c r="C280" s="235" t="s">
        <v>557</v>
      </c>
      <c r="D280" s="254">
        <v>6.1467020064501882E-4</v>
      </c>
      <c r="E280" s="255">
        <f t="shared" si="5"/>
        <v>736053521</v>
      </c>
      <c r="F280" s="1"/>
      <c r="G280" s="214"/>
    </row>
    <row r="281" spans="1:7" s="238" customFormat="1" ht="24.95" customHeight="1">
      <c r="A281" s="233">
        <v>276</v>
      </c>
      <c r="B281" s="234" t="s">
        <v>679</v>
      </c>
      <c r="C281" s="235" t="s">
        <v>558</v>
      </c>
      <c r="D281" s="254">
        <v>6.1467020064501882E-4</v>
      </c>
      <c r="E281" s="255">
        <f t="shared" si="5"/>
        <v>736053521</v>
      </c>
      <c r="F281" s="1"/>
      <c r="G281" s="214"/>
    </row>
    <row r="282" spans="1:7" s="238" customFormat="1" ht="24.95" customHeight="1">
      <c r="A282" s="233">
        <v>277</v>
      </c>
      <c r="B282" s="234" t="s">
        <v>680</v>
      </c>
      <c r="C282" s="235" t="s">
        <v>559</v>
      </c>
      <c r="D282" s="254">
        <v>4.1672556036795896E-4</v>
      </c>
      <c r="E282" s="255">
        <f t="shared" si="5"/>
        <v>499019337</v>
      </c>
      <c r="F282" s="1"/>
      <c r="G282" s="214"/>
    </row>
    <row r="283" spans="1:7" s="238" customFormat="1" ht="24.95" customHeight="1">
      <c r="A283" s="233">
        <v>278</v>
      </c>
      <c r="B283" s="234" t="s">
        <v>681</v>
      </c>
      <c r="C283" s="235" t="s">
        <v>616</v>
      </c>
      <c r="D283" s="254">
        <v>4.1672556036795896E-4</v>
      </c>
      <c r="E283" s="255">
        <f t="shared" si="5"/>
        <v>499019337</v>
      </c>
      <c r="F283" s="1"/>
      <c r="G283" s="214"/>
    </row>
    <row r="284" spans="1:7" s="238" customFormat="1" ht="24.95" customHeight="1">
      <c r="A284" s="233">
        <v>279</v>
      </c>
      <c r="B284" s="234" t="s">
        <v>682</v>
      </c>
      <c r="C284" s="235" t="s">
        <v>618</v>
      </c>
      <c r="D284" s="254">
        <v>2.2919905791009629E-4</v>
      </c>
      <c r="E284" s="255">
        <f t="shared" si="5"/>
        <v>274460635</v>
      </c>
      <c r="F284" s="1"/>
      <c r="G284" s="214"/>
    </row>
    <row r="285" spans="1:7" s="238" customFormat="1" ht="24.95" customHeight="1">
      <c r="A285" s="233">
        <v>280</v>
      </c>
      <c r="B285" s="234" t="s">
        <v>683</v>
      </c>
      <c r="C285" s="235" t="s">
        <v>620</v>
      </c>
      <c r="D285" s="254">
        <v>2.2919905791009629E-4</v>
      </c>
      <c r="E285" s="255">
        <f t="shared" si="5"/>
        <v>274460635</v>
      </c>
      <c r="F285" s="1"/>
      <c r="G285" s="214"/>
    </row>
    <row r="286" spans="1:7" s="238" customFormat="1" ht="24.95" customHeight="1">
      <c r="A286" s="233">
        <v>281</v>
      </c>
      <c r="B286" s="234" t="s">
        <v>684</v>
      </c>
      <c r="C286" s="235" t="s">
        <v>622</v>
      </c>
      <c r="D286" s="254">
        <v>2.2919905791009629E-4</v>
      </c>
      <c r="E286" s="255">
        <f t="shared" si="5"/>
        <v>274460635</v>
      </c>
      <c r="F286" s="226"/>
      <c r="G286" s="214"/>
    </row>
    <row r="287" spans="1:7" s="226" customFormat="1" ht="30" customHeight="1">
      <c r="A287" s="221">
        <v>282</v>
      </c>
      <c r="B287" s="222" t="s">
        <v>397</v>
      </c>
      <c r="C287" s="223" t="s">
        <v>685</v>
      </c>
      <c r="D287" s="224">
        <f>D288+D299+D310</f>
        <v>0.13105999999934537</v>
      </c>
      <c r="E287" s="225">
        <f t="shared" si="5"/>
        <v>156941355479</v>
      </c>
      <c r="G287" s="214"/>
    </row>
    <row r="288" spans="1:7" s="226" customFormat="1" ht="24.95" customHeight="1">
      <c r="A288" s="227">
        <v>283</v>
      </c>
      <c r="B288" s="251" t="s">
        <v>398</v>
      </c>
      <c r="C288" s="252" t="s">
        <v>569</v>
      </c>
      <c r="D288" s="230">
        <f>SUM(D289:D298)</f>
        <v>4.8492200000400804E-2</v>
      </c>
      <c r="E288" s="253">
        <f t="shared" si="5"/>
        <v>58068301528</v>
      </c>
      <c r="F288" s="1"/>
      <c r="G288" s="214"/>
    </row>
    <row r="289" spans="1:7" s="238" customFormat="1" ht="24.95" customHeight="1">
      <c r="A289" s="233">
        <v>284</v>
      </c>
      <c r="B289" s="234" t="s">
        <v>399</v>
      </c>
      <c r="C289" s="235" t="s">
        <v>530</v>
      </c>
      <c r="D289" s="254">
        <v>2.4246099996860044E-3</v>
      </c>
      <c r="E289" s="255">
        <f t="shared" si="5"/>
        <v>2903415076</v>
      </c>
      <c r="F289" s="1"/>
      <c r="G289" s="214"/>
    </row>
    <row r="290" spans="1:7" s="238" customFormat="1" ht="24.95" customHeight="1">
      <c r="A290" s="233">
        <v>285</v>
      </c>
      <c r="B290" s="234" t="s">
        <v>400</v>
      </c>
      <c r="C290" s="235" t="s">
        <v>531</v>
      </c>
      <c r="D290" s="254">
        <v>4.8492200002070978E-3</v>
      </c>
      <c r="E290" s="255">
        <f t="shared" si="5"/>
        <v>5806830153</v>
      </c>
      <c r="F290" s="1"/>
      <c r="G290" s="214"/>
    </row>
    <row r="291" spans="1:7" s="238" customFormat="1" ht="24.95" customHeight="1">
      <c r="A291" s="233">
        <v>286</v>
      </c>
      <c r="B291" s="234" t="s">
        <v>401</v>
      </c>
      <c r="C291" s="235" t="s">
        <v>539</v>
      </c>
      <c r="D291" s="254">
        <v>2.4246099996860044E-3</v>
      </c>
      <c r="E291" s="255">
        <f t="shared" si="5"/>
        <v>2903415076</v>
      </c>
      <c r="F291" s="1"/>
      <c r="G291" s="214"/>
    </row>
    <row r="292" spans="1:7" s="238" customFormat="1" ht="24.95" customHeight="1">
      <c r="A292" s="233">
        <v>287</v>
      </c>
      <c r="B292" s="234" t="s">
        <v>402</v>
      </c>
      <c r="C292" s="235" t="s">
        <v>624</v>
      </c>
      <c r="D292" s="254">
        <v>4.8492200002070978E-3</v>
      </c>
      <c r="E292" s="255">
        <f t="shared" si="5"/>
        <v>5806830153</v>
      </c>
      <c r="F292" s="1"/>
      <c r="G292" s="214"/>
    </row>
    <row r="293" spans="1:7" s="238" customFormat="1" ht="24.95" customHeight="1">
      <c r="A293" s="233">
        <v>288</v>
      </c>
      <c r="B293" s="234" t="s">
        <v>403</v>
      </c>
      <c r="C293" s="235" t="s">
        <v>625</v>
      </c>
      <c r="D293" s="254">
        <v>9.6984400004141956E-3</v>
      </c>
      <c r="E293" s="255">
        <f t="shared" si="5"/>
        <v>11613660306</v>
      </c>
      <c r="F293" s="1"/>
      <c r="G293" s="214"/>
    </row>
    <row r="294" spans="1:7" s="238" customFormat="1" ht="24.95" customHeight="1">
      <c r="A294" s="233">
        <v>289</v>
      </c>
      <c r="B294" s="234" t="s">
        <v>404</v>
      </c>
      <c r="C294" s="235" t="s">
        <v>626</v>
      </c>
      <c r="D294" s="254">
        <v>7.2738299998931022E-3</v>
      </c>
      <c r="E294" s="255">
        <f t="shared" si="5"/>
        <v>8710245229</v>
      </c>
      <c r="F294" s="1"/>
      <c r="G294" s="214"/>
    </row>
    <row r="295" spans="1:7" s="238" customFormat="1" ht="24.95" customHeight="1">
      <c r="A295" s="233">
        <v>290</v>
      </c>
      <c r="B295" s="234" t="s">
        <v>405</v>
      </c>
      <c r="C295" s="235" t="s">
        <v>627</v>
      </c>
      <c r="D295" s="254">
        <v>5.576603000279917E-3</v>
      </c>
      <c r="E295" s="255">
        <f t="shared" si="5"/>
        <v>6677854676</v>
      </c>
      <c r="F295" s="1"/>
      <c r="G295" s="214"/>
    </row>
    <row r="296" spans="1:7" s="238" customFormat="1" ht="24.95" customHeight="1">
      <c r="A296" s="233">
        <v>291</v>
      </c>
      <c r="B296" s="234" t="s">
        <v>406</v>
      </c>
      <c r="C296" s="235" t="s">
        <v>628</v>
      </c>
      <c r="D296" s="254">
        <v>4.1218370001342786E-3</v>
      </c>
      <c r="E296" s="255">
        <f t="shared" si="5"/>
        <v>4935805630</v>
      </c>
      <c r="F296" s="1"/>
      <c r="G296" s="214"/>
    </row>
    <row r="297" spans="1:7" s="238" customFormat="1" ht="24.95" customHeight="1">
      <c r="A297" s="233">
        <v>292</v>
      </c>
      <c r="B297" s="234" t="s">
        <v>407</v>
      </c>
      <c r="C297" s="235" t="s">
        <v>629</v>
      </c>
      <c r="D297" s="254">
        <v>3.6369149999465511E-3</v>
      </c>
      <c r="E297" s="255">
        <f t="shared" si="5"/>
        <v>4355122614.5</v>
      </c>
      <c r="F297" s="1"/>
      <c r="G297" s="214"/>
    </row>
    <row r="298" spans="1:7" s="238" customFormat="1" ht="24.95" customHeight="1">
      <c r="A298" s="233">
        <v>293</v>
      </c>
      <c r="B298" s="234" t="s">
        <v>686</v>
      </c>
      <c r="C298" s="235" t="s">
        <v>631</v>
      </c>
      <c r="D298" s="254">
        <v>3.6369149999465511E-3</v>
      </c>
      <c r="E298" s="255">
        <f t="shared" si="5"/>
        <v>4355122614.5</v>
      </c>
      <c r="F298" s="244" t="e">
        <f>D299-#REF!</f>
        <v>#REF!</v>
      </c>
      <c r="G298" s="214"/>
    </row>
    <row r="299" spans="1:7" s="226" customFormat="1" ht="24.95" customHeight="1">
      <c r="A299" s="227">
        <v>294</v>
      </c>
      <c r="B299" s="251" t="s">
        <v>687</v>
      </c>
      <c r="C299" s="252" t="s">
        <v>633</v>
      </c>
      <c r="D299" s="230">
        <f>SUM(D300:D309)</f>
        <v>3.9318000000054136E-2</v>
      </c>
      <c r="E299" s="253">
        <f t="shared" si="5"/>
        <v>47082406644</v>
      </c>
      <c r="F299" s="1"/>
      <c r="G299" s="214"/>
    </row>
    <row r="300" spans="1:7" s="238" customFormat="1" ht="24.95" customHeight="1">
      <c r="A300" s="233">
        <v>295</v>
      </c>
      <c r="B300" s="234" t="s">
        <v>688</v>
      </c>
      <c r="C300" s="235" t="s">
        <v>564</v>
      </c>
      <c r="D300" s="254">
        <v>1.3368120000886898E-3</v>
      </c>
      <c r="E300" s="255">
        <f t="shared" si="5"/>
        <v>1600801826</v>
      </c>
      <c r="F300" s="1"/>
      <c r="G300" s="214"/>
    </row>
    <row r="301" spans="1:7" s="238" customFormat="1" ht="24.95" customHeight="1">
      <c r="A301" s="233">
        <v>296</v>
      </c>
      <c r="B301" s="234" t="s">
        <v>689</v>
      </c>
      <c r="C301" s="235" t="s">
        <v>636</v>
      </c>
      <c r="D301" s="254">
        <v>7.077240000076551E-3</v>
      </c>
      <c r="E301" s="255">
        <f t="shared" si="5"/>
        <v>8474833196</v>
      </c>
      <c r="F301" s="1"/>
      <c r="G301" s="214"/>
    </row>
    <row r="302" spans="1:7" s="238" customFormat="1" ht="24.95" customHeight="1">
      <c r="A302" s="233">
        <v>297</v>
      </c>
      <c r="B302" s="234" t="s">
        <v>690</v>
      </c>
      <c r="C302" s="235" t="s">
        <v>638</v>
      </c>
      <c r="D302" s="254">
        <v>1.4154480000153102E-2</v>
      </c>
      <c r="E302" s="255">
        <f t="shared" si="5"/>
        <v>16949666392</v>
      </c>
      <c r="F302" s="1"/>
      <c r="G302" s="214"/>
    </row>
    <row r="303" spans="1:7" s="238" customFormat="1" ht="24.95" customHeight="1">
      <c r="A303" s="233">
        <v>298</v>
      </c>
      <c r="B303" s="234" t="s">
        <v>691</v>
      </c>
      <c r="C303" s="235" t="s">
        <v>640</v>
      </c>
      <c r="D303" s="254">
        <v>7.077240000076551E-3</v>
      </c>
      <c r="E303" s="255">
        <f t="shared" si="5"/>
        <v>8474833196</v>
      </c>
      <c r="F303" s="1"/>
      <c r="G303" s="214"/>
    </row>
    <row r="304" spans="1:7" s="238" customFormat="1" ht="24.95" customHeight="1">
      <c r="A304" s="233">
        <v>299</v>
      </c>
      <c r="B304" s="234" t="s">
        <v>692</v>
      </c>
      <c r="C304" s="235" t="s">
        <v>642</v>
      </c>
      <c r="D304" s="254">
        <v>3.9317999963310216E-4</v>
      </c>
      <c r="E304" s="255">
        <f t="shared" si="5"/>
        <v>470824066</v>
      </c>
      <c r="F304" s="1"/>
      <c r="G304" s="214"/>
    </row>
    <row r="305" spans="1:7" s="238" customFormat="1" ht="24.95" customHeight="1">
      <c r="A305" s="233">
        <v>300</v>
      </c>
      <c r="B305" s="234" t="s">
        <v>693</v>
      </c>
      <c r="C305" s="235" t="s">
        <v>644</v>
      </c>
      <c r="D305" s="254">
        <v>7.0772400034169072E-4</v>
      </c>
      <c r="E305" s="255">
        <f t="shared" ref="E305:E333" si="6">$F$6*D305</f>
        <v>847483320</v>
      </c>
      <c r="F305" s="1"/>
      <c r="G305" s="214"/>
    </row>
    <row r="306" spans="1:7" s="238" customFormat="1" ht="24.95" customHeight="1">
      <c r="A306" s="233">
        <v>301</v>
      </c>
      <c r="B306" s="234" t="s">
        <v>694</v>
      </c>
      <c r="C306" s="235" t="s">
        <v>646</v>
      </c>
      <c r="D306" s="254">
        <v>2.2018079999495859E-3</v>
      </c>
      <c r="E306" s="255">
        <f t="shared" si="6"/>
        <v>2636614772</v>
      </c>
      <c r="F306" s="1"/>
      <c r="G306" s="214"/>
    </row>
    <row r="307" spans="1:7" s="238" customFormat="1" ht="24.95" customHeight="1">
      <c r="A307" s="233">
        <v>302</v>
      </c>
      <c r="B307" s="234" t="s">
        <v>695</v>
      </c>
      <c r="C307" s="235" t="s">
        <v>648</v>
      </c>
      <c r="D307" s="254">
        <v>3.3027119999243788E-3</v>
      </c>
      <c r="E307" s="255">
        <f t="shared" si="6"/>
        <v>3954922158</v>
      </c>
      <c r="F307" s="1"/>
      <c r="G307" s="214"/>
    </row>
    <row r="308" spans="1:7" s="238" customFormat="1" ht="24.95" customHeight="1">
      <c r="A308" s="233">
        <v>303</v>
      </c>
      <c r="B308" s="234" t="s">
        <v>696</v>
      </c>
      <c r="C308" s="235" t="s">
        <v>650</v>
      </c>
      <c r="D308" s="254">
        <v>1.1009039999747929E-3</v>
      </c>
      <c r="E308" s="255">
        <f t="shared" si="6"/>
        <v>1318307386</v>
      </c>
      <c r="F308" s="1"/>
      <c r="G308" s="214"/>
    </row>
    <row r="309" spans="1:7" s="238" customFormat="1" ht="24.95" customHeight="1">
      <c r="A309" s="233">
        <v>304</v>
      </c>
      <c r="B309" s="234" t="s">
        <v>697</v>
      </c>
      <c r="C309" s="235" t="s">
        <v>539</v>
      </c>
      <c r="D309" s="254">
        <v>1.9658999998356888E-3</v>
      </c>
      <c r="E309" s="255">
        <f t="shared" si="6"/>
        <v>2354120332</v>
      </c>
      <c r="F309" s="226"/>
      <c r="G309" s="214"/>
    </row>
    <row r="310" spans="1:7" s="226" customFormat="1" ht="24.95" customHeight="1">
      <c r="A310" s="227">
        <v>305</v>
      </c>
      <c r="B310" s="251" t="s">
        <v>408</v>
      </c>
      <c r="C310" s="252" t="s">
        <v>604</v>
      </c>
      <c r="D310" s="230">
        <f>SUM(D311:D328)</f>
        <v>4.324979999889042E-2</v>
      </c>
      <c r="E310" s="253">
        <f t="shared" si="6"/>
        <v>51790647307</v>
      </c>
      <c r="F310" s="1"/>
      <c r="G310" s="214"/>
    </row>
    <row r="311" spans="1:7" s="238" customFormat="1" ht="24.95" customHeight="1">
      <c r="A311" s="233">
        <v>306</v>
      </c>
      <c r="B311" s="234" t="s">
        <v>409</v>
      </c>
      <c r="C311" s="235" t="s">
        <v>545</v>
      </c>
      <c r="D311" s="254">
        <v>4.3249799993044802E-4</v>
      </c>
      <c r="E311" s="255">
        <f t="shared" si="6"/>
        <v>517906473</v>
      </c>
      <c r="F311" s="1"/>
      <c r="G311" s="214"/>
    </row>
    <row r="312" spans="1:7" s="238" customFormat="1" ht="24.95" customHeight="1">
      <c r="A312" s="233">
        <v>307</v>
      </c>
      <c r="B312" s="234" t="s">
        <v>410</v>
      </c>
      <c r="C312" s="235" t="s">
        <v>546</v>
      </c>
      <c r="D312" s="254">
        <v>4.2817302003970506E-3</v>
      </c>
      <c r="E312" s="255">
        <f t="shared" si="6"/>
        <v>5127274084</v>
      </c>
      <c r="F312" s="1"/>
      <c r="G312" s="214"/>
    </row>
    <row r="313" spans="1:7" s="238" customFormat="1" ht="24.95" customHeight="1">
      <c r="A313" s="233">
        <v>308</v>
      </c>
      <c r="B313" s="234" t="s">
        <v>411</v>
      </c>
      <c r="C313" s="235" t="s">
        <v>547</v>
      </c>
      <c r="D313" s="254">
        <v>4.3249800001395689E-3</v>
      </c>
      <c r="E313" s="255">
        <f t="shared" si="6"/>
        <v>5179064731</v>
      </c>
      <c r="F313" s="1"/>
      <c r="G313" s="214"/>
    </row>
    <row r="314" spans="1:7" s="238" customFormat="1" ht="24.95" customHeight="1">
      <c r="A314" s="233">
        <v>309</v>
      </c>
      <c r="B314" s="234" t="s">
        <v>412</v>
      </c>
      <c r="C314" s="235" t="s">
        <v>548</v>
      </c>
      <c r="D314" s="254">
        <v>4.3249800001395689E-3</v>
      </c>
      <c r="E314" s="255">
        <f t="shared" si="6"/>
        <v>5179064731</v>
      </c>
      <c r="F314" s="1"/>
      <c r="G314" s="214"/>
    </row>
    <row r="315" spans="1:7" s="238" customFormat="1" ht="24.95" customHeight="1">
      <c r="A315" s="233">
        <v>310</v>
      </c>
      <c r="B315" s="234" t="s">
        <v>413</v>
      </c>
      <c r="C315" s="235" t="s">
        <v>549</v>
      </c>
      <c r="D315" s="254">
        <v>3.4599840002786731E-3</v>
      </c>
      <c r="E315" s="255">
        <f t="shared" si="6"/>
        <v>4143251785</v>
      </c>
      <c r="F315" s="1"/>
      <c r="G315" s="214"/>
    </row>
    <row r="316" spans="1:7" s="238" customFormat="1" ht="24.95" customHeight="1">
      <c r="A316" s="233">
        <v>311</v>
      </c>
      <c r="B316" s="234" t="s">
        <v>414</v>
      </c>
      <c r="C316" s="235" t="s">
        <v>550</v>
      </c>
      <c r="D316" s="254">
        <v>2.16248999965224E-3</v>
      </c>
      <c r="E316" s="255">
        <f t="shared" si="6"/>
        <v>2589532365</v>
      </c>
      <c r="F316" s="1"/>
      <c r="G316" s="214"/>
    </row>
    <row r="317" spans="1:7" s="238" customFormat="1" ht="24.95" customHeight="1">
      <c r="A317" s="233">
        <v>312</v>
      </c>
      <c r="B317" s="234" t="s">
        <v>415</v>
      </c>
      <c r="C317" s="235" t="s">
        <v>551</v>
      </c>
      <c r="D317" s="254">
        <v>1.7299919997217921E-3</v>
      </c>
      <c r="E317" s="255">
        <f t="shared" si="6"/>
        <v>2071625892</v>
      </c>
      <c r="F317" s="1"/>
      <c r="G317" s="214"/>
    </row>
    <row r="318" spans="1:7" s="238" customFormat="1" ht="24.95" customHeight="1">
      <c r="A318" s="233">
        <v>313</v>
      </c>
      <c r="B318" s="234" t="s">
        <v>416</v>
      </c>
      <c r="C318" s="235" t="s">
        <v>552</v>
      </c>
      <c r="D318" s="254">
        <v>1.0812450002436645E-3</v>
      </c>
      <c r="E318" s="255">
        <f t="shared" si="6"/>
        <v>1294766183</v>
      </c>
      <c r="F318" s="1"/>
      <c r="G318" s="214"/>
    </row>
    <row r="319" spans="1:7" s="238" customFormat="1" ht="24.95" customHeight="1">
      <c r="A319" s="233">
        <v>314</v>
      </c>
      <c r="B319" s="234" t="s">
        <v>417</v>
      </c>
      <c r="C319" s="235" t="s">
        <v>553</v>
      </c>
      <c r="D319" s="254">
        <v>2.16248999965224E-3</v>
      </c>
      <c r="E319" s="255">
        <f t="shared" si="6"/>
        <v>2589532365</v>
      </c>
      <c r="F319" s="1"/>
      <c r="G319" s="214"/>
    </row>
    <row r="320" spans="1:7" s="238" customFormat="1" ht="24.95" customHeight="1">
      <c r="A320" s="233">
        <v>315</v>
      </c>
      <c r="B320" s="234" t="s">
        <v>418</v>
      </c>
      <c r="C320" s="235" t="s">
        <v>554</v>
      </c>
      <c r="D320" s="254">
        <v>1.0812450002436645E-3</v>
      </c>
      <c r="E320" s="255">
        <f t="shared" si="6"/>
        <v>1294766183</v>
      </c>
      <c r="F320" s="1"/>
      <c r="G320" s="214"/>
    </row>
    <row r="321" spans="1:7" s="238" customFormat="1" ht="24.95" customHeight="1">
      <c r="A321" s="233">
        <v>316</v>
      </c>
      <c r="B321" s="234" t="s">
        <v>419</v>
      </c>
      <c r="C321" s="235" t="s">
        <v>555</v>
      </c>
      <c r="D321" s="254">
        <v>1.0812450002436645E-3</v>
      </c>
      <c r="E321" s="255">
        <f t="shared" si="6"/>
        <v>1294766183</v>
      </c>
      <c r="F321" s="1"/>
      <c r="G321" s="214"/>
    </row>
    <row r="322" spans="1:7" s="238" customFormat="1" ht="24.95" customHeight="1">
      <c r="A322" s="233">
        <v>317</v>
      </c>
      <c r="B322" s="234" t="s">
        <v>420</v>
      </c>
      <c r="C322" s="235" t="s">
        <v>652</v>
      </c>
      <c r="D322" s="254">
        <v>6.4874699997918093E-3</v>
      </c>
      <c r="E322" s="255">
        <f t="shared" si="6"/>
        <v>7768597096</v>
      </c>
      <c r="F322" s="1"/>
      <c r="G322" s="214"/>
    </row>
    <row r="323" spans="1:7" s="238" customFormat="1" ht="24.95" customHeight="1">
      <c r="A323" s="233">
        <v>318</v>
      </c>
      <c r="B323" s="234" t="s">
        <v>421</v>
      </c>
      <c r="C323" s="235" t="s">
        <v>557</v>
      </c>
      <c r="D323" s="254">
        <v>2.5949879995826879E-3</v>
      </c>
      <c r="E323" s="255">
        <f t="shared" si="6"/>
        <v>3107438838</v>
      </c>
      <c r="F323" s="1"/>
      <c r="G323" s="214"/>
    </row>
    <row r="324" spans="1:7" s="238" customFormat="1" ht="24.95" customHeight="1">
      <c r="A324" s="233">
        <v>319</v>
      </c>
      <c r="B324" s="234" t="s">
        <v>422</v>
      </c>
      <c r="C324" s="235" t="s">
        <v>558</v>
      </c>
      <c r="D324" s="254">
        <v>2.5949879995826879E-3</v>
      </c>
      <c r="E324" s="255">
        <f t="shared" si="6"/>
        <v>3107438838</v>
      </c>
      <c r="F324" s="1"/>
      <c r="G324" s="214"/>
    </row>
    <row r="325" spans="1:7" s="238" customFormat="1" ht="24.95" customHeight="1">
      <c r="A325" s="233">
        <v>320</v>
      </c>
      <c r="B325" s="234" t="s">
        <v>423</v>
      </c>
      <c r="C325" s="235" t="s">
        <v>559</v>
      </c>
      <c r="D325" s="254">
        <v>1.7299919997217921E-3</v>
      </c>
      <c r="E325" s="255">
        <f t="shared" si="6"/>
        <v>2071625892</v>
      </c>
      <c r="F325" s="1"/>
      <c r="G325" s="214"/>
    </row>
    <row r="326" spans="1:7" s="238" customFormat="1" ht="24.95" customHeight="1">
      <c r="A326" s="233">
        <v>321</v>
      </c>
      <c r="B326" s="234" t="s">
        <v>424</v>
      </c>
      <c r="C326" s="235" t="s">
        <v>560</v>
      </c>
      <c r="D326" s="254">
        <v>1.7299919997217921E-3</v>
      </c>
      <c r="E326" s="255">
        <f t="shared" si="6"/>
        <v>2071625892</v>
      </c>
      <c r="F326" s="1"/>
      <c r="G326" s="214"/>
    </row>
    <row r="327" spans="1:7" s="238" customFormat="1" ht="24.95" customHeight="1">
      <c r="A327" s="233">
        <v>322</v>
      </c>
      <c r="B327" s="234" t="s">
        <v>425</v>
      </c>
      <c r="C327" s="235" t="s">
        <v>561</v>
      </c>
      <c r="D327" s="254">
        <v>1.0812450002436645E-3</v>
      </c>
      <c r="E327" s="255">
        <f t="shared" si="6"/>
        <v>1294766183</v>
      </c>
      <c r="F327" s="1"/>
      <c r="G327" s="214"/>
    </row>
    <row r="328" spans="1:7" s="238" customFormat="1" ht="24.95" customHeight="1">
      <c r="A328" s="233">
        <v>323</v>
      </c>
      <c r="B328" s="234" t="s">
        <v>426</v>
      </c>
      <c r="C328" s="235" t="s">
        <v>563</v>
      </c>
      <c r="D328" s="254">
        <v>9.082457996034141E-4</v>
      </c>
      <c r="E328" s="255">
        <f t="shared" si="6"/>
        <v>1087603593</v>
      </c>
      <c r="F328" s="226"/>
      <c r="G328" s="214"/>
    </row>
    <row r="329" spans="1:7" s="226" customFormat="1" ht="30" customHeight="1">
      <c r="A329" s="221">
        <v>324</v>
      </c>
      <c r="B329" s="222" t="s">
        <v>698</v>
      </c>
      <c r="C329" s="223" t="s">
        <v>568</v>
      </c>
      <c r="D329" s="224">
        <v>3.9647647114819523E-2</v>
      </c>
      <c r="E329" s="225">
        <f t="shared" si="6"/>
        <v>47477151532</v>
      </c>
      <c r="F329" s="220"/>
      <c r="G329" s="214"/>
    </row>
    <row r="330" spans="1:7" customFormat="1" ht="30" customHeight="1">
      <c r="A330" s="215">
        <v>325</v>
      </c>
      <c r="B330" s="216">
        <v>1.7</v>
      </c>
      <c r="C330" s="217" t="s">
        <v>454</v>
      </c>
      <c r="D330" s="218">
        <f>SUM(D331:D333)</f>
        <v>1.2E-2</v>
      </c>
      <c r="E330" s="219">
        <f t="shared" si="6"/>
        <v>14369725818.384001</v>
      </c>
      <c r="F330" s="226"/>
      <c r="G330" s="214"/>
    </row>
    <row r="331" spans="1:7" s="226" customFormat="1" ht="30" customHeight="1">
      <c r="A331" s="221">
        <v>326</v>
      </c>
      <c r="B331" s="222" t="s">
        <v>165</v>
      </c>
      <c r="C331" s="223" t="s">
        <v>166</v>
      </c>
      <c r="D331" s="224">
        <v>5.0000000000000001E-3</v>
      </c>
      <c r="E331" s="225">
        <f t="shared" si="6"/>
        <v>5987385757.6599998</v>
      </c>
      <c r="G331" s="214"/>
    </row>
    <row r="332" spans="1:7" s="226" customFormat="1" ht="30" customHeight="1">
      <c r="A332" s="221">
        <v>327</v>
      </c>
      <c r="B332" s="222" t="s">
        <v>167</v>
      </c>
      <c r="C332" s="223" t="s">
        <v>168</v>
      </c>
      <c r="D332" s="224">
        <v>3.0000000000000001E-3</v>
      </c>
      <c r="E332" s="225">
        <f t="shared" si="6"/>
        <v>3592431454.5960002</v>
      </c>
      <c r="G332" s="214"/>
    </row>
    <row r="333" spans="1:7" s="226" customFormat="1" ht="30" customHeight="1">
      <c r="A333" s="221">
        <v>328</v>
      </c>
      <c r="B333" s="222" t="s">
        <v>169</v>
      </c>
      <c r="C333" s="223" t="s">
        <v>170</v>
      </c>
      <c r="D333" s="224">
        <v>4.0000000000000001E-3</v>
      </c>
      <c r="E333" s="225">
        <f t="shared" si="6"/>
        <v>4789908606.1280003</v>
      </c>
      <c r="F333" s="1"/>
      <c r="G333" s="1"/>
    </row>
  </sheetData>
  <mergeCells count="5">
    <mergeCell ref="C1:C4"/>
    <mergeCell ref="D1:E2"/>
    <mergeCell ref="D3:E3"/>
    <mergeCell ref="A4:B4"/>
    <mergeCell ref="D4:E4"/>
  </mergeCells>
  <printOptions horizontalCentered="1"/>
  <pageMargins left="0.39370078740157483" right="0.39370078740157483" top="0.39370078740157483" bottom="0.59055118110236227" header="0.31496062992125984" footer="0.27559055118110237"/>
  <pageSetup paperSize="9" scale="80" fitToHeight="0" orientation="portrait" r:id="rId1"/>
  <headerFooter>
    <oddFooter xml:space="preserve">&amp;L&amp;"B Nazanin,Regular"نماینده مشارکت:
&amp;C&amp;"B Nazanin,Regular"نماینده مشاور:
صفحه: &amp;P از &amp;N&amp;R&amp;"B Nazanin,Regular"نماینده کارفرما:
</oddFooter>
  </headerFooter>
  <rowBreaks count="10" manualBreakCount="10">
    <brk id="31" max="4" man="1"/>
    <brk id="56" max="4" man="1"/>
    <brk id="87" max="4" man="1"/>
    <brk id="116" max="4" man="1"/>
    <brk id="146" max="4" man="1"/>
    <brk id="175" max="4" man="1"/>
    <brk id="207" max="4" man="1"/>
    <brk id="239" max="4" man="1"/>
    <brk id="270" max="4" man="1"/>
    <brk id="303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26</vt:i4>
      </vt:variant>
    </vt:vector>
  </HeadingPairs>
  <TitlesOfParts>
    <vt:vector size="43" baseType="lpstr">
      <vt:lpstr>summary</vt:lpstr>
      <vt:lpstr>summary-2</vt:lpstr>
      <vt:lpstr>summary-Adjustment</vt:lpstr>
      <vt:lpstr>خلاصه مالي صورت وضعیت</vt:lpstr>
      <vt:lpstr>جمع بندي صورت وضعیت</vt:lpstr>
      <vt:lpstr>سازمان دهی و برنامه ریزی پروژه</vt:lpstr>
      <vt:lpstr>بیمه نامه ها</vt:lpstr>
      <vt:lpstr>تجهیز کارگاه اولیه</vt:lpstr>
      <vt:lpstr>تجهیز کارگاه مستمر</vt:lpstr>
      <vt:lpstr>خدمات طراحي  مهندسي پیش از اجرا</vt:lpstr>
      <vt:lpstr>خدمات طراحي و مهندسي حین اجرا</vt:lpstr>
      <vt:lpstr>خدمات مهندسي حين اجرا</vt:lpstr>
      <vt:lpstr>خدمات تامین</vt:lpstr>
      <vt:lpstr>خدمات اجرایی </vt:lpstr>
      <vt:lpstr>اختتامیه</vt:lpstr>
      <vt:lpstr>فصل13ریل</vt:lpstr>
      <vt:lpstr>CBS</vt:lpstr>
      <vt:lpstr>CBS!Print_Area</vt:lpstr>
      <vt:lpstr>summary!Print_Area</vt:lpstr>
      <vt:lpstr>'summary-2'!Print_Area</vt:lpstr>
      <vt:lpstr>'summary-Adjustment'!Print_Area</vt:lpstr>
      <vt:lpstr>اختتامیه!Print_Area</vt:lpstr>
      <vt:lpstr>'بیمه نامه ها'!Print_Area</vt:lpstr>
      <vt:lpstr>'تجهیز کارگاه اولیه'!Print_Area</vt:lpstr>
      <vt:lpstr>'تجهیز کارگاه مستمر'!Print_Area</vt:lpstr>
      <vt:lpstr>'جمع بندي صورت وضعیت'!Print_Area</vt:lpstr>
      <vt:lpstr>'خدمات اجرایی '!Print_Area</vt:lpstr>
      <vt:lpstr>'خدمات تامین'!Print_Area</vt:lpstr>
      <vt:lpstr>'خدمات طراحي  مهندسي پیش از اجرا'!Print_Area</vt:lpstr>
      <vt:lpstr>'خدمات طراحي و مهندسي حین اجرا'!Print_Area</vt:lpstr>
      <vt:lpstr>'خدمات مهندسي حين اجرا'!Print_Area</vt:lpstr>
      <vt:lpstr>'خلاصه مالي صورت وضعیت'!Print_Area</vt:lpstr>
      <vt:lpstr>'سازمان دهی و برنامه ریزی پروژه'!Print_Area</vt:lpstr>
      <vt:lpstr>CBS!Print_Titles</vt:lpstr>
      <vt:lpstr>اختتامیه!Print_Titles</vt:lpstr>
      <vt:lpstr>'بیمه نامه ها'!Print_Titles</vt:lpstr>
      <vt:lpstr>'تجهیز کارگاه اولیه'!Print_Titles</vt:lpstr>
      <vt:lpstr>'تجهیز کارگاه مستمر'!Print_Titles</vt:lpstr>
      <vt:lpstr>'خدمات اجرایی '!Print_Titles</vt:lpstr>
      <vt:lpstr>'خدمات تامین'!Print_Titles</vt:lpstr>
      <vt:lpstr>'خدمات طراحي  مهندسي پیش از اجرا'!Print_Titles</vt:lpstr>
      <vt:lpstr>'خلاصه مالي صورت وضعیت'!Print_Titles</vt:lpstr>
      <vt:lpstr>'سازمان دهی و برنامه ریزی پروژه'!Print_Titles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</dc:creator>
  <cp:lastModifiedBy>Arash Tootoonchi</cp:lastModifiedBy>
  <cp:lastPrinted>2025-08-10T06:34:05Z</cp:lastPrinted>
  <dcterms:created xsi:type="dcterms:W3CDTF">2015-04-06T12:23:04Z</dcterms:created>
  <dcterms:modified xsi:type="dcterms:W3CDTF">2025-12-04T17:26:32Z</dcterms:modified>
</cp:coreProperties>
</file>