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rasopraza/Python/Skripsi/"/>
    </mc:Choice>
  </mc:AlternateContent>
  <xr:revisionPtr revIDLastSave="0" documentId="13_ncr:1_{E771CD84-68D9-8145-BC55-DD0E93FB88AC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Korelasi curah hujan" sheetId="1" r:id="rId1"/>
    <sheet name="Produksi " sheetId="2" r:id="rId2"/>
    <sheet name="Sheet3" sheetId="5" r:id="rId3"/>
    <sheet name="Regresi" sheetId="4" r:id="rId4"/>
    <sheet name="Binn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4" l="1"/>
  <c r="M16" i="4"/>
  <c r="L6" i="4"/>
  <c r="L7" i="4"/>
  <c r="L8" i="4"/>
  <c r="L9" i="4"/>
  <c r="L10" i="4"/>
  <c r="L11" i="4"/>
  <c r="L12" i="4"/>
  <c r="L13" i="4"/>
  <c r="L14" i="4"/>
  <c r="L15" i="4"/>
  <c r="L16" i="4"/>
  <c r="L5" i="4"/>
  <c r="G69" i="4"/>
  <c r="I28" i="4"/>
  <c r="I22" i="4"/>
  <c r="G68" i="4" s="1"/>
  <c r="I5" i="4"/>
  <c r="A31" i="4"/>
  <c r="A30" i="4"/>
  <c r="A29" i="4"/>
  <c r="F25" i="4"/>
  <c r="F24" i="4"/>
  <c r="F23" i="4"/>
  <c r="C25" i="4"/>
  <c r="B25" i="4"/>
  <c r="A25" i="4"/>
  <c r="C24" i="4"/>
  <c r="B24" i="4"/>
  <c r="A24" i="4"/>
  <c r="C23" i="4"/>
  <c r="B23" i="4"/>
  <c r="J6" i="4"/>
  <c r="J7" i="4"/>
  <c r="J8" i="4"/>
  <c r="J9" i="4"/>
  <c r="J10" i="4"/>
  <c r="J11" i="4"/>
  <c r="J12" i="4"/>
  <c r="J13" i="4"/>
  <c r="J14" i="4"/>
  <c r="J15" i="4"/>
  <c r="J16" i="4"/>
  <c r="J5" i="4"/>
  <c r="I6" i="4"/>
  <c r="I7" i="4"/>
  <c r="I8" i="4"/>
  <c r="I9" i="4"/>
  <c r="I10" i="4"/>
  <c r="I11" i="4"/>
  <c r="I17" i="4" s="1"/>
  <c r="I12" i="4"/>
  <c r="I13" i="4"/>
  <c r="I14" i="4"/>
  <c r="I15" i="4"/>
  <c r="I16" i="4"/>
  <c r="H6" i="4"/>
  <c r="H7" i="4"/>
  <c r="H8" i="4"/>
  <c r="H9" i="4"/>
  <c r="H10" i="4"/>
  <c r="H11" i="4"/>
  <c r="H12" i="4"/>
  <c r="H13" i="4"/>
  <c r="H14" i="4"/>
  <c r="H15" i="4"/>
  <c r="H16" i="4"/>
  <c r="H5" i="4"/>
  <c r="F17" i="4"/>
  <c r="G17" i="4"/>
  <c r="G6" i="4"/>
  <c r="G7" i="4"/>
  <c r="G8" i="4"/>
  <c r="G9" i="4"/>
  <c r="G10" i="4"/>
  <c r="G11" i="4"/>
  <c r="G12" i="4"/>
  <c r="G13" i="4"/>
  <c r="G14" i="4"/>
  <c r="G15" i="4"/>
  <c r="G16" i="4"/>
  <c r="G5" i="4"/>
  <c r="F6" i="4"/>
  <c r="F7" i="4"/>
  <c r="F8" i="4"/>
  <c r="F9" i="4"/>
  <c r="F10" i="4"/>
  <c r="F11" i="4"/>
  <c r="F12" i="4"/>
  <c r="F13" i="4"/>
  <c r="F14" i="4"/>
  <c r="F15" i="4"/>
  <c r="F16" i="4"/>
  <c r="F5" i="4"/>
  <c r="C17" i="4"/>
  <c r="D17" i="4"/>
  <c r="B17" i="4"/>
  <c r="J11" i="2"/>
  <c r="I11" i="2"/>
  <c r="K11" i="2"/>
  <c r="L9" i="1"/>
  <c r="N9" i="1"/>
  <c r="M9" i="1"/>
  <c r="I26" i="4"/>
  <c r="I24" i="4"/>
  <c r="K14" i="3"/>
  <c r="K9" i="3"/>
  <c r="K5" i="3"/>
  <c r="L5" i="3" s="1"/>
  <c r="I16" i="3"/>
  <c r="H16" i="3"/>
  <c r="G8" i="3"/>
  <c r="F8" i="3"/>
  <c r="L14" i="3"/>
  <c r="L9" i="3"/>
  <c r="K8" i="2"/>
  <c r="K9" i="2"/>
  <c r="K10" i="2"/>
  <c r="K12" i="2"/>
  <c r="K13" i="2"/>
  <c r="K14" i="2"/>
  <c r="K15" i="2"/>
  <c r="K16" i="2"/>
  <c r="K17" i="2"/>
  <c r="K18" i="2"/>
  <c r="K7" i="2"/>
  <c r="J8" i="2"/>
  <c r="J9" i="2"/>
  <c r="J10" i="2"/>
  <c r="J12" i="2"/>
  <c r="J13" i="2"/>
  <c r="J14" i="2"/>
  <c r="J15" i="2"/>
  <c r="J16" i="2"/>
  <c r="J17" i="2"/>
  <c r="J18" i="2"/>
  <c r="J7" i="2"/>
  <c r="J19" i="2" s="1"/>
  <c r="H27" i="2" s="1"/>
  <c r="I8" i="2"/>
  <c r="I9" i="2"/>
  <c r="I10" i="2"/>
  <c r="I12" i="2"/>
  <c r="I13" i="2"/>
  <c r="I14" i="2"/>
  <c r="I15" i="2"/>
  <c r="I16" i="2"/>
  <c r="I17" i="2"/>
  <c r="I18" i="2"/>
  <c r="I7" i="2"/>
  <c r="F19" i="2"/>
  <c r="N27" i="2" s="1"/>
  <c r="E19" i="2"/>
  <c r="D19" i="2"/>
  <c r="C19" i="2"/>
  <c r="I17" i="1"/>
  <c r="Q25" i="1" s="1"/>
  <c r="G17" i="1"/>
  <c r="H17" i="1"/>
  <c r="F17" i="1"/>
  <c r="M25" i="1" s="1"/>
  <c r="N6" i="1"/>
  <c r="N7" i="1"/>
  <c r="N8" i="1"/>
  <c r="N10" i="1"/>
  <c r="N11" i="1"/>
  <c r="N12" i="1"/>
  <c r="N13" i="1"/>
  <c r="N14" i="1"/>
  <c r="N15" i="1"/>
  <c r="N16" i="1"/>
  <c r="N5" i="1"/>
  <c r="M6" i="1"/>
  <c r="M7" i="1"/>
  <c r="M8" i="1"/>
  <c r="M10" i="1"/>
  <c r="M11" i="1"/>
  <c r="M12" i="1"/>
  <c r="M13" i="1"/>
  <c r="M14" i="1"/>
  <c r="M15" i="1"/>
  <c r="M16" i="1"/>
  <c r="M5" i="1"/>
  <c r="L6" i="1"/>
  <c r="L7" i="1"/>
  <c r="L8" i="1"/>
  <c r="L10" i="1"/>
  <c r="L11" i="1"/>
  <c r="L12" i="1"/>
  <c r="L13" i="1"/>
  <c r="L14" i="1"/>
  <c r="L15" i="1"/>
  <c r="L16" i="1"/>
  <c r="L5" i="1"/>
  <c r="G67" i="4" l="1"/>
  <c r="M9" i="4"/>
  <c r="J17" i="4"/>
  <c r="H17" i="4"/>
  <c r="J25" i="2"/>
  <c r="I19" i="2"/>
  <c r="H25" i="2" s="1"/>
  <c r="K19" i="2"/>
  <c r="L27" i="2" s="1"/>
  <c r="L28" i="2" s="1"/>
  <c r="L30" i="2" s="1"/>
  <c r="M17" i="1"/>
  <c r="K25" i="1" s="1"/>
  <c r="K26" i="1" s="1"/>
  <c r="K28" i="1" s="1"/>
  <c r="L17" i="1"/>
  <c r="K23" i="1" s="1"/>
  <c r="N17" i="1"/>
  <c r="K25" i="2"/>
  <c r="J27" i="2"/>
  <c r="H28" i="2" s="1"/>
  <c r="H30" i="2" s="1"/>
  <c r="M23" i="1"/>
  <c r="M12" i="4" l="1"/>
  <c r="M8" i="4"/>
  <c r="M14" i="4"/>
  <c r="M6" i="4"/>
  <c r="M5" i="4"/>
  <c r="M13" i="4"/>
  <c r="M10" i="4"/>
  <c r="M7" i="4"/>
  <c r="M11" i="4"/>
  <c r="N23" i="1"/>
  <c r="O25" i="1"/>
  <c r="O26" i="1" s="1"/>
  <c r="O28" i="1" s="1"/>
  <c r="K29" i="1" s="1"/>
  <c r="H32" i="2"/>
  <c r="H33" i="2" s="1"/>
  <c r="K31" i="1" l="1"/>
</calcChain>
</file>

<file path=xl/sharedStrings.xml><?xml version="1.0" encoding="utf-8"?>
<sst xmlns="http://schemas.openxmlformats.org/spreadsheetml/2006/main" count="147" uniqueCount="82">
  <si>
    <t>Bulan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</si>
  <si>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</si>
  <si>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</si>
  <si>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</si>
  <si>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</si>
  <si>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</si>
  <si>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</si>
  <si>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</si>
  <si>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</si>
  <si>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</si>
  <si>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</si>
  <si>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</si>
  <si>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Curah Hujan (X1)</t>
  </si>
  <si>
    <t>Produksi (X3)</t>
  </si>
  <si>
    <t>Harga (X2)</t>
  </si>
  <si>
    <t>Harga (Y)</t>
  </si>
  <si>
    <t>-</t>
  </si>
  <si>
    <t>Sigma X1</t>
  </si>
  <si>
    <t>Sigma X2</t>
  </si>
  <si>
    <t>Sigma X3</t>
  </si>
  <si>
    <t>Sigma Y</t>
  </si>
  <si>
    <t>Sigma x * y</t>
  </si>
  <si>
    <t>r =</t>
  </si>
  <si>
    <t>x</t>
  </si>
  <si>
    <t>XY</t>
  </si>
  <si>
    <t>X2</t>
  </si>
  <si>
    <t>Y2</t>
  </si>
  <si>
    <t>Sigma XY</t>
  </si>
  <si>
    <t>Sigma Y2</t>
  </si>
  <si>
    <t>Y</t>
  </si>
  <si>
    <t>X</t>
  </si>
  <si>
    <t>No</t>
  </si>
  <si>
    <t>X1.Y</t>
  </si>
  <si>
    <t>X2.Y</t>
  </si>
  <si>
    <t>X1.X2</t>
  </si>
  <si>
    <t>X1^2</t>
  </si>
  <si>
    <t>X2^2</t>
  </si>
  <si>
    <t>Y Predicted</t>
  </si>
  <si>
    <t>Residual</t>
  </si>
  <si>
    <t>JUMLAH</t>
  </si>
  <si>
    <t>n</t>
  </si>
  <si>
    <t>Matriks A</t>
  </si>
  <si>
    <t>Matriks H</t>
  </si>
  <si>
    <t>Det A =</t>
  </si>
  <si>
    <t>Det A1 =</t>
  </si>
  <si>
    <t>Det A2 =</t>
  </si>
  <si>
    <t>Matriks A1</t>
  </si>
  <si>
    <t>SUMMARY OUTPUT</t>
  </si>
  <si>
    <t>Regression Statistics</t>
  </si>
  <si>
    <t>Multiple R</t>
  </si>
  <si>
    <t>R Square</t>
  </si>
  <si>
    <t>Matriks A2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</si>
  <si>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</si>
  <si>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</si>
  <si>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</si>
  <si>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</si>
  <si>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</si>
  <si>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</si>
  <si>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</si>
  <si>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</si>
  <si>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</si>
  <si>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</si>
  <si>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</si>
  <si>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</si>
  <si>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</si>
  <si>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</si>
  <si>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</si>
  <si>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</si>
  <si>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</si>
  <si>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</si>
  <si>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b0 =</t>
  </si>
  <si>
    <t>Intercept</t>
  </si>
  <si>
    <t>b1 =</t>
  </si>
  <si>
    <t>X Variable 1</t>
  </si>
  <si>
    <t>X Variable 2</t>
  </si>
  <si>
    <t>Mei</t>
  </si>
  <si>
    <t>X2 (Produksi)</t>
  </si>
  <si>
    <t>X1 (Curah hujan)</t>
  </si>
  <si>
    <t>Y (Harga)</t>
  </si>
  <si>
    <t>Matriks A3</t>
  </si>
  <si>
    <t>Det A3 =</t>
  </si>
  <si>
    <t>b2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</si>
</sst>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name val="Calibri (Body)"/>
    </font>
    <font>
      <b/>
      <sz val="1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name val="Menlo"/>
      <family val="2"/>
    </font>
    <font>
      <sz val="8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0" tint="-0.249977111117893"/>
      <name val="Calibri"/>
      <family val="2"/>
      <scheme val="minor"/>
    </font>
    <font>
      <sz val="12"/>
      <color theme="0" tint="-0.249977111117893"/>
      <name val="Calibri (Body)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2" borderId="0" xfId="0" applyFont="1" applyFill="1"/>
    <xf numFmtId="164" fontId="11" fillId="2" borderId="0" xfId="0" applyNumberFormat="1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0" xfId="0" applyFont="1"/>
    <xf numFmtId="164" fontId="11" fillId="0" borderId="0" xfId="0" applyNumberFormat="1" applyFont="1"/>
    <xf numFmtId="0" fontId="6" fillId="2" borderId="0" xfId="0" applyFon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3" xfId="0" applyFill="1" applyBorder="1" applyAlignment="1"/>
    <xf numFmtId="0" fontId="14" fillId="0" borderId="0" xfId="0" applyFont="1" applyBorder="1"/>
    <xf numFmtId="0" fontId="16" fillId="0" borderId="0" xfId="0" applyFont="1" applyBorder="1" applyAlignment="1">
      <alignment horizontal="centerContinuous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426720</xdr:colOff>
      <xdr:row>13</xdr:row>
      <xdr:rowOff>91440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7332E9-04D8-7C30-C53D-6991500A0698}"/>
            </a:ext>
          </a:extLst>
        </xdr:cNvPr>
        <xdr:cNvSpPr txBox="1"/>
      </xdr:nvSpPr>
      <xdr:spPr>
        <a:xfrm>
          <a:off x="8056880" y="2499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0</xdr:colOff>
      <xdr:row>9</xdr:row>
      <xdr:rowOff>0</xdr:rowOff>
    </xdr:from>
    <xdr:to>
      <xdr:col>17</xdr:col>
      <xdr:colOff>812800</xdr:colOff>
      <xdr:row>11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E3AF9-1B37-A9C8-3285-22B4513D5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587500"/>
          <a:ext cx="25146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0</xdr:rowOff>
    </xdr:from>
    <xdr:to>
      <xdr:col>15</xdr:col>
      <xdr:colOff>762000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F471EB-8D81-4F45-B081-FE0C2803F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1981200"/>
          <a:ext cx="250952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W31"/>
  <sheetViews>
    <sheetView topLeftCell="D2" zoomScale="125" workbookViewId="0">
      <selection activeCell="M9" sqref="M9"/>
    </sheetView>
  </sheetViews>
  <sheetFormatPr baseColWidth="10" defaultColWidth="8.83203125" defaultRowHeight="15" x14ac:dyDescent="0.2"/>
  <cols>
    <col min="5" max="5" width="10.1640625" bestFit="1" customWidth="1"/>
    <col min="6" max="6" width="15" bestFit="1" customWidth="1"/>
    <col min="7" max="7" width="9.83203125" bestFit="1" customWidth="1"/>
    <col min="8" max="8" width="12" bestFit="1" customWidth="1"/>
    <col min="9" max="9" width="9" bestFit="1" customWidth="1"/>
    <col min="11" max="11" width="12.1640625" bestFit="1" customWidth="1"/>
    <col min="12" max="12" width="9.1640625" bestFit="1" customWidth="1"/>
    <col min="13" max="14" width="10.1640625" bestFit="1" customWidth="1"/>
    <col min="15" max="15" width="12.1640625" bestFit="1" customWidth="1"/>
    <col min="16" max="16" width="10.1640625" bestFit="1" customWidth="1"/>
    <col min="17" max="17" width="12.1640625" bestFit="1" customWidth="1"/>
    <col min="18" max="18" width="11.83203125" bestFit="1" customWidth="1"/>
    <col min="20" max="20" width="12.1640625" bestFit="1" customWidth="1"/>
    <col min="23" max="23" width="11.1640625" bestFit="1" customWidth="1"/>
  </cols>
  <sheetData>
    <row r="4" spans="5:23" ht="16" x14ac:dyDescent="0.2">
      <c r="E4" s="2" t="s">
        <v>0</v>
      </c>
      <c r="F4" s="2" t="s">
        <v>12</v>
      </c>
      <c r="G4" s="2" t="s">
        <v>14</v>
      </c>
      <c r="H4" s="2" t="s">
        <v>13</v>
      </c>
      <c r="I4" s="2" t="s">
        <v>15</v>
      </c>
      <c r="L4" s="3" t="s">
        <v>24</v>
      </c>
      <c r="M4" s="3" t="s">
        <v>30</v>
      </c>
      <c r="N4" s="3" t="s">
        <v>29</v>
      </c>
      <c r="Q4" s="8"/>
    </row>
    <row r="5" spans="5:23" ht="16" x14ac:dyDescent="0.2">
      <c r="E5" s="1" t="s">
        <v>1</v>
      </c>
      <c r="F5" s="1">
        <v>304.3</v>
      </c>
      <c r="G5" s="15">
        <v>17150</v>
      </c>
      <c r="H5" s="16">
        <v>3459</v>
      </c>
      <c r="I5">
        <v>16962</v>
      </c>
      <c r="L5">
        <f>F5*I5</f>
        <v>5161536.6000000006</v>
      </c>
      <c r="M5">
        <f>F5*F5</f>
        <v>92598.49</v>
      </c>
      <c r="N5">
        <f>I5*I5</f>
        <v>287709444</v>
      </c>
    </row>
    <row r="6" spans="5:23" ht="16" x14ac:dyDescent="0.2">
      <c r="E6" s="1" t="s">
        <v>2</v>
      </c>
      <c r="F6" s="1">
        <v>486.8</v>
      </c>
      <c r="G6" s="15">
        <v>16050</v>
      </c>
      <c r="H6" s="16">
        <v>4607</v>
      </c>
      <c r="I6">
        <v>13412</v>
      </c>
      <c r="L6">
        <f t="shared" ref="L6:L16" si="0">F6*I6</f>
        <v>6528961.6000000006</v>
      </c>
      <c r="M6">
        <f t="shared" ref="M6:M16" si="1">F6*F6</f>
        <v>236974.24000000002</v>
      </c>
      <c r="N6">
        <f t="shared" ref="N6:N16" si="2">I6*I6</f>
        <v>179881744</v>
      </c>
    </row>
    <row r="7" spans="5:23" ht="16" x14ac:dyDescent="0.2">
      <c r="E7" s="1" t="s">
        <v>3</v>
      </c>
      <c r="F7" s="1">
        <v>233</v>
      </c>
      <c r="G7" s="15">
        <v>18350</v>
      </c>
      <c r="H7" s="16">
        <v>2848</v>
      </c>
      <c r="I7">
        <v>20687</v>
      </c>
      <c r="L7">
        <f t="shared" si="0"/>
        <v>4820071</v>
      </c>
      <c r="M7">
        <f t="shared" si="1"/>
        <v>54289</v>
      </c>
      <c r="N7">
        <f t="shared" si="2"/>
        <v>427951969</v>
      </c>
    </row>
    <row r="8" spans="5:23" ht="16" x14ac:dyDescent="0.2">
      <c r="E8" s="1" t="s">
        <v>4</v>
      </c>
      <c r="F8" s="1">
        <v>505.1</v>
      </c>
      <c r="G8" s="15">
        <v>22150</v>
      </c>
      <c r="H8" s="16">
        <v>2998</v>
      </c>
      <c r="I8">
        <v>20687</v>
      </c>
      <c r="L8">
        <f t="shared" si="0"/>
        <v>10449003.700000001</v>
      </c>
      <c r="M8">
        <f t="shared" si="1"/>
        <v>255126.01</v>
      </c>
      <c r="N8">
        <f t="shared" si="2"/>
        <v>427951969</v>
      </c>
    </row>
    <row r="9" spans="5:23" ht="16" x14ac:dyDescent="0.2">
      <c r="E9" s="1" t="s">
        <v>75</v>
      </c>
      <c r="F9" s="1">
        <v>510.3</v>
      </c>
      <c r="G9" s="15">
        <v>20687</v>
      </c>
      <c r="H9" s="16">
        <v>4328</v>
      </c>
      <c r="I9">
        <v>20687</v>
      </c>
      <c r="L9">
        <f t="shared" si="0"/>
        <v>10556576.1</v>
      </c>
      <c r="M9">
        <f t="shared" si="1"/>
        <v>260406.09000000003</v>
      </c>
      <c r="N9">
        <f t="shared" si="2"/>
        <v>427951969</v>
      </c>
    </row>
    <row r="10" spans="5:23" ht="16" x14ac:dyDescent="0.2">
      <c r="E10" s="1" t="s">
        <v>5</v>
      </c>
      <c r="F10" s="1">
        <v>311.10000000000002</v>
      </c>
      <c r="G10" s="15">
        <v>21350</v>
      </c>
      <c r="H10" s="16">
        <v>5078</v>
      </c>
      <c r="I10">
        <v>16962</v>
      </c>
      <c r="L10">
        <f t="shared" si="0"/>
        <v>5276878.2</v>
      </c>
      <c r="M10">
        <f t="shared" si="1"/>
        <v>96783.210000000021</v>
      </c>
      <c r="N10">
        <f t="shared" si="2"/>
        <v>287709444</v>
      </c>
      <c r="T10">
        <v>61647387.799999997</v>
      </c>
      <c r="U10" t="s">
        <v>16</v>
      </c>
      <c r="V10" s="9">
        <v>3701.9</v>
      </c>
      <c r="W10">
        <v>183557</v>
      </c>
    </row>
    <row r="11" spans="5:23" ht="16" x14ac:dyDescent="0.2">
      <c r="E11" s="1" t="s">
        <v>6</v>
      </c>
      <c r="F11" s="1">
        <v>115.6</v>
      </c>
      <c r="G11" s="15">
        <v>16200</v>
      </c>
      <c r="H11" s="16">
        <v>2768</v>
      </c>
      <c r="I11">
        <v>16962</v>
      </c>
      <c r="L11">
        <f t="shared" si="0"/>
        <v>1960807.2</v>
      </c>
      <c r="M11">
        <f t="shared" si="1"/>
        <v>13363.359999999999</v>
      </c>
      <c r="N11">
        <f t="shared" si="2"/>
        <v>287709444</v>
      </c>
    </row>
    <row r="12" spans="5:23" ht="16" x14ac:dyDescent="0.2">
      <c r="E12" s="1" t="s">
        <v>7</v>
      </c>
      <c r="F12" s="1">
        <v>399.5</v>
      </c>
      <c r="G12" s="15">
        <v>18150</v>
      </c>
      <c r="H12" s="16">
        <v>2587</v>
      </c>
      <c r="I12">
        <v>20687</v>
      </c>
      <c r="L12">
        <f t="shared" si="0"/>
        <v>8264456.5</v>
      </c>
      <c r="M12">
        <f t="shared" si="1"/>
        <v>159600.25</v>
      </c>
      <c r="N12">
        <f t="shared" si="2"/>
        <v>427951969</v>
      </c>
    </row>
    <row r="13" spans="5:23" ht="16" x14ac:dyDescent="0.2">
      <c r="E13" s="1" t="s">
        <v>8</v>
      </c>
      <c r="F13" s="1">
        <v>317.3</v>
      </c>
      <c r="G13" s="15">
        <v>20900</v>
      </c>
      <c r="H13" s="16">
        <v>2313</v>
      </c>
      <c r="I13">
        <v>16962</v>
      </c>
      <c r="L13">
        <f t="shared" si="0"/>
        <v>5382042.6000000006</v>
      </c>
      <c r="M13">
        <f t="shared" si="1"/>
        <v>100679.29000000001</v>
      </c>
      <c r="N13">
        <f t="shared" si="2"/>
        <v>287709444</v>
      </c>
    </row>
    <row r="14" spans="5:23" ht="16" x14ac:dyDescent="0.2">
      <c r="E14" s="1" t="s">
        <v>9</v>
      </c>
      <c r="F14" s="1">
        <v>566.5</v>
      </c>
      <c r="G14" s="15">
        <v>16350</v>
      </c>
      <c r="H14" s="16">
        <v>1775</v>
      </c>
      <c r="I14">
        <v>13412</v>
      </c>
      <c r="L14">
        <f t="shared" si="0"/>
        <v>7597898</v>
      </c>
      <c r="M14">
        <f t="shared" si="1"/>
        <v>320922.25</v>
      </c>
      <c r="N14">
        <f t="shared" si="2"/>
        <v>179881744</v>
      </c>
    </row>
    <row r="15" spans="5:23" ht="16" x14ac:dyDescent="0.2">
      <c r="E15" s="1" t="s">
        <v>10</v>
      </c>
      <c r="F15" s="1">
        <v>183.6</v>
      </c>
      <c r="G15" s="15">
        <v>13750</v>
      </c>
      <c r="H15" s="16">
        <v>1586</v>
      </c>
      <c r="I15">
        <v>13412</v>
      </c>
      <c r="L15">
        <f t="shared" si="0"/>
        <v>2462443.1999999997</v>
      </c>
      <c r="M15">
        <f t="shared" si="1"/>
        <v>33708.959999999999</v>
      </c>
      <c r="N15">
        <f t="shared" si="2"/>
        <v>179881744</v>
      </c>
    </row>
    <row r="16" spans="5:23" ht="16" x14ac:dyDescent="0.2">
      <c r="E16" s="1" t="s">
        <v>11</v>
      </c>
      <c r="F16" s="1">
        <v>279.10000000000002</v>
      </c>
      <c r="G16" s="15">
        <v>15100</v>
      </c>
      <c r="H16" s="16">
        <v>894</v>
      </c>
      <c r="I16">
        <v>13412</v>
      </c>
      <c r="L16">
        <f t="shared" si="0"/>
        <v>3743289.2</v>
      </c>
      <c r="M16">
        <f t="shared" si="1"/>
        <v>77896.810000000012</v>
      </c>
      <c r="N16">
        <f t="shared" si="2"/>
        <v>179881744</v>
      </c>
      <c r="R16">
        <v>0.49260826710181799</v>
      </c>
    </row>
    <row r="17" spans="6:17" x14ac:dyDescent="0.2">
      <c r="F17">
        <f>SUM(F5:F16)</f>
        <v>4212.2</v>
      </c>
      <c r="G17" s="15">
        <f>SUM(G5:G16)</f>
        <v>216187</v>
      </c>
      <c r="H17" s="15">
        <f>SUM(H5:H16)</f>
        <v>35241</v>
      </c>
      <c r="I17">
        <f>SUM(I5:I16)</f>
        <v>204244</v>
      </c>
      <c r="L17">
        <f>SUM(L5:L16)</f>
        <v>72203963.900000006</v>
      </c>
      <c r="M17">
        <f t="shared" ref="M17:N17" si="3">SUM(M5:M16)</f>
        <v>1702347.96</v>
      </c>
      <c r="N17">
        <f t="shared" si="3"/>
        <v>3582172628</v>
      </c>
    </row>
    <row r="18" spans="6:17" x14ac:dyDescent="0.2">
      <c r="F18" t="s">
        <v>17</v>
      </c>
      <c r="G18" t="s">
        <v>18</v>
      </c>
      <c r="H18" t="s">
        <v>19</v>
      </c>
      <c r="I18" t="s">
        <v>20</v>
      </c>
      <c r="L18" t="s">
        <v>27</v>
      </c>
      <c r="M18" t="s">
        <v>18</v>
      </c>
      <c r="N18" t="s">
        <v>28</v>
      </c>
    </row>
    <row r="22" spans="6:17" x14ac:dyDescent="0.2">
      <c r="M22" t="s">
        <v>21</v>
      </c>
    </row>
    <row r="23" spans="6:17" x14ac:dyDescent="0.2">
      <c r="K23">
        <f>12*L17</f>
        <v>866447566.80000007</v>
      </c>
      <c r="L23" t="s">
        <v>16</v>
      </c>
      <c r="M23">
        <f>F17*I17</f>
        <v>860316576.79999995</v>
      </c>
      <c r="N23">
        <f>K23-M23</f>
        <v>6130990.0000001192</v>
      </c>
    </row>
    <row r="24" spans="6:17" x14ac:dyDescent="0.2">
      <c r="J24" t="s">
        <v>22</v>
      </c>
    </row>
    <row r="25" spans="6:17" x14ac:dyDescent="0.2">
      <c r="K25">
        <f>12* M17</f>
        <v>20428175.52</v>
      </c>
      <c r="L25" t="s">
        <v>16</v>
      </c>
      <c r="M25">
        <f>F17*F17</f>
        <v>17742628.84</v>
      </c>
      <c r="N25" t="s">
        <v>23</v>
      </c>
      <c r="O25">
        <f>12*N17</f>
        <v>42986071536</v>
      </c>
      <c r="P25" t="s">
        <v>16</v>
      </c>
      <c r="Q25">
        <f>I17*I17</f>
        <v>41715611536</v>
      </c>
    </row>
    <row r="26" spans="6:17" x14ac:dyDescent="0.2">
      <c r="K26">
        <f>K25-M25</f>
        <v>2685546.6799999997</v>
      </c>
      <c r="O26">
        <f>O25-Q25</f>
        <v>1270460000</v>
      </c>
    </row>
    <row r="28" spans="6:17" x14ac:dyDescent="0.2">
      <c r="K28">
        <f>SQRT(K26)</f>
        <v>1638.7637657697951</v>
      </c>
      <c r="O28">
        <f>SQRT(O26)</f>
        <v>35643.512733735995</v>
      </c>
    </row>
    <row r="29" spans="6:17" x14ac:dyDescent="0.2">
      <c r="K29">
        <f>K28*O28</f>
        <v>58411297.152800843</v>
      </c>
    </row>
    <row r="31" spans="6:17" x14ac:dyDescent="0.2">
      <c r="J31" t="s">
        <v>22</v>
      </c>
      <c r="K31">
        <f>N23/K29</f>
        <v>0.10496240109103853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DC9-B936-0B43-96D2-CE0F13D47CC6}">
  <dimension ref="B6:R33"/>
  <sheetViews>
    <sheetView topLeftCell="A5" zoomScale="125" workbookViewId="0">
      <selection activeCell="J22" sqref="J22"/>
    </sheetView>
  </sheetViews>
  <sheetFormatPr baseColWidth="10" defaultRowHeight="15" x14ac:dyDescent="0.2"/>
  <cols>
    <col min="4" max="4" width="9.83203125" bestFit="1" customWidth="1"/>
    <col min="8" max="8" width="11.1640625" bestFit="1" customWidth="1"/>
    <col min="10" max="10" width="11.1640625" bestFit="1" customWidth="1"/>
    <col min="12" max="12" width="12.1640625" bestFit="1" customWidth="1"/>
    <col min="13" max="13" width="11.1640625" bestFit="1" customWidth="1"/>
    <col min="14" max="14" width="12.1640625" bestFit="1" customWidth="1"/>
    <col min="15" max="16" width="11.1640625" bestFit="1" customWidth="1"/>
  </cols>
  <sheetData>
    <row r="6" spans="2:18" ht="16" x14ac:dyDescent="0.2">
      <c r="B6" s="2" t="s">
        <v>0</v>
      </c>
      <c r="C6" s="2" t="s">
        <v>12</v>
      </c>
      <c r="D6" s="2" t="s">
        <v>14</v>
      </c>
      <c r="E6" s="2" t="s">
        <v>13</v>
      </c>
      <c r="F6" s="2" t="s">
        <v>15</v>
      </c>
      <c r="I6" s="3" t="s">
        <v>24</v>
      </c>
      <c r="J6" s="3" t="s">
        <v>25</v>
      </c>
      <c r="K6" s="3" t="s">
        <v>26</v>
      </c>
    </row>
    <row r="7" spans="2:18" ht="16" x14ac:dyDescent="0.2">
      <c r="B7" s="1" t="s">
        <v>1</v>
      </c>
      <c r="C7" s="1">
        <v>304.3</v>
      </c>
      <c r="D7">
        <v>17150</v>
      </c>
      <c r="E7" s="1">
        <v>3459</v>
      </c>
      <c r="F7">
        <v>16962</v>
      </c>
      <c r="I7">
        <f>E7*F7</f>
        <v>58671558</v>
      </c>
      <c r="J7">
        <f>E7*E7</f>
        <v>11964681</v>
      </c>
      <c r="K7">
        <f>F7*F7</f>
        <v>287709444</v>
      </c>
    </row>
    <row r="8" spans="2:18" ht="16" x14ac:dyDescent="0.2">
      <c r="B8" s="1" t="s">
        <v>2</v>
      </c>
      <c r="C8" s="1">
        <v>486.8</v>
      </c>
      <c r="D8">
        <v>16050</v>
      </c>
      <c r="E8" s="1">
        <v>4607</v>
      </c>
      <c r="F8">
        <v>13412</v>
      </c>
      <c r="I8">
        <f t="shared" ref="I8:I18" si="0">E8*F8</f>
        <v>61789084</v>
      </c>
      <c r="J8">
        <f t="shared" ref="J8:J18" si="1">E8*E8</f>
        <v>21224449</v>
      </c>
      <c r="K8">
        <f t="shared" ref="K8:K18" si="2">F8*F8</f>
        <v>179881744</v>
      </c>
    </row>
    <row r="9" spans="2:18" ht="16" x14ac:dyDescent="0.2">
      <c r="B9" s="1" t="s">
        <v>3</v>
      </c>
      <c r="C9" s="1">
        <v>233</v>
      </c>
      <c r="D9">
        <v>18350</v>
      </c>
      <c r="E9" s="1">
        <v>2848</v>
      </c>
      <c r="F9">
        <v>20687</v>
      </c>
      <c r="I9">
        <f t="shared" si="0"/>
        <v>58916576</v>
      </c>
      <c r="J9">
        <f t="shared" si="1"/>
        <v>8111104</v>
      </c>
      <c r="K9">
        <f t="shared" si="2"/>
        <v>427951969</v>
      </c>
    </row>
    <row r="10" spans="2:18" ht="16" x14ac:dyDescent="0.2">
      <c r="B10" s="1" t="s">
        <v>4</v>
      </c>
      <c r="C10" s="1">
        <v>505.1</v>
      </c>
      <c r="D10">
        <v>22150</v>
      </c>
      <c r="E10" s="1">
        <v>2998</v>
      </c>
      <c r="F10">
        <v>20687</v>
      </c>
      <c r="I10">
        <f t="shared" si="0"/>
        <v>62019626</v>
      </c>
      <c r="J10">
        <f t="shared" si="1"/>
        <v>8988004</v>
      </c>
      <c r="K10">
        <f t="shared" si="2"/>
        <v>427951969</v>
      </c>
    </row>
    <row r="11" spans="2:18" ht="16" x14ac:dyDescent="0.2">
      <c r="B11" s="1" t="s">
        <v>75</v>
      </c>
      <c r="C11" s="1">
        <v>510.3</v>
      </c>
      <c r="D11">
        <v>21350</v>
      </c>
      <c r="E11" s="17">
        <v>4328</v>
      </c>
      <c r="F11">
        <v>20687</v>
      </c>
      <c r="I11">
        <f t="shared" si="0"/>
        <v>89533336</v>
      </c>
      <c r="J11">
        <f t="shared" si="1"/>
        <v>18731584</v>
      </c>
      <c r="K11">
        <f t="shared" si="2"/>
        <v>427951969</v>
      </c>
    </row>
    <row r="12" spans="2:18" ht="16" x14ac:dyDescent="0.2">
      <c r="B12" s="1" t="s">
        <v>5</v>
      </c>
      <c r="C12" s="1">
        <v>311.10000000000002</v>
      </c>
      <c r="D12">
        <v>21350</v>
      </c>
      <c r="E12" s="1">
        <v>5078</v>
      </c>
      <c r="F12">
        <v>16962</v>
      </c>
      <c r="I12">
        <f t="shared" si="0"/>
        <v>86133036</v>
      </c>
      <c r="J12">
        <f t="shared" si="1"/>
        <v>25786084</v>
      </c>
      <c r="K12">
        <f t="shared" si="2"/>
        <v>287709444</v>
      </c>
      <c r="R12">
        <v>524299131</v>
      </c>
    </row>
    <row r="13" spans="2:18" ht="16" x14ac:dyDescent="0.2">
      <c r="B13" s="1" t="s">
        <v>6</v>
      </c>
      <c r="C13" s="1">
        <v>115.6</v>
      </c>
      <c r="D13">
        <v>16200</v>
      </c>
      <c r="E13" s="1">
        <v>2768</v>
      </c>
      <c r="F13">
        <v>16962</v>
      </c>
      <c r="I13">
        <f t="shared" si="0"/>
        <v>46950816</v>
      </c>
      <c r="J13">
        <f t="shared" si="1"/>
        <v>7661824</v>
      </c>
      <c r="K13">
        <f t="shared" si="2"/>
        <v>287709444</v>
      </c>
    </row>
    <row r="14" spans="2:18" ht="16" x14ac:dyDescent="0.2">
      <c r="B14" s="1" t="s">
        <v>7</v>
      </c>
      <c r="C14" s="1">
        <v>399.5</v>
      </c>
      <c r="D14">
        <v>18150</v>
      </c>
      <c r="E14" s="1">
        <v>2587</v>
      </c>
      <c r="F14">
        <v>20687</v>
      </c>
      <c r="I14">
        <f t="shared" si="0"/>
        <v>53517269</v>
      </c>
      <c r="J14">
        <f t="shared" si="1"/>
        <v>6692569</v>
      </c>
      <c r="K14">
        <f t="shared" si="2"/>
        <v>427951969</v>
      </c>
    </row>
    <row r="15" spans="2:18" ht="16" x14ac:dyDescent="0.2">
      <c r="B15" s="1" t="s">
        <v>8</v>
      </c>
      <c r="C15" s="1">
        <v>317.3</v>
      </c>
      <c r="D15">
        <v>20900</v>
      </c>
      <c r="E15" s="1">
        <v>2313</v>
      </c>
      <c r="F15">
        <v>16962</v>
      </c>
      <c r="I15">
        <f t="shared" si="0"/>
        <v>39233106</v>
      </c>
      <c r="J15">
        <f t="shared" si="1"/>
        <v>5349969</v>
      </c>
      <c r="K15">
        <f t="shared" si="2"/>
        <v>287709444</v>
      </c>
    </row>
    <row r="16" spans="2:18" ht="16" x14ac:dyDescent="0.2">
      <c r="B16" s="1" t="s">
        <v>9</v>
      </c>
      <c r="C16" s="1">
        <v>566.5</v>
      </c>
      <c r="D16">
        <v>16350</v>
      </c>
      <c r="E16" s="1">
        <v>1775</v>
      </c>
      <c r="F16">
        <v>13412</v>
      </c>
      <c r="I16">
        <f t="shared" si="0"/>
        <v>23806300</v>
      </c>
      <c r="J16">
        <f t="shared" si="1"/>
        <v>3150625</v>
      </c>
      <c r="K16">
        <f t="shared" si="2"/>
        <v>179881744</v>
      </c>
    </row>
    <row r="17" spans="2:16" ht="16" x14ac:dyDescent="0.2">
      <c r="B17" s="1" t="s">
        <v>10</v>
      </c>
      <c r="C17" s="1">
        <v>183.6</v>
      </c>
      <c r="D17">
        <v>13750</v>
      </c>
      <c r="E17" s="1">
        <v>1586</v>
      </c>
      <c r="F17">
        <v>13412</v>
      </c>
      <c r="I17">
        <f t="shared" si="0"/>
        <v>21271432</v>
      </c>
      <c r="J17">
        <f t="shared" si="1"/>
        <v>2515396</v>
      </c>
      <c r="K17">
        <f t="shared" si="2"/>
        <v>179881744</v>
      </c>
      <c r="P17">
        <v>183557</v>
      </c>
    </row>
    <row r="18" spans="2:16" ht="16" x14ac:dyDescent="0.2">
      <c r="B18" s="1" t="s">
        <v>11</v>
      </c>
      <c r="C18" s="1">
        <v>279.10000000000002</v>
      </c>
      <c r="D18">
        <v>15100</v>
      </c>
      <c r="E18" s="1">
        <v>894</v>
      </c>
      <c r="F18">
        <v>13412</v>
      </c>
      <c r="I18">
        <f t="shared" si="0"/>
        <v>11990328</v>
      </c>
      <c r="J18">
        <f t="shared" si="1"/>
        <v>799236</v>
      </c>
      <c r="K18">
        <f t="shared" si="2"/>
        <v>179881744</v>
      </c>
    </row>
    <row r="19" spans="2:16" x14ac:dyDescent="0.2">
      <c r="C19">
        <f>SUM(C7:C18)</f>
        <v>4212.2</v>
      </c>
      <c r="D19">
        <f t="shared" ref="D19:E19" si="3">SUM(D7:D18)</f>
        <v>216850</v>
      </c>
      <c r="E19">
        <f t="shared" si="3"/>
        <v>35241</v>
      </c>
      <c r="F19">
        <f>SUM(F7:F18)</f>
        <v>204244</v>
      </c>
      <c r="I19">
        <f t="shared" ref="I19:K19" si="4">SUM(I7:I18)</f>
        <v>613832467</v>
      </c>
      <c r="J19">
        <f>SUM(J7:J18)</f>
        <v>120975525</v>
      </c>
      <c r="K19">
        <f t="shared" si="4"/>
        <v>3582172628</v>
      </c>
      <c r="P19">
        <v>3154220659</v>
      </c>
    </row>
    <row r="20" spans="2:16" x14ac:dyDescent="0.2">
      <c r="C20" t="s">
        <v>17</v>
      </c>
      <c r="D20" t="s">
        <v>18</v>
      </c>
      <c r="E20" t="s">
        <v>19</v>
      </c>
      <c r="F20" t="s">
        <v>20</v>
      </c>
      <c r="I20" t="s">
        <v>27</v>
      </c>
      <c r="J20" t="s">
        <v>18</v>
      </c>
      <c r="K20" t="s">
        <v>28</v>
      </c>
    </row>
    <row r="23" spans="2:16" x14ac:dyDescent="0.2">
      <c r="P23">
        <v>617292031</v>
      </c>
    </row>
    <row r="25" spans="2:16" x14ac:dyDescent="0.2">
      <c r="H25">
        <f>12*I19</f>
        <v>7365989604</v>
      </c>
      <c r="I25" t="s">
        <v>16</v>
      </c>
      <c r="J25">
        <f>E19*F19</f>
        <v>7197762804</v>
      </c>
      <c r="K25">
        <f>H25-J25</f>
        <v>168226800</v>
      </c>
    </row>
    <row r="26" spans="2:16" x14ac:dyDescent="0.2">
      <c r="G26" t="s">
        <v>22</v>
      </c>
    </row>
    <row r="27" spans="2:16" x14ac:dyDescent="0.2">
      <c r="H27">
        <f>12*J19</f>
        <v>1451706300</v>
      </c>
      <c r="I27" t="s">
        <v>16</v>
      </c>
      <c r="J27">
        <f>E19*E19</f>
        <v>1241928081</v>
      </c>
      <c r="K27" t="s">
        <v>23</v>
      </c>
      <c r="L27">
        <f>12*K19</f>
        <v>42986071536</v>
      </c>
      <c r="M27" t="s">
        <v>16</v>
      </c>
      <c r="N27">
        <f>F19*F19</f>
        <v>41715611536</v>
      </c>
    </row>
    <row r="28" spans="2:16" x14ac:dyDescent="0.2">
      <c r="H28">
        <f>H27-J27</f>
        <v>209778219</v>
      </c>
      <c r="L28">
        <f>L27-N27</f>
        <v>1270460000</v>
      </c>
      <c r="O28">
        <v>1062064122.04027</v>
      </c>
    </row>
    <row r="30" spans="2:16" x14ac:dyDescent="0.2">
      <c r="H30">
        <f>SQRT(H28)</f>
        <v>14483.722553266478</v>
      </c>
      <c r="L30">
        <f>SQRT(L28)</f>
        <v>35643.512733735995</v>
      </c>
    </row>
    <row r="32" spans="2:16" x14ac:dyDescent="0.2">
      <c r="H32">
        <f>H30*L30</f>
        <v>516250749.25925291</v>
      </c>
    </row>
    <row r="33" spans="7:8" x14ac:dyDescent="0.2">
      <c r="G33" t="s">
        <v>22</v>
      </c>
      <c r="H33">
        <f>K25/H32</f>
        <v>0.32586257790692169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9612-80C9-1349-9238-8E6EF10329CB}">
  <dimension ref="A1:I19"/>
  <sheetViews>
    <sheetView workbookViewId="0">
      <selection activeCell="I19" sqref="A1:I19"/>
    </sheetView>
  </sheetViews>
  <sheetFormatPr baseColWidth="10" defaultRowHeight="15" x14ac:dyDescent="0.2"/>
  <sheetData>
    <row r="1" spans="1:9" x14ac:dyDescent="0.2">
      <c r="A1" t="s">
        <v>47</v>
      </c>
    </row>
    <row r="2" spans="1:9" ht="16" thickBot="1" x14ac:dyDescent="0.25"/>
    <row r="3" spans="1:9" x14ac:dyDescent="0.2">
      <c r="A3" s="24" t="s">
        <v>48</v>
      </c>
      <c r="B3" s="24"/>
    </row>
    <row r="4" spans="1:9" x14ac:dyDescent="0.2">
      <c r="A4" s="21" t="s">
        <v>49</v>
      </c>
      <c r="B4" s="21">
        <v>0.32642573703094807</v>
      </c>
    </row>
    <row r="5" spans="1:9" x14ac:dyDescent="0.2">
      <c r="A5" s="21" t="s">
        <v>50</v>
      </c>
      <c r="B5" s="21">
        <v>0.10655376179619766</v>
      </c>
    </row>
    <row r="6" spans="1:9" x14ac:dyDescent="0.2">
      <c r="A6" s="21" t="s">
        <v>52</v>
      </c>
      <c r="B6" s="21">
        <v>-9.1989846693536201E-2</v>
      </c>
    </row>
    <row r="7" spans="1:9" x14ac:dyDescent="0.2">
      <c r="A7" s="21" t="s">
        <v>53</v>
      </c>
      <c r="B7" s="21">
        <v>3241.9240226154493</v>
      </c>
    </row>
    <row r="8" spans="1:9" ht="16" thickBot="1" x14ac:dyDescent="0.25">
      <c r="A8" s="22" t="s">
        <v>54</v>
      </c>
      <c r="B8" s="22">
        <v>12</v>
      </c>
    </row>
    <row r="10" spans="1:9" ht="16" thickBot="1" x14ac:dyDescent="0.25">
      <c r="A10" t="s">
        <v>55</v>
      </c>
    </row>
    <row r="11" spans="1:9" x14ac:dyDescent="0.2">
      <c r="A11" s="23"/>
      <c r="B11" s="23" t="s">
        <v>56</v>
      </c>
      <c r="C11" s="23" t="s">
        <v>57</v>
      </c>
      <c r="D11" s="23" t="s">
        <v>58</v>
      </c>
      <c r="E11" s="23" t="s">
        <v>59</v>
      </c>
      <c r="F11" s="23" t="s">
        <v>60</v>
      </c>
    </row>
    <row r="12" spans="1:9" x14ac:dyDescent="0.2">
      <c r="A12" s="21" t="s">
        <v>61</v>
      </c>
      <c r="B12" s="21">
        <v>2</v>
      </c>
      <c r="C12" s="21">
        <v>11281024.350966439</v>
      </c>
      <c r="D12" s="21">
        <v>5640512.1754832193</v>
      </c>
      <c r="E12" s="21">
        <v>0.53667686714632901</v>
      </c>
      <c r="F12" s="21">
        <v>0.60229313174836963</v>
      </c>
    </row>
    <row r="13" spans="1:9" x14ac:dyDescent="0.2">
      <c r="A13" s="21" t="s">
        <v>38</v>
      </c>
      <c r="B13" s="21">
        <v>9</v>
      </c>
      <c r="C13" s="21">
        <v>94590642.315700218</v>
      </c>
      <c r="D13" s="21">
        <v>10510071.368411135</v>
      </c>
      <c r="E13" s="21"/>
      <c r="F13" s="21"/>
    </row>
    <row r="14" spans="1:9" ht="16" thickBot="1" x14ac:dyDescent="0.25">
      <c r="A14" s="22" t="s">
        <v>62</v>
      </c>
      <c r="B14" s="22">
        <v>11</v>
      </c>
      <c r="C14" s="22">
        <v>105871666.66666666</v>
      </c>
      <c r="D14" s="22"/>
      <c r="E14" s="22"/>
      <c r="F14" s="22"/>
    </row>
    <row r="15" spans="1:9" ht="16" thickBot="1" x14ac:dyDescent="0.25"/>
    <row r="16" spans="1:9" x14ac:dyDescent="0.2">
      <c r="A16" s="23"/>
      <c r="B16" s="23" t="s">
        <v>63</v>
      </c>
      <c r="C16" s="23" t="s">
        <v>53</v>
      </c>
      <c r="D16" s="23" t="s">
        <v>64</v>
      </c>
      <c r="E16" s="23" t="s">
        <v>65</v>
      </c>
      <c r="F16" s="23" t="s">
        <v>66</v>
      </c>
      <c r="G16" s="23" t="s">
        <v>67</v>
      </c>
      <c r="H16" s="23" t="s">
        <v>68</v>
      </c>
      <c r="I16" s="23" t="s">
        <v>69</v>
      </c>
    </row>
    <row r="17" spans="1:9" x14ac:dyDescent="0.2">
      <c r="A17" s="21" t="s">
        <v>71</v>
      </c>
      <c r="B17" s="21">
        <v>14551.633431799988</v>
      </c>
      <c r="C17" s="21">
        <v>3090.4659912990414</v>
      </c>
      <c r="D17" s="21">
        <v>4.7085564030696156</v>
      </c>
      <c r="E17" s="21">
        <v>1.1067583787935649E-3</v>
      </c>
      <c r="F17" s="21">
        <v>7560.5136531986054</v>
      </c>
      <c r="G17" s="21">
        <v>21542.75321040137</v>
      </c>
      <c r="H17" s="21">
        <v>7560.5136531986054</v>
      </c>
      <c r="I17" s="21">
        <v>21542.75321040137</v>
      </c>
    </row>
    <row r="18" spans="1:9" x14ac:dyDescent="0.2">
      <c r="A18" s="21" t="s">
        <v>73</v>
      </c>
      <c r="B18" s="21">
        <v>0.432374414838261</v>
      </c>
      <c r="C18" s="21">
        <v>7.1078390184791109</v>
      </c>
      <c r="D18" s="21">
        <v>6.0830642578449626E-2</v>
      </c>
      <c r="E18" s="21">
        <v>0.95282350037305463</v>
      </c>
      <c r="F18" s="21">
        <v>-15.646674532830826</v>
      </c>
      <c r="G18" s="21">
        <v>16.511423362507347</v>
      </c>
      <c r="H18" s="21">
        <v>-15.646674532830826</v>
      </c>
      <c r="I18" s="21">
        <v>16.511423362507347</v>
      </c>
    </row>
    <row r="19" spans="1:9" ht="16" thickBot="1" x14ac:dyDescent="0.25">
      <c r="A19" s="22" t="s">
        <v>74</v>
      </c>
      <c r="B19" s="22">
        <v>0.78894331341955171</v>
      </c>
      <c r="C19" s="22">
        <v>0.80421790693452311</v>
      </c>
      <c r="D19" s="22">
        <v>0.9810068970321808</v>
      </c>
      <c r="E19" s="22">
        <v>0.35222295936747461</v>
      </c>
      <c r="F19" s="22">
        <v>-1.0303239852029602</v>
      </c>
      <c r="G19" s="22">
        <v>2.6082106120420638</v>
      </c>
      <c r="H19" s="22">
        <v>-1.0303239852029602</v>
      </c>
      <c r="I19" s="22">
        <v>2.6082106120420638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6884-D3A9-EE44-8D5C-39F78192709E}">
  <dimension ref="A1:AA1000"/>
  <sheetViews>
    <sheetView tabSelected="1" topLeftCell="C1" workbookViewId="0">
      <selection activeCell="L5" sqref="L5"/>
    </sheetView>
  </sheetViews>
  <sheetFormatPr baseColWidth="10" defaultRowHeight="16" x14ac:dyDescent="0.2"/>
  <cols>
    <col min="1" max="1" width="11.6640625" style="18" bestFit="1" customWidth="1"/>
    <col min="2" max="2" width="11" style="18" bestFit="1" customWidth="1"/>
    <col min="3" max="3" width="17.1640625" style="18" bestFit="1" customWidth="1"/>
    <col min="4" max="4" width="14" style="18" bestFit="1" customWidth="1"/>
    <col min="5" max="5" width="10.83203125" style="18"/>
    <col min="6" max="6" width="11.6640625" style="18" bestFit="1" customWidth="1"/>
    <col min="7" max="7" width="16.33203125" style="18" bestFit="1" customWidth="1"/>
    <col min="8" max="8" width="10.83203125" style="18"/>
    <col min="9" max="9" width="39.5" style="18" customWidth="1"/>
    <col min="10" max="10" width="11.6640625" style="18" bestFit="1" customWidth="1"/>
    <col min="11" max="11" width="17.83203125" style="18" bestFit="1" customWidth="1"/>
    <col min="12" max="12" width="13.33203125" style="18" bestFit="1" customWidth="1"/>
    <col min="13" max="19" width="11" style="18" bestFit="1" customWidth="1"/>
    <col min="20" max="16384" width="10.83203125" style="18"/>
  </cols>
  <sheetData>
    <row r="1" spans="1:27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0" t="s">
        <v>31</v>
      </c>
      <c r="B4" s="10" t="s">
        <v>78</v>
      </c>
      <c r="C4" s="10" t="s">
        <v>77</v>
      </c>
      <c r="D4" s="10" t="s">
        <v>76</v>
      </c>
      <c r="E4" s="11"/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2"/>
      <c r="L4" s="10" t="s">
        <v>37</v>
      </c>
      <c r="M4" s="10" t="s">
        <v>38</v>
      </c>
      <c r="N4" s="12"/>
      <c r="O4" s="12"/>
      <c r="P4" s="1"/>
      <c r="Q4" s="1"/>
      <c r="S4" s="1"/>
      <c r="V4" s="12"/>
      <c r="W4" s="12"/>
      <c r="X4" s="12"/>
      <c r="Y4" s="12"/>
      <c r="Z4" s="12"/>
      <c r="AA4" s="12"/>
    </row>
    <row r="5" spans="1:27" x14ac:dyDescent="0.2">
      <c r="A5" s="11">
        <v>1</v>
      </c>
      <c r="B5" s="12">
        <v>16962</v>
      </c>
      <c r="C5" s="12">
        <v>304.3</v>
      </c>
      <c r="D5" s="12">
        <v>3459</v>
      </c>
      <c r="E5" s="11"/>
      <c r="F5" s="11">
        <f>C5*B5</f>
        <v>5161536.6000000006</v>
      </c>
      <c r="G5" s="11">
        <f>D5*B5</f>
        <v>58671558</v>
      </c>
      <c r="H5" s="11">
        <f>C5*D5</f>
        <v>1052573.7</v>
      </c>
      <c r="I5" s="11">
        <f>C5*C5</f>
        <v>92598.49</v>
      </c>
      <c r="J5" s="11">
        <f>D5*D5</f>
        <v>11964681</v>
      </c>
      <c r="K5" s="12"/>
      <c r="L5" s="12">
        <f>$G$67+($G$68*C5)+($G$68*D5)</f>
        <v>16178.788067160822</v>
      </c>
      <c r="M5" s="12">
        <f>B5-L5</f>
        <v>783.21193283917819</v>
      </c>
      <c r="N5" s="12"/>
      <c r="O5" s="12"/>
      <c r="P5" s="1"/>
      <c r="Q5" s="1"/>
      <c r="S5" s="1"/>
      <c r="V5" s="12"/>
      <c r="W5" s="12"/>
      <c r="X5" s="12"/>
      <c r="Y5" s="12"/>
      <c r="Z5" s="12"/>
      <c r="AA5" s="12"/>
    </row>
    <row r="6" spans="1:27" x14ac:dyDescent="0.2">
      <c r="A6" s="11">
        <v>2</v>
      </c>
      <c r="B6" s="12">
        <v>13412</v>
      </c>
      <c r="C6" s="12">
        <v>486.8</v>
      </c>
      <c r="D6" s="12">
        <v>4607</v>
      </c>
      <c r="E6" s="11"/>
      <c r="F6" s="11">
        <f t="shared" ref="F6:F16" si="0">C6*B6</f>
        <v>6528961.6000000006</v>
      </c>
      <c r="G6" s="11">
        <f t="shared" ref="G6:G16" si="1">D6*B6</f>
        <v>61789084</v>
      </c>
      <c r="H6" s="11">
        <f t="shared" ref="H6:H16" si="2">C6*D6</f>
        <v>2242687.6</v>
      </c>
      <c r="I6" s="11">
        <f t="shared" ref="I6:I16" si="3">C6*C6</f>
        <v>236974.24000000002</v>
      </c>
      <c r="J6" s="11">
        <f t="shared" ref="J6:J16" si="4">D6*D6</f>
        <v>21224449</v>
      </c>
      <c r="K6" s="12"/>
      <c r="L6" s="12">
        <f t="shared" ref="L6:L16" si="5">$G$67+($G$68*C6)+($G$68*D6)</f>
        <v>16754.062226103135</v>
      </c>
      <c r="M6" s="12">
        <f t="shared" ref="M6:M16" si="6">B6-L6</f>
        <v>-3342.0622261031349</v>
      </c>
      <c r="N6" s="12"/>
      <c r="O6" s="12"/>
      <c r="P6" s="1"/>
      <c r="Q6" s="1"/>
      <c r="S6" s="1"/>
      <c r="V6" s="12"/>
      <c r="W6" s="12"/>
      <c r="X6" s="12"/>
      <c r="Y6" s="12"/>
      <c r="Z6" s="12"/>
      <c r="AA6" s="12"/>
    </row>
    <row r="7" spans="1:27" x14ac:dyDescent="0.2">
      <c r="A7" s="11">
        <v>3</v>
      </c>
      <c r="B7" s="12">
        <v>20687</v>
      </c>
      <c r="C7" s="12">
        <v>233</v>
      </c>
      <c r="D7" s="12">
        <v>2848</v>
      </c>
      <c r="E7" s="11"/>
      <c r="F7" s="11">
        <f t="shared" si="0"/>
        <v>4820071</v>
      </c>
      <c r="G7" s="11">
        <f t="shared" si="1"/>
        <v>58916576</v>
      </c>
      <c r="H7" s="11">
        <f t="shared" si="2"/>
        <v>663584</v>
      </c>
      <c r="I7" s="11">
        <f t="shared" si="3"/>
        <v>54289</v>
      </c>
      <c r="J7" s="11">
        <f t="shared" si="4"/>
        <v>8111104</v>
      </c>
      <c r="K7" s="12"/>
      <c r="L7" s="12">
        <f t="shared" si="5"/>
        <v>15883.779003916674</v>
      </c>
      <c r="M7" s="12">
        <f t="shared" si="6"/>
        <v>4803.2209960833261</v>
      </c>
      <c r="N7" s="12"/>
      <c r="O7" s="12"/>
      <c r="P7" s="1"/>
      <c r="Q7" s="1"/>
      <c r="S7" s="1"/>
      <c r="V7" s="12"/>
      <c r="W7" s="12"/>
      <c r="X7" s="12"/>
      <c r="Y7" s="12"/>
      <c r="Z7" s="12"/>
      <c r="AA7" s="12"/>
    </row>
    <row r="8" spans="1:27" x14ac:dyDescent="0.2">
      <c r="A8" s="11">
        <v>4</v>
      </c>
      <c r="B8" s="12">
        <v>20687</v>
      </c>
      <c r="C8" s="12">
        <v>505.1</v>
      </c>
      <c r="D8" s="12">
        <v>2998</v>
      </c>
      <c r="E8" s="11"/>
      <c r="F8" s="11">
        <f t="shared" si="0"/>
        <v>10449003.700000001</v>
      </c>
      <c r="G8" s="11">
        <f t="shared" si="1"/>
        <v>62019626</v>
      </c>
      <c r="H8" s="11">
        <f t="shared" si="2"/>
        <v>1514289.8</v>
      </c>
      <c r="I8" s="11">
        <f t="shared" si="3"/>
        <v>255126.01</v>
      </c>
      <c r="J8" s="11">
        <f t="shared" si="4"/>
        <v>8988004</v>
      </c>
      <c r="K8" s="12"/>
      <c r="L8" s="12">
        <f t="shared" si="5"/>
        <v>16066.284244419905</v>
      </c>
      <c r="M8" s="12">
        <f t="shared" si="6"/>
        <v>4620.715755580095</v>
      </c>
      <c r="N8" s="12"/>
      <c r="O8" s="12"/>
      <c r="P8" s="1"/>
      <c r="Q8" s="1"/>
      <c r="S8" s="17"/>
      <c r="V8" s="12"/>
      <c r="W8" s="12"/>
      <c r="X8" s="12"/>
      <c r="Y8" s="12"/>
      <c r="Z8" s="12"/>
      <c r="AA8" s="12"/>
    </row>
    <row r="9" spans="1:27" x14ac:dyDescent="0.2">
      <c r="A9" s="11">
        <v>5</v>
      </c>
      <c r="B9" s="12">
        <v>20687</v>
      </c>
      <c r="C9" s="12">
        <v>510.3</v>
      </c>
      <c r="D9" s="6">
        <v>4328</v>
      </c>
      <c r="E9" s="11"/>
      <c r="F9" s="11">
        <f t="shared" si="0"/>
        <v>10556576.1</v>
      </c>
      <c r="G9" s="11">
        <f t="shared" si="1"/>
        <v>89533336</v>
      </c>
      <c r="H9" s="11">
        <f t="shared" si="2"/>
        <v>2208578.4</v>
      </c>
      <c r="I9" s="11">
        <f t="shared" si="3"/>
        <v>260406.09000000003</v>
      </c>
      <c r="J9" s="11">
        <f t="shared" si="4"/>
        <v>18731584</v>
      </c>
      <c r="K9" s="12"/>
      <c r="L9" s="12">
        <f t="shared" si="5"/>
        <v>16643.590563111957</v>
      </c>
      <c r="M9" s="12">
        <f t="shared" si="6"/>
        <v>4043.4094368880433</v>
      </c>
      <c r="N9" s="12"/>
      <c r="O9" s="12"/>
      <c r="P9" s="1"/>
      <c r="Q9" s="1"/>
      <c r="S9" s="1"/>
      <c r="V9" s="12"/>
      <c r="W9" s="12"/>
      <c r="X9" s="12"/>
      <c r="Y9" s="12"/>
      <c r="Z9" s="12"/>
      <c r="AA9" s="12"/>
    </row>
    <row r="10" spans="1:27" x14ac:dyDescent="0.2">
      <c r="A10" s="11">
        <v>6</v>
      </c>
      <c r="B10" s="12">
        <v>16962</v>
      </c>
      <c r="C10" s="12">
        <v>311.10000000000002</v>
      </c>
      <c r="D10" s="12">
        <v>5078</v>
      </c>
      <c r="E10" s="11"/>
      <c r="F10" s="11">
        <f t="shared" si="0"/>
        <v>5276878.2</v>
      </c>
      <c r="G10" s="11">
        <f t="shared" si="1"/>
        <v>86133036</v>
      </c>
      <c r="H10" s="11">
        <f t="shared" si="2"/>
        <v>1579765.8</v>
      </c>
      <c r="I10" s="11">
        <f t="shared" si="3"/>
        <v>96783.210000000021</v>
      </c>
      <c r="J10" s="11">
        <f t="shared" si="4"/>
        <v>25786084</v>
      </c>
      <c r="K10" s="12"/>
      <c r="L10" s="12">
        <f t="shared" si="5"/>
        <v>16881.742390804873</v>
      </c>
      <c r="M10" s="12">
        <f t="shared" si="6"/>
        <v>80.257609195126861</v>
      </c>
      <c r="N10" s="12"/>
      <c r="O10" s="12"/>
      <c r="P10" s="1"/>
      <c r="Q10" s="1"/>
      <c r="S10" s="1"/>
      <c r="V10" s="12"/>
      <c r="W10" s="12"/>
      <c r="X10" s="12"/>
      <c r="Y10" s="12"/>
      <c r="Z10" s="12"/>
      <c r="AA10" s="12"/>
    </row>
    <row r="11" spans="1:27" x14ac:dyDescent="0.2">
      <c r="A11" s="11">
        <v>7</v>
      </c>
      <c r="B11" s="12">
        <v>16962</v>
      </c>
      <c r="C11" s="12">
        <v>115.6</v>
      </c>
      <c r="D11" s="12">
        <v>2768</v>
      </c>
      <c r="E11" s="11"/>
      <c r="F11" s="11">
        <f t="shared" si="0"/>
        <v>1960807.2</v>
      </c>
      <c r="G11" s="11">
        <f t="shared" si="1"/>
        <v>46950816</v>
      </c>
      <c r="H11" s="11">
        <f t="shared" si="2"/>
        <v>319980.79999999999</v>
      </c>
      <c r="I11" s="11">
        <f t="shared" si="3"/>
        <v>13363.359999999999</v>
      </c>
      <c r="J11" s="11">
        <f t="shared" si="4"/>
        <v>7661824</v>
      </c>
      <c r="K11" s="12"/>
      <c r="L11" s="12">
        <f t="shared" si="5"/>
        <v>15798.428294427598</v>
      </c>
      <c r="M11" s="12">
        <f t="shared" si="6"/>
        <v>1163.5717055724017</v>
      </c>
      <c r="N11" s="12"/>
      <c r="O11" s="12"/>
      <c r="P11" s="1"/>
      <c r="Q11" s="1"/>
      <c r="S11" s="1"/>
      <c r="V11" s="12"/>
      <c r="W11" s="12"/>
      <c r="X11" s="12"/>
      <c r="Y11" s="12"/>
      <c r="Z11" s="12"/>
      <c r="AA11" s="12"/>
    </row>
    <row r="12" spans="1:27" x14ac:dyDescent="0.2">
      <c r="A12" s="11">
        <v>8</v>
      </c>
      <c r="B12" s="12">
        <v>20687</v>
      </c>
      <c r="C12" s="12">
        <v>399.5</v>
      </c>
      <c r="D12" s="12">
        <v>2587</v>
      </c>
      <c r="E12" s="11"/>
      <c r="F12" s="11">
        <f t="shared" si="0"/>
        <v>8264456.5</v>
      </c>
      <c r="G12" s="11">
        <f t="shared" si="1"/>
        <v>53517269</v>
      </c>
      <c r="H12" s="11">
        <f t="shared" si="2"/>
        <v>1033506.5</v>
      </c>
      <c r="I12" s="11">
        <f t="shared" si="3"/>
        <v>159600.25</v>
      </c>
      <c r="J12" s="11">
        <f t="shared" si="4"/>
        <v>6692569</v>
      </c>
      <c r="K12" s="12"/>
      <c r="L12" s="12">
        <f t="shared" si="5"/>
        <v>15842.919621714458</v>
      </c>
      <c r="M12" s="12">
        <f t="shared" si="6"/>
        <v>4844.0803782855419</v>
      </c>
      <c r="N12" s="12"/>
      <c r="O12" s="12"/>
      <c r="P12" s="1"/>
      <c r="Q12" s="1"/>
      <c r="S12" s="1"/>
      <c r="V12" s="12"/>
      <c r="W12" s="12"/>
      <c r="X12" s="12"/>
      <c r="Y12" s="12"/>
      <c r="Z12" s="12"/>
      <c r="AA12" s="12"/>
    </row>
    <row r="13" spans="1:27" x14ac:dyDescent="0.2">
      <c r="A13" s="11">
        <v>9</v>
      </c>
      <c r="B13" s="12">
        <v>16962</v>
      </c>
      <c r="C13" s="12">
        <v>317.3</v>
      </c>
      <c r="D13" s="12">
        <v>2313</v>
      </c>
      <c r="E13" s="11"/>
      <c r="F13" s="11">
        <f t="shared" si="0"/>
        <v>5382042.6000000006</v>
      </c>
      <c r="G13" s="11">
        <f t="shared" si="1"/>
        <v>39233106</v>
      </c>
      <c r="H13" s="11">
        <f t="shared" si="2"/>
        <v>733914.9</v>
      </c>
      <c r="I13" s="11">
        <f t="shared" si="3"/>
        <v>100679.29000000001</v>
      </c>
      <c r="J13" s="11">
        <f t="shared" si="4"/>
        <v>5349969</v>
      </c>
      <c r="K13" s="12"/>
      <c r="L13" s="12">
        <f t="shared" si="5"/>
        <v>15688.907855149067</v>
      </c>
      <c r="M13" s="12">
        <f t="shared" si="6"/>
        <v>1273.0921448509325</v>
      </c>
      <c r="N13" s="12"/>
      <c r="O13" s="12"/>
      <c r="P13" s="1"/>
      <c r="Q13" s="1"/>
      <c r="S13" s="1"/>
      <c r="V13" s="12"/>
      <c r="W13" s="12"/>
      <c r="X13" s="12"/>
      <c r="Y13" s="12"/>
      <c r="Z13" s="12"/>
      <c r="AA13" s="12"/>
    </row>
    <row r="14" spans="1:27" x14ac:dyDescent="0.2">
      <c r="A14" s="11">
        <v>10</v>
      </c>
      <c r="B14" s="12">
        <v>13412</v>
      </c>
      <c r="C14" s="12">
        <v>566.5</v>
      </c>
      <c r="D14" s="12">
        <v>1775</v>
      </c>
      <c r="E14" s="11"/>
      <c r="F14" s="11">
        <f t="shared" si="0"/>
        <v>7597898</v>
      </c>
      <c r="G14" s="11">
        <f t="shared" si="1"/>
        <v>23806300</v>
      </c>
      <c r="H14" s="11">
        <f t="shared" si="2"/>
        <v>1005537.5</v>
      </c>
      <c r="I14" s="11">
        <f t="shared" si="3"/>
        <v>320922.25</v>
      </c>
      <c r="J14" s="11">
        <f t="shared" si="4"/>
        <v>3150625</v>
      </c>
      <c r="K14" s="12"/>
      <c r="L14" s="12">
        <f t="shared" si="5"/>
        <v>15564.038124143775</v>
      </c>
      <c r="M14" s="12">
        <f t="shared" si="6"/>
        <v>-2152.0381241437753</v>
      </c>
      <c r="N14" s="12"/>
      <c r="O14" s="12"/>
      <c r="P14" s="1"/>
      <c r="Q14" s="1"/>
      <c r="S14" s="1"/>
      <c r="V14" s="12"/>
      <c r="W14" s="12"/>
      <c r="X14" s="12"/>
      <c r="Y14" s="12"/>
      <c r="Z14" s="12"/>
      <c r="AA14" s="12"/>
    </row>
    <row r="15" spans="1:27" x14ac:dyDescent="0.2">
      <c r="A15" s="11">
        <v>11</v>
      </c>
      <c r="B15" s="12">
        <v>13412</v>
      </c>
      <c r="C15" s="12">
        <v>183.6</v>
      </c>
      <c r="D15" s="12">
        <v>1586</v>
      </c>
      <c r="E15" s="11"/>
      <c r="F15" s="11">
        <f t="shared" si="0"/>
        <v>2462443.1999999997</v>
      </c>
      <c r="G15" s="11">
        <f t="shared" si="1"/>
        <v>21271432</v>
      </c>
      <c r="H15" s="11">
        <f t="shared" si="2"/>
        <v>291189.59999999998</v>
      </c>
      <c r="I15" s="11">
        <f t="shared" si="3"/>
        <v>33708.959999999999</v>
      </c>
      <c r="J15" s="11">
        <f t="shared" si="4"/>
        <v>2515396</v>
      </c>
      <c r="K15" s="12"/>
      <c r="L15" s="12">
        <f t="shared" si="5"/>
        <v>15316.763196297772</v>
      </c>
      <c r="M15" s="12">
        <f t="shared" si="6"/>
        <v>-1904.7631962977721</v>
      </c>
      <c r="N15" s="12"/>
      <c r="O15" s="12"/>
      <c r="P15" s="1"/>
      <c r="Q15" s="1"/>
      <c r="S15" s="1"/>
      <c r="U15" s="12"/>
      <c r="V15" s="12"/>
      <c r="W15" s="12"/>
      <c r="X15" s="12"/>
      <c r="Y15" s="12"/>
      <c r="Z15" s="12"/>
      <c r="AA15" s="12"/>
    </row>
    <row r="16" spans="1:27" x14ac:dyDescent="0.2">
      <c r="A16" s="11">
        <v>12</v>
      </c>
      <c r="B16" s="12">
        <v>13412</v>
      </c>
      <c r="C16" s="12">
        <v>279.10000000000002</v>
      </c>
      <c r="D16" s="12">
        <v>894</v>
      </c>
      <c r="E16" s="12"/>
      <c r="F16" s="11">
        <f t="shared" si="0"/>
        <v>3743289.2</v>
      </c>
      <c r="G16" s="11">
        <f t="shared" si="1"/>
        <v>11990328</v>
      </c>
      <c r="H16" s="11">
        <f t="shared" si="2"/>
        <v>249515.40000000002</v>
      </c>
      <c r="I16" s="11">
        <f t="shared" si="3"/>
        <v>77896.810000000012</v>
      </c>
      <c r="J16" s="11">
        <f t="shared" si="4"/>
        <v>799236</v>
      </c>
      <c r="K16" s="12"/>
      <c r="L16" s="12">
        <f t="shared" si="5"/>
        <v>15058.851857846746</v>
      </c>
      <c r="M16" s="12">
        <f t="shared" si="6"/>
        <v>-1646.8518578467465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1" t="s">
        <v>39</v>
      </c>
      <c r="B17" s="13">
        <f>SUM(B5:B16)</f>
        <v>204244</v>
      </c>
      <c r="C17" s="13">
        <f t="shared" ref="C17:D17" si="7">SUM(C5:C16)</f>
        <v>4212.2</v>
      </c>
      <c r="D17" s="13">
        <f t="shared" si="7"/>
        <v>35241</v>
      </c>
      <c r="E17" s="12"/>
      <c r="F17" s="20">
        <f t="shared" ref="F17" si="8">SUM(F5:F16)</f>
        <v>72203963.900000006</v>
      </c>
      <c r="G17" s="20">
        <f t="shared" ref="G17" si="9">SUM(G5:G16)</f>
        <v>613832467</v>
      </c>
      <c r="H17" s="20">
        <f t="shared" ref="H17" si="10">SUM(H5:H16)</f>
        <v>12895124.000000002</v>
      </c>
      <c r="I17" s="20">
        <f t="shared" ref="I17" si="11">SUM(I5:I16)</f>
        <v>1702347.96</v>
      </c>
      <c r="J17" s="20">
        <f t="shared" ref="J17" si="12">SUM(J5:J16)</f>
        <v>120975525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1" t="s">
        <v>40</v>
      </c>
      <c r="B18" s="11">
        <v>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 t="s">
        <v>41</v>
      </c>
      <c r="B22" s="12"/>
      <c r="C22" s="12"/>
      <c r="D22" s="12"/>
      <c r="E22" s="12"/>
      <c r="F22" s="12" t="s">
        <v>42</v>
      </c>
      <c r="G22" s="12"/>
      <c r="H22" s="12" t="s">
        <v>43</v>
      </c>
      <c r="I22" s="11">
        <f>MDETERM(A23:C25)</f>
        <v>43640618072199.828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1">
        <v>12</v>
      </c>
      <c r="B23" s="11">
        <f>C17</f>
        <v>4212.2</v>
      </c>
      <c r="C23" s="11">
        <f>D17</f>
        <v>35241</v>
      </c>
      <c r="D23" s="11"/>
      <c r="E23" s="11"/>
      <c r="F23" s="11">
        <f>B17</f>
        <v>204244</v>
      </c>
      <c r="G23" s="12"/>
      <c r="H23" s="12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1">
        <f>C17</f>
        <v>4212.2</v>
      </c>
      <c r="B24" s="11">
        <f>I17</f>
        <v>1702347.96</v>
      </c>
      <c r="C24" s="11">
        <f>H17</f>
        <v>12895124.000000002</v>
      </c>
      <c r="D24" s="11"/>
      <c r="E24" s="11"/>
      <c r="F24" s="11">
        <f>F17</f>
        <v>72203963.900000006</v>
      </c>
      <c r="G24" s="12"/>
      <c r="H24" s="12" t="s">
        <v>44</v>
      </c>
      <c r="I24" s="11">
        <f>MDETERM(A29:C31)</f>
        <v>6.3504227692383731E+17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1">
        <f>D17</f>
        <v>35241</v>
      </c>
      <c r="B25" s="11">
        <f>H17</f>
        <v>12895124.000000002</v>
      </c>
      <c r="C25" s="11">
        <f>J17</f>
        <v>120975525</v>
      </c>
      <c r="D25" s="11"/>
      <c r="E25" s="11"/>
      <c r="F25" s="11">
        <f>G17</f>
        <v>613832467</v>
      </c>
      <c r="G25" s="12"/>
      <c r="H25" s="12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 t="s">
        <v>45</v>
      </c>
      <c r="I26" s="11">
        <f>MDETERM(A35:C37)</f>
        <v>18869086702147.641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 t="s">
        <v>46</v>
      </c>
      <c r="B28" s="12"/>
      <c r="C28" s="12"/>
      <c r="D28" s="12"/>
      <c r="E28" s="12"/>
      <c r="F28" s="12"/>
      <c r="G28" s="12"/>
      <c r="H28" s="12" t="s">
        <v>80</v>
      </c>
      <c r="I28" s="11">
        <f>MDETERM(A40:C42)</f>
        <v>34429973821558.391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1">
        <f>B17</f>
        <v>204244</v>
      </c>
      <c r="B29" s="11">
        <v>4212.2</v>
      </c>
      <c r="C29" s="11">
        <v>35241</v>
      </c>
      <c r="D29" s="12"/>
      <c r="E29" s="12"/>
      <c r="H29" s="12"/>
      <c r="I29" s="12"/>
      <c r="J29" s="12"/>
      <c r="K29" s="27"/>
      <c r="L29" s="27"/>
      <c r="M29" s="27"/>
      <c r="N29" s="27"/>
      <c r="O29" s="27"/>
      <c r="P29" s="27"/>
      <c r="Q29" s="27"/>
      <c r="R29" s="27"/>
      <c r="S29" s="27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1">
        <f>F17</f>
        <v>72203963.900000006</v>
      </c>
      <c r="B30" s="11">
        <v>1702347.96</v>
      </c>
      <c r="C30" s="11">
        <v>12895124.000000002</v>
      </c>
      <c r="D30" s="12"/>
      <c r="E30" s="12"/>
      <c r="H30" s="12"/>
      <c r="I30" s="12"/>
      <c r="J30" s="12"/>
      <c r="K30" s="27"/>
      <c r="L30" s="27"/>
      <c r="M30" s="27"/>
      <c r="N30" s="27"/>
      <c r="O30" s="27"/>
      <c r="P30" s="27"/>
      <c r="Q30" s="27"/>
      <c r="R30" s="27"/>
      <c r="S30" s="27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1">
        <f>G17</f>
        <v>613832467</v>
      </c>
      <c r="B31" s="11">
        <v>12895124.000000002</v>
      </c>
      <c r="C31" s="11">
        <v>120975525</v>
      </c>
      <c r="D31" s="12"/>
      <c r="E31" s="12"/>
      <c r="F31" s="12"/>
      <c r="G31" s="12"/>
      <c r="H31" s="12"/>
      <c r="I31" s="12"/>
      <c r="J31" s="12"/>
      <c r="K31" s="28"/>
      <c r="L31" s="28"/>
      <c r="M31" s="27"/>
      <c r="N31" s="27"/>
      <c r="O31" s="27"/>
      <c r="P31" s="27"/>
      <c r="Q31" s="27"/>
      <c r="R31" s="27"/>
      <c r="S31" s="27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7"/>
      <c r="L32" s="27"/>
      <c r="M32" s="27"/>
      <c r="N32" s="27"/>
      <c r="O32" s="27"/>
      <c r="P32" s="27"/>
      <c r="Q32" s="27"/>
      <c r="R32" s="27"/>
      <c r="S32" s="27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7"/>
      <c r="L33" s="27"/>
      <c r="M33" s="27"/>
      <c r="N33" s="27"/>
      <c r="O33" s="27"/>
      <c r="P33" s="27"/>
      <c r="Q33" s="27"/>
      <c r="R33" s="27"/>
      <c r="S33" s="27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 t="s">
        <v>51</v>
      </c>
      <c r="B34" s="12"/>
      <c r="C34" s="12"/>
      <c r="D34" s="12"/>
      <c r="E34" s="12"/>
      <c r="F34" s="12"/>
      <c r="G34" s="12"/>
      <c r="H34" s="12"/>
      <c r="I34" s="12"/>
      <c r="J34" s="12"/>
      <c r="K34" s="27"/>
      <c r="L34" s="27"/>
      <c r="M34" s="27"/>
      <c r="N34" s="27"/>
      <c r="O34" s="27"/>
      <c r="P34" s="27"/>
      <c r="Q34" s="27"/>
      <c r="R34" s="27"/>
      <c r="S34" s="27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1">
        <v>12</v>
      </c>
      <c r="B35" s="11">
        <v>204244</v>
      </c>
      <c r="C35" s="11">
        <v>35241</v>
      </c>
      <c r="D35" s="12"/>
      <c r="E35" s="12"/>
      <c r="F35" s="12"/>
      <c r="G35" s="12"/>
      <c r="H35" s="12"/>
      <c r="I35" s="12"/>
      <c r="J35" s="12"/>
      <c r="K35" s="27"/>
      <c r="L35" s="27"/>
      <c r="M35" s="27"/>
      <c r="N35" s="27"/>
      <c r="O35" s="27"/>
      <c r="P35" s="27"/>
      <c r="Q35" s="27"/>
      <c r="R35" s="27"/>
      <c r="S35" s="27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1">
        <v>4212.2</v>
      </c>
      <c r="B36" s="11">
        <v>72203963.900000006</v>
      </c>
      <c r="C36" s="11">
        <v>12895124.000000002</v>
      </c>
      <c r="D36" s="12"/>
      <c r="E36" s="12"/>
      <c r="F36" s="12"/>
      <c r="G36" s="12"/>
      <c r="H36" s="12"/>
      <c r="I36" s="12"/>
      <c r="J36" s="12"/>
      <c r="K36" s="27"/>
      <c r="L36" s="27"/>
      <c r="M36" s="27"/>
      <c r="N36" s="27"/>
      <c r="O36" s="27"/>
      <c r="P36" s="27"/>
      <c r="Q36" s="27"/>
      <c r="R36" s="27"/>
      <c r="S36" s="27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1">
        <v>35241</v>
      </c>
      <c r="B37" s="11">
        <v>613832467</v>
      </c>
      <c r="C37" s="11">
        <v>120975525</v>
      </c>
      <c r="D37" s="12"/>
      <c r="E37" s="12"/>
      <c r="F37" s="12"/>
      <c r="G37" s="12"/>
      <c r="H37" s="12"/>
      <c r="I37" s="12"/>
      <c r="J37" s="12"/>
      <c r="K37" s="27"/>
      <c r="L37" s="27"/>
      <c r="M37" s="27"/>
      <c r="N37" s="27"/>
      <c r="O37" s="27"/>
      <c r="P37" s="27"/>
      <c r="Q37" s="27"/>
      <c r="R37" s="27"/>
      <c r="S37" s="27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7"/>
      <c r="L38" s="27"/>
      <c r="M38" s="27"/>
      <c r="N38" s="27"/>
      <c r="O38" s="27"/>
      <c r="P38" s="27"/>
      <c r="Q38" s="27"/>
      <c r="R38" s="27"/>
      <c r="S38" s="27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 t="s">
        <v>79</v>
      </c>
      <c r="B39" s="12"/>
      <c r="C39" s="12"/>
      <c r="D39" s="12"/>
      <c r="E39" s="12"/>
      <c r="F39" s="12"/>
      <c r="G39" s="12"/>
      <c r="H39" s="12"/>
      <c r="I39" s="12"/>
      <c r="J39" s="12"/>
      <c r="K39" s="29"/>
      <c r="L39" s="29"/>
      <c r="M39" s="29"/>
      <c r="N39" s="29"/>
      <c r="O39" s="29"/>
      <c r="P39" s="29"/>
      <c r="Q39" s="27"/>
      <c r="R39" s="27"/>
      <c r="S39" s="27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1">
        <v>12</v>
      </c>
      <c r="B40" s="11">
        <v>4212.2</v>
      </c>
      <c r="C40" s="11">
        <v>204244</v>
      </c>
      <c r="D40" s="12"/>
      <c r="E40" s="12"/>
      <c r="F40" s="12"/>
      <c r="G40" s="12"/>
      <c r="H40" s="12"/>
      <c r="I40" s="12"/>
      <c r="J40" s="12"/>
      <c r="K40" s="27"/>
      <c r="L40" s="27"/>
      <c r="M40" s="27"/>
      <c r="N40" s="27"/>
      <c r="O40" s="27"/>
      <c r="P40" s="27"/>
      <c r="Q40" s="27"/>
      <c r="R40" s="27"/>
      <c r="S40" s="27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1">
        <v>4212.2</v>
      </c>
      <c r="B41" s="11">
        <v>1702347.96</v>
      </c>
      <c r="C41" s="11">
        <v>72203963.900000006</v>
      </c>
      <c r="D41" s="12"/>
      <c r="E41" s="12"/>
      <c r="F41" s="12"/>
      <c r="G41" s="12"/>
      <c r="H41" s="12"/>
      <c r="I41" s="12"/>
      <c r="J41" s="12"/>
      <c r="K41" s="27"/>
      <c r="L41" s="27"/>
      <c r="M41" s="27"/>
      <c r="N41" s="27"/>
      <c r="O41" s="27"/>
      <c r="P41" s="27"/>
      <c r="Q41" s="27"/>
      <c r="R41" s="27"/>
      <c r="S41" s="27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1">
        <v>35241</v>
      </c>
      <c r="B42" s="11">
        <v>12895124.000000002</v>
      </c>
      <c r="C42" s="11">
        <v>613832467</v>
      </c>
      <c r="D42" s="12"/>
      <c r="E42" s="12"/>
      <c r="F42" s="12"/>
      <c r="G42" s="12"/>
      <c r="H42" s="12"/>
      <c r="I42" s="12"/>
      <c r="J42" s="12"/>
      <c r="K42" s="27"/>
      <c r="L42" s="27"/>
      <c r="M42" s="27"/>
      <c r="N42" s="27"/>
      <c r="O42" s="27"/>
      <c r="P42" s="27"/>
      <c r="Q42" s="27"/>
      <c r="R42" s="27"/>
      <c r="S42" s="27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7"/>
      <c r="L43" s="27"/>
      <c r="M43" s="27"/>
      <c r="N43" s="27"/>
      <c r="O43" s="27"/>
      <c r="P43" s="27"/>
      <c r="Q43" s="27"/>
      <c r="R43" s="27"/>
      <c r="S43" s="27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9"/>
      <c r="L44" s="29"/>
      <c r="M44" s="29"/>
      <c r="N44" s="29"/>
      <c r="O44" s="29"/>
      <c r="P44" s="29"/>
      <c r="Q44" s="29"/>
      <c r="R44" s="29"/>
      <c r="S44" s="29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H45" s="12"/>
      <c r="I45" s="12"/>
      <c r="J45" s="12"/>
      <c r="K45" s="27"/>
      <c r="L45" s="27"/>
      <c r="M45" s="27"/>
      <c r="N45" s="27"/>
      <c r="O45" s="27"/>
      <c r="P45" s="27"/>
      <c r="Q45" s="27"/>
      <c r="R45" s="27"/>
      <c r="S45" s="27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H46" s="12"/>
      <c r="I46" s="12"/>
      <c r="J46" s="12"/>
      <c r="K46" s="27"/>
      <c r="L46" s="27"/>
      <c r="M46" s="27"/>
      <c r="N46" s="27"/>
      <c r="O46" s="27"/>
      <c r="P46" s="27"/>
      <c r="Q46" s="27"/>
      <c r="R46" s="27"/>
      <c r="S46" s="27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H47" s="12"/>
      <c r="I47" s="12"/>
      <c r="J47" s="12"/>
      <c r="K47" s="27"/>
      <c r="L47" s="27"/>
      <c r="M47" s="27"/>
      <c r="N47" s="27"/>
      <c r="O47" s="27"/>
      <c r="P47" s="27"/>
      <c r="Q47" s="27"/>
      <c r="R47" s="27"/>
      <c r="S47" s="27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H48" s="12"/>
      <c r="I48" s="12"/>
      <c r="J48" s="12"/>
      <c r="K48" s="27"/>
      <c r="L48" s="27"/>
      <c r="M48" s="27"/>
      <c r="N48" s="27"/>
      <c r="O48" s="27"/>
      <c r="P48" s="27"/>
      <c r="Q48" s="27"/>
      <c r="R48" s="27"/>
      <c r="S48" s="27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t="s">
        <v>47</v>
      </c>
      <c r="L52"/>
      <c r="M52"/>
      <c r="N52"/>
      <c r="O52"/>
      <c r="P52"/>
      <c r="Q52"/>
      <c r="R52"/>
      <c r="S52"/>
      <c r="T52" s="12"/>
      <c r="U52" s="12"/>
      <c r="V52" s="12"/>
      <c r="W52" s="12"/>
      <c r="X52" s="12"/>
      <c r="Y52" s="12"/>
      <c r="Z52" s="12"/>
      <c r="AA52" s="12"/>
    </row>
    <row r="53" spans="1:27" ht="17" thickBo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/>
      <c r="L53"/>
      <c r="M53"/>
      <c r="N53"/>
      <c r="O53"/>
      <c r="P53"/>
      <c r="Q53"/>
      <c r="R53"/>
      <c r="S53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4" t="s">
        <v>48</v>
      </c>
      <c r="L54" s="24"/>
      <c r="M54"/>
      <c r="N54"/>
      <c r="O54"/>
      <c r="P54"/>
      <c r="Q54"/>
      <c r="R54"/>
      <c r="S54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21" t="s">
        <v>49</v>
      </c>
      <c r="L55" s="21">
        <v>0.32642573703094807</v>
      </c>
      <c r="M55"/>
      <c r="N55"/>
      <c r="O55"/>
      <c r="P55"/>
      <c r="Q55"/>
      <c r="R55"/>
      <c r="S55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21" t="s">
        <v>50</v>
      </c>
      <c r="L56" s="21">
        <v>0.10655376179619766</v>
      </c>
      <c r="M56"/>
      <c r="N56"/>
      <c r="O56"/>
      <c r="P56"/>
      <c r="Q56"/>
      <c r="R56"/>
      <c r="S56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21" t="s">
        <v>52</v>
      </c>
      <c r="L57" s="21">
        <v>-9.1989846693536201E-2</v>
      </c>
      <c r="M57"/>
      <c r="N57"/>
      <c r="O57"/>
      <c r="P57"/>
      <c r="Q57"/>
      <c r="R57"/>
      <c r="S57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21" t="s">
        <v>53</v>
      </c>
      <c r="L58" s="21">
        <v>3241.9240226154493</v>
      </c>
      <c r="M58"/>
      <c r="N58"/>
      <c r="O58"/>
      <c r="P58"/>
      <c r="Q58"/>
      <c r="R58"/>
      <c r="S58"/>
      <c r="T58" s="12"/>
      <c r="U58" s="12"/>
      <c r="V58" s="12"/>
      <c r="W58" s="12"/>
      <c r="X58" s="12"/>
      <c r="Y58" s="12"/>
      <c r="Z58" s="12"/>
      <c r="AA58" s="12"/>
    </row>
    <row r="59" spans="1:27" ht="17" thickBo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22" t="s">
        <v>54</v>
      </c>
      <c r="L59" s="22">
        <v>12</v>
      </c>
      <c r="M59"/>
      <c r="N59"/>
      <c r="O59"/>
      <c r="P59"/>
      <c r="Q59"/>
      <c r="R59"/>
      <c r="S59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/>
      <c r="L60"/>
      <c r="M60"/>
      <c r="N60"/>
      <c r="O60"/>
      <c r="P60"/>
      <c r="Q60"/>
      <c r="R60"/>
      <c r="S60"/>
      <c r="T60" s="12"/>
      <c r="U60" s="12"/>
      <c r="V60" s="12"/>
      <c r="W60" s="12"/>
      <c r="X60" s="12"/>
      <c r="Y60" s="12"/>
      <c r="Z60" s="12"/>
      <c r="AA60" s="12"/>
    </row>
    <row r="61" spans="1:27" ht="17" thickBo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t="s">
        <v>55</v>
      </c>
      <c r="L61"/>
      <c r="M61"/>
      <c r="N61"/>
      <c r="O61"/>
      <c r="P61"/>
      <c r="Q61"/>
      <c r="R61"/>
      <c r="S61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23"/>
      <c r="L62" s="23" t="s">
        <v>56</v>
      </c>
      <c r="M62" s="23" t="s">
        <v>57</v>
      </c>
      <c r="N62" s="23" t="s">
        <v>58</v>
      </c>
      <c r="O62" s="23" t="s">
        <v>59</v>
      </c>
      <c r="P62" s="23" t="s">
        <v>60</v>
      </c>
      <c r="Q62"/>
      <c r="R62"/>
      <c r="S6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21" t="s">
        <v>61</v>
      </c>
      <c r="L63" s="21">
        <v>2</v>
      </c>
      <c r="M63" s="21">
        <v>11281024.350966439</v>
      </c>
      <c r="N63" s="21">
        <v>5640512.1754832193</v>
      </c>
      <c r="O63" s="21">
        <v>0.53667686714632901</v>
      </c>
      <c r="P63" s="21">
        <v>0.60229313174836963</v>
      </c>
      <c r="Q63"/>
      <c r="R63"/>
      <c r="S63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21" t="s">
        <v>38</v>
      </c>
      <c r="L64" s="21">
        <v>9</v>
      </c>
      <c r="M64" s="21">
        <v>94590642.315700218</v>
      </c>
      <c r="N64" s="21">
        <v>10510071.368411135</v>
      </c>
      <c r="O64" s="21"/>
      <c r="P64" s="21"/>
      <c r="Q64"/>
      <c r="R64"/>
      <c r="S64"/>
      <c r="T64" s="12"/>
      <c r="U64" s="12"/>
      <c r="V64" s="12"/>
      <c r="W64" s="12"/>
      <c r="X64" s="12"/>
      <c r="Y64" s="12"/>
      <c r="Z64" s="12"/>
      <c r="AA64" s="12"/>
    </row>
    <row r="65" spans="1:27" ht="17" thickBo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22" t="s">
        <v>62</v>
      </c>
      <c r="L65" s="22">
        <v>11</v>
      </c>
      <c r="M65" s="22">
        <v>105871666.66666666</v>
      </c>
      <c r="N65" s="22"/>
      <c r="O65" s="22"/>
      <c r="P65" s="22"/>
      <c r="Q65"/>
      <c r="R65"/>
      <c r="S65"/>
      <c r="T65" s="12"/>
      <c r="U65" s="12"/>
      <c r="V65" s="12"/>
      <c r="W65" s="12"/>
      <c r="X65" s="12"/>
      <c r="Y65" s="12"/>
      <c r="Z65" s="12"/>
      <c r="AA65" s="12"/>
    </row>
    <row r="66" spans="1:27" ht="17" thickBo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/>
      <c r="L66"/>
      <c r="M66"/>
      <c r="N66"/>
      <c r="O66"/>
      <c r="P66"/>
      <c r="Q66"/>
      <c r="R66"/>
      <c r="S66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3" t="s">
        <v>70</v>
      </c>
      <c r="G67" s="14">
        <f>I24/I22</f>
        <v>14551.633431799977</v>
      </c>
      <c r="H67" s="12"/>
      <c r="I67" s="12"/>
      <c r="J67" s="12"/>
      <c r="K67" s="23"/>
      <c r="L67" s="23" t="s">
        <v>63</v>
      </c>
      <c r="M67" s="23" t="s">
        <v>53</v>
      </c>
      <c r="N67" s="23" t="s">
        <v>64</v>
      </c>
      <c r="O67" s="23" t="s">
        <v>65</v>
      </c>
      <c r="P67" s="23" t="s">
        <v>66</v>
      </c>
      <c r="Q67" s="23" t="s">
        <v>67</v>
      </c>
      <c r="R67" s="23" t="s">
        <v>68</v>
      </c>
      <c r="S67" s="23" t="s">
        <v>69</v>
      </c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3" t="s">
        <v>72</v>
      </c>
      <c r="G68" s="14">
        <f>I26/I22</f>
        <v>0.43237441483826561</v>
      </c>
      <c r="H68" s="12"/>
      <c r="I68" s="12"/>
      <c r="J68" s="12"/>
      <c r="K68" s="21" t="s">
        <v>71</v>
      </c>
      <c r="L68" s="25">
        <v>14551.633431799988</v>
      </c>
      <c r="M68" s="21">
        <v>3090.4659912990414</v>
      </c>
      <c r="N68" s="21">
        <v>4.7085564030696156</v>
      </c>
      <c r="O68" s="21">
        <v>1.1067583787935649E-3</v>
      </c>
      <c r="P68" s="21">
        <v>7560.5136531986054</v>
      </c>
      <c r="Q68" s="21">
        <v>21542.75321040137</v>
      </c>
      <c r="R68" s="21">
        <v>7560.5136531986054</v>
      </c>
      <c r="S68" s="21">
        <v>21542.75321040137</v>
      </c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 t="s">
        <v>81</v>
      </c>
      <c r="G69" s="12">
        <f>I28/I22</f>
        <v>0.78894331341954915</v>
      </c>
      <c r="H69" s="12"/>
      <c r="I69" s="12"/>
      <c r="J69" s="12"/>
      <c r="K69" s="21" t="s">
        <v>73</v>
      </c>
      <c r="L69" s="25">
        <v>0.432374414838261</v>
      </c>
      <c r="M69" s="21">
        <v>7.1078390184791109</v>
      </c>
      <c r="N69" s="21">
        <v>6.0830642578449626E-2</v>
      </c>
      <c r="O69" s="21">
        <v>0.95282350037305463</v>
      </c>
      <c r="P69" s="21">
        <v>-15.646674532830826</v>
      </c>
      <c r="Q69" s="21">
        <v>16.511423362507347</v>
      </c>
      <c r="R69" s="21">
        <v>-15.646674532830826</v>
      </c>
      <c r="S69" s="21">
        <v>16.511423362507347</v>
      </c>
      <c r="T69" s="12"/>
      <c r="U69" s="12"/>
      <c r="V69" s="12"/>
      <c r="W69" s="12"/>
      <c r="X69" s="12"/>
      <c r="Y69" s="12"/>
      <c r="Z69" s="12"/>
      <c r="AA69" s="12"/>
    </row>
    <row r="70" spans="1:27" ht="17" thickBot="1" x14ac:dyDescent="0.25">
      <c r="A70" s="12"/>
      <c r="B70" s="12"/>
      <c r="C70" s="12"/>
      <c r="D70" s="12"/>
      <c r="E70" s="12"/>
      <c r="F70" s="12"/>
      <c r="G70" s="19"/>
      <c r="H70" s="12"/>
      <c r="I70" s="12"/>
      <c r="J70" s="12"/>
      <c r="K70" s="22" t="s">
        <v>74</v>
      </c>
      <c r="L70" s="26">
        <v>0.78894331341955171</v>
      </c>
      <c r="M70" s="22">
        <v>0.80421790693452311</v>
      </c>
      <c r="N70" s="22">
        <v>0.9810068970321808</v>
      </c>
      <c r="O70" s="22">
        <v>0.35222295936747461</v>
      </c>
      <c r="P70" s="22">
        <v>-1.0303239852029602</v>
      </c>
      <c r="Q70" s="22">
        <v>2.6082106120420638</v>
      </c>
      <c r="R70" s="22">
        <v>-1.0303239852029602</v>
      </c>
      <c r="S70" s="22">
        <v>2.6082106120420638</v>
      </c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42E0-C966-FA47-B466-59CD7910C106}">
  <dimension ref="E5:Q21"/>
  <sheetViews>
    <sheetView workbookViewId="0">
      <selection activeCell="J25" sqref="J25"/>
    </sheetView>
  </sheetViews>
  <sheetFormatPr baseColWidth="10" defaultRowHeight="15" x14ac:dyDescent="0.2"/>
  <sheetData>
    <row r="5" spans="5:17" x14ac:dyDescent="0.2">
      <c r="K5" s="5">
        <f>8750+13750+15100+16050</f>
        <v>53650</v>
      </c>
      <c r="L5" s="5">
        <f>K5/4</f>
        <v>13412.5</v>
      </c>
    </row>
    <row r="8" spans="5:17" ht="16" x14ac:dyDescent="0.2">
      <c r="F8">
        <f xml:space="preserve"> 4+6+8+12+30+40+44+45+54+55+75+83+84+90+90</f>
        <v>720</v>
      </c>
      <c r="G8" s="7">
        <f>F8/15</f>
        <v>48</v>
      </c>
      <c r="H8" s="5"/>
      <c r="I8" s="5"/>
      <c r="J8" s="5"/>
      <c r="K8" s="5"/>
      <c r="L8" s="5"/>
      <c r="M8" s="5"/>
      <c r="N8" s="5"/>
      <c r="O8" s="5"/>
      <c r="P8" s="5"/>
      <c r="Q8" s="5"/>
    </row>
    <row r="9" spans="5:17" ht="16" x14ac:dyDescent="0.2">
      <c r="F9" s="4"/>
      <c r="H9" s="4"/>
      <c r="I9" s="4"/>
      <c r="K9" s="7">
        <f>16200 + 16350 + 17150 + 18150</f>
        <v>67850</v>
      </c>
      <c r="L9">
        <f>K9/4</f>
        <v>16962.5</v>
      </c>
    </row>
    <row r="10" spans="5:17" ht="16" x14ac:dyDescent="0.2">
      <c r="E10" s="6"/>
      <c r="F10" s="6"/>
      <c r="H10" s="6"/>
      <c r="I10" s="6"/>
      <c r="M10" s="6"/>
    </row>
    <row r="11" spans="5:17" ht="16" x14ac:dyDescent="0.2">
      <c r="E11" s="6"/>
      <c r="F11" s="6"/>
      <c r="H11" s="6"/>
      <c r="I11" s="6"/>
      <c r="M11" s="6"/>
    </row>
    <row r="12" spans="5:17" ht="16" x14ac:dyDescent="0.2">
      <c r="E12" s="6"/>
      <c r="F12" s="6"/>
      <c r="H12" s="6"/>
      <c r="I12" s="6"/>
      <c r="M12" s="6"/>
    </row>
    <row r="13" spans="5:17" ht="16" x14ac:dyDescent="0.2">
      <c r="E13" s="6"/>
      <c r="F13" s="6"/>
      <c r="H13" s="6"/>
      <c r="I13" s="6"/>
      <c r="M13" s="6"/>
    </row>
    <row r="14" spans="5:17" ht="16" x14ac:dyDescent="0.2">
      <c r="E14" s="6"/>
      <c r="F14" s="6"/>
      <c r="H14" s="6"/>
      <c r="I14" s="6"/>
      <c r="K14" s="7">
        <f>18350 + 20900 + 21350 + 22150</f>
        <v>82750</v>
      </c>
      <c r="L14">
        <f>K14/4</f>
        <v>20687.5</v>
      </c>
    </row>
    <row r="15" spans="5:17" ht="16" x14ac:dyDescent="0.2">
      <c r="E15" s="6"/>
      <c r="F15" s="6"/>
      <c r="H15" s="6"/>
      <c r="I15" s="6"/>
    </row>
    <row r="16" spans="5:17" ht="16" x14ac:dyDescent="0.2">
      <c r="E16" s="6"/>
      <c r="F16" s="6"/>
      <c r="H16" s="6">
        <f>5+10+11+ 13</f>
        <v>39</v>
      </c>
      <c r="I16" s="6">
        <f>H16/4</f>
        <v>9.75</v>
      </c>
    </row>
    <row r="17" spans="5:9" ht="16" x14ac:dyDescent="0.2">
      <c r="E17" s="6"/>
      <c r="F17" s="6"/>
      <c r="H17" s="6"/>
      <c r="I17" s="6"/>
    </row>
    <row r="18" spans="5:9" ht="16" x14ac:dyDescent="0.2">
      <c r="E18" s="6"/>
      <c r="F18" s="6"/>
      <c r="H18" s="6"/>
      <c r="I18" s="6"/>
    </row>
    <row r="19" spans="5:9" ht="16" x14ac:dyDescent="0.2">
      <c r="E19" s="6"/>
      <c r="F19" s="6"/>
      <c r="H19" s="6"/>
      <c r="I19" s="6"/>
    </row>
    <row r="20" spans="5:9" ht="16" x14ac:dyDescent="0.2">
      <c r="E20" s="6"/>
      <c r="F20" s="6"/>
      <c r="H20" s="6"/>
      <c r="I20" s="6"/>
    </row>
    <row r="21" spans="5:9" x14ac:dyDescent="0.2">
      <c r="E21" s="5"/>
      <c r="F21" s="5"/>
      <c r="H21" s="5"/>
      <c r="I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Korelasi curah hujan</vt:lpstr>
      <vt:lpstr>Produksi </vt:lpstr>
      <vt:lpstr>Sheet3</vt:lpstr>
      <vt:lpstr>Regresi</vt:lpstr>
      <vt:lpstr>Binning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Aras Opraza</cp:lastModifiedBy>
  <dcterms:created xsi:type="dcterms:W3CDTF">2023-05-04T06:15:16Z</dcterms:created>
  <dcterms:modified xsi:type="dcterms:W3CDTF">2023-05-08T07:16:06Z</dcterms:modified>
</cp:coreProperties>
</file>