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Documentos\Workstation\Projetos\(INESC) Lucrômetro\1_Construcao_Base_de_dados\"/>
    </mc:Choice>
  </mc:AlternateContent>
  <xr:revisionPtr revIDLastSave="0" documentId="13_ncr:1_{62D3CA58-799B-474D-A005-3EFCEEA7FFE6}" xr6:coauthVersionLast="47" xr6:coauthVersionMax="47" xr10:uidLastSave="{00000000-0000-0000-0000-000000000000}"/>
  <bookViews>
    <workbookView xWindow="-120" yWindow="-120" windowWidth="29040" windowHeight="15720" xr2:uid="{BAE551D2-70BE-4BA0-A912-758A2F18A70D}"/>
  </bookViews>
  <sheets>
    <sheet name="databa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Y10" i="5"/>
  <c r="Y11" i="5"/>
  <c r="Y14" i="5"/>
  <c r="Y15" i="5"/>
  <c r="Y16" i="5"/>
  <c r="Y17" i="5"/>
  <c r="Y18" i="5"/>
  <c r="Y19" i="5"/>
  <c r="Y20" i="5"/>
  <c r="Y21" i="5"/>
  <c r="X3" i="5"/>
  <c r="X4" i="5"/>
  <c r="X5" i="5"/>
  <c r="X6" i="5"/>
  <c r="X7" i="5"/>
  <c r="X8" i="5"/>
  <c r="X9" i="5"/>
  <c r="X10" i="5"/>
  <c r="X11" i="5"/>
  <c r="X14" i="5"/>
  <c r="X15" i="5"/>
  <c r="X16" i="5"/>
  <c r="X17" i="5"/>
  <c r="X18" i="5"/>
  <c r="X19" i="5"/>
  <c r="X20" i="5"/>
  <c r="X21" i="5"/>
  <c r="S12" i="5"/>
  <c r="R12" i="5"/>
  <c r="L12" i="5"/>
  <c r="K12" i="5"/>
  <c r="R13" i="5"/>
  <c r="L13" i="5"/>
  <c r="K13" i="5"/>
  <c r="R14" i="5"/>
  <c r="L14" i="5"/>
  <c r="K14" i="5"/>
  <c r="S15" i="5"/>
  <c r="R15" i="5"/>
  <c r="L15" i="5"/>
  <c r="K15" i="5"/>
  <c r="S16" i="5"/>
  <c r="R16" i="5"/>
  <c r="L16" i="5"/>
  <c r="K16" i="5"/>
  <c r="R17" i="5"/>
  <c r="L17" i="5"/>
  <c r="K17" i="5"/>
  <c r="R18" i="5"/>
  <c r="K18" i="5"/>
  <c r="R19" i="5"/>
  <c r="K19" i="5"/>
  <c r="R20" i="5"/>
  <c r="K20" i="5"/>
  <c r="R21" i="5"/>
  <c r="K21" i="5"/>
  <c r="R2" i="5"/>
  <c r="K2" i="5"/>
  <c r="R3" i="5"/>
  <c r="K3" i="5"/>
  <c r="R4" i="5"/>
  <c r="K4" i="5"/>
  <c r="R5" i="5"/>
  <c r="K5" i="5"/>
  <c r="R6" i="5"/>
  <c r="K6" i="5"/>
  <c r="R7" i="5"/>
  <c r="K7" i="5"/>
  <c r="T8" i="5"/>
  <c r="R8" i="5"/>
  <c r="K8" i="5"/>
  <c r="R9" i="5"/>
  <c r="R10" i="5"/>
  <c r="K10" i="5"/>
  <c r="R11" i="5"/>
  <c r="K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tc={EA73CDB3-C31B-48DA-907C-09195B7061D3}</author>
    <author>tc={EE640F97-F647-4652-961C-C8FDC93EFA33}</author>
  </authors>
  <commentList>
    <comment ref="J2" authorId="0" shapeId="0" xr:uid="{EA73CDB3-C31B-48DA-907C-09195B7061D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7,83 - membros </t>
      </text>
    </comment>
    <comment ref="Q2" authorId="1" shapeId="0" xr:uid="{EE640F97-F647-4652-961C-C8FDC93EFA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</t>
      </text>
    </comment>
  </commentList>
</comments>
</file>

<file path=xl/sharedStrings.xml><?xml version="1.0" encoding="utf-8"?>
<sst xmlns="http://schemas.openxmlformats.org/spreadsheetml/2006/main" count="45" uniqueCount="27">
  <si>
    <t>empresa</t>
  </si>
  <si>
    <t>cnpj</t>
  </si>
  <si>
    <t>exercicio</t>
  </si>
  <si>
    <t>lucro_liquido_exercicio</t>
  </si>
  <si>
    <t>receita_operacional_liquida</t>
  </si>
  <si>
    <t>CENTRAIS ELÉTRICAS BRASILEIRAS S.A. - ELETROBRAS</t>
  </si>
  <si>
    <t>EBITDA</t>
  </si>
  <si>
    <t>dividendos</t>
  </si>
  <si>
    <t>pmso</t>
  </si>
  <si>
    <t>investimentos</t>
  </si>
  <si>
    <t>membros_remunerados_conselhoAdmin</t>
  </si>
  <si>
    <t>remuneracao_fixa_conselhoAdmin</t>
  </si>
  <si>
    <t>remuneracao_variavel_conselhoAdmin</t>
  </si>
  <si>
    <t>pos_emprego_conselhoAdmin</t>
  </si>
  <si>
    <t>cessacao_conselhoAdmin</t>
  </si>
  <si>
    <t>acoes_conselhoAdmin</t>
  </si>
  <si>
    <t>total_conselhoAdmin</t>
  </si>
  <si>
    <t>membros_remunerados_diretoriaEstat</t>
  </si>
  <si>
    <t>remuneracao_fixa_diretoriaEstat</t>
  </si>
  <si>
    <t>remuneracao_variavel_diretoriaEstat</t>
  </si>
  <si>
    <t>pos_emprego_diretoriaEstat</t>
  </si>
  <si>
    <t>cessacao_diretoriaEstat</t>
  </si>
  <si>
    <t>acoes_diretoriaEstat</t>
  </si>
  <si>
    <t>total_diretoriaEstat</t>
  </si>
  <si>
    <t>CEMIG DISTRIBUICAO S.A.</t>
  </si>
  <si>
    <t>total_por_diretor</t>
  </si>
  <si>
    <t>total_por_conselho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</si>
</sst>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2" fontId="0" fillId="0" borderId="0" xfId="1" applyNumberFormat="1" applyFont="1"/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 Araujo" id="{5D4D41AD-7733-4387-A7AD-49477465E587}" userId="S::victor@conservationstrategyfund.onmicrosoft.com::3618fd75-9d73-40fc-83a2-072a90fc9a21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5-08-23T01:22:47.13" personId="{5D4D41AD-7733-4387-A7AD-49477465E587}" id="{EA73CDB3-C31B-48DA-907C-09195B7061D3}">
    <text xml:space="preserve">7,83 - membros </text>
  </threadedComment>
  <threadedComment ref="Q2" dT="2025-08-23T01:22:58.61" personId="{5D4D41AD-7733-4387-A7AD-49477465E587}" id="{EE640F97-F647-4652-961C-C8FDC93EFA33}">
    <text>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F5F5-8236-4D7A-9781-4285F75F61EE}">
  <dimension ref="A1:Y21"/>
  <sheetViews>
    <sheetView tabSelected="1" topLeftCell="L1" workbookViewId="0">
      <selection activeCell="X2" sqref="X2:Y21"/>
    </sheetView>
  </sheetViews>
  <sheetFormatPr defaultRowHeight="15" x14ac:dyDescent="0.25"/>
  <cols>
    <col min="1" max="1" width="47.28515625" bestFit="1" customWidth="1"/>
    <col min="4" max="4" width="26.28515625" bestFit="1" customWidth="1"/>
    <col min="5" max="5" width="21.85546875" bestFit="1" customWidth="1"/>
    <col min="6" max="6" width="20.5703125" bestFit="1" customWidth="1"/>
    <col min="7" max="7" width="20.5703125" customWidth="1"/>
    <col min="8" max="8" width="14.28515625" bestFit="1" customWidth="1"/>
    <col min="9" max="9" width="19.5703125" bestFit="1" customWidth="1"/>
    <col min="10" max="10" width="11" bestFit="1" customWidth="1"/>
    <col min="11" max="11" width="26.28515625" customWidth="1"/>
    <col min="12" max="12" width="9.28515625" bestFit="1" customWidth="1"/>
    <col min="13" max="13" width="14.28515625" bestFit="1" customWidth="1"/>
    <col min="14" max="14" width="9.28515625" bestFit="1" customWidth="1"/>
    <col min="15" max="15" width="16" bestFit="1" customWidth="1"/>
    <col min="16" max="16" width="17" bestFit="1" customWidth="1"/>
    <col min="17" max="17" width="9.7109375" bestFit="1" customWidth="1"/>
    <col min="18" max="18" width="16.85546875" bestFit="1" customWidth="1"/>
    <col min="19" max="19" width="17" bestFit="1" customWidth="1"/>
    <col min="20" max="20" width="16" bestFit="1" customWidth="1"/>
    <col min="21" max="21" width="15.85546875" bestFit="1" customWidth="1"/>
    <col min="22" max="23" width="17" bestFit="1" customWidth="1"/>
    <col min="24" max="24" width="16" bestFit="1" customWidth="1"/>
    <col min="25" max="25" width="15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9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25</v>
      </c>
      <c r="Y1" t="s">
        <v>26</v>
      </c>
    </row>
    <row r="2" spans="1:25" x14ac:dyDescent="0.25">
      <c r="A2" t="s">
        <v>5</v>
      </c>
      <c r="C2">
        <v>2015</v>
      </c>
      <c r="D2" s="1">
        <v>32589</v>
      </c>
      <c r="E2" s="1">
        <v>-14954</v>
      </c>
      <c r="F2" s="1">
        <v>-10702</v>
      </c>
      <c r="G2" s="1">
        <v>10393</v>
      </c>
      <c r="H2">
        <v>0</v>
      </c>
      <c r="I2" s="1">
        <v>11842</v>
      </c>
      <c r="J2" s="2">
        <v>0</v>
      </c>
      <c r="K2">
        <f>492452.62+85662.72</f>
        <v>578115.34</v>
      </c>
      <c r="L2" s="1">
        <v>0</v>
      </c>
      <c r="M2" s="1">
        <v>0</v>
      </c>
      <c r="N2" s="1">
        <v>0</v>
      </c>
      <c r="O2" s="1">
        <v>0</v>
      </c>
      <c r="P2" s="1">
        <v>578115.34</v>
      </c>
      <c r="Q2" s="1">
        <v>0</v>
      </c>
      <c r="R2">
        <f>4205588.9+862036.09+1466956.54</f>
        <v>6534581.5300000003</v>
      </c>
      <c r="S2" s="1">
        <v>0</v>
      </c>
      <c r="T2" s="1">
        <v>425998.04</v>
      </c>
      <c r="U2" s="1">
        <v>0</v>
      </c>
      <c r="V2" s="1">
        <v>0</v>
      </c>
      <c r="W2" s="1">
        <v>6960579.5700000003</v>
      </c>
      <c r="X2" s="1">
        <v>0</v>
      </c>
      <c r="Y2" s="1">
        <v>0</v>
      </c>
    </row>
    <row r="3" spans="1:25" x14ac:dyDescent="0.25">
      <c r="A3" t="s">
        <v>5</v>
      </c>
      <c r="C3">
        <v>2016</v>
      </c>
      <c r="D3" s="1">
        <v>60749</v>
      </c>
      <c r="E3" s="1">
        <v>3513</v>
      </c>
      <c r="F3" s="1">
        <v>19797</v>
      </c>
      <c r="G3" s="1">
        <v>8710</v>
      </c>
      <c r="H3">
        <v>458.3</v>
      </c>
      <c r="I3" s="1">
        <v>12768</v>
      </c>
      <c r="J3" s="2">
        <v>8.8000000000000007</v>
      </c>
      <c r="K3">
        <f>572144.5+100936.69</f>
        <v>673081.19</v>
      </c>
      <c r="L3" s="1">
        <v>0</v>
      </c>
      <c r="M3" s="1">
        <v>0</v>
      </c>
      <c r="N3" s="1">
        <v>0</v>
      </c>
      <c r="O3" s="1">
        <v>0</v>
      </c>
      <c r="P3" s="1">
        <v>673081.19</v>
      </c>
      <c r="Q3" s="1">
        <v>7</v>
      </c>
      <c r="R3">
        <f>4407718.45+963801.32+1595144.06</f>
        <v>6966663.8300000001</v>
      </c>
      <c r="S3" s="1">
        <v>0</v>
      </c>
      <c r="T3" s="1">
        <v>438757.65</v>
      </c>
      <c r="U3" s="1">
        <v>408873.12</v>
      </c>
      <c r="V3" s="1">
        <v>0</v>
      </c>
      <c r="W3" s="1">
        <v>7814294.5999999996</v>
      </c>
      <c r="X3" s="1">
        <f t="shared" ref="X3:X21" si="0">W3/Q3</f>
        <v>1116327.8</v>
      </c>
      <c r="Y3" s="1">
        <f t="shared" ref="Y3:Y21" si="1">P3/J3</f>
        <v>76486.498863636356</v>
      </c>
    </row>
    <row r="4" spans="1:25" x14ac:dyDescent="0.25">
      <c r="A4" t="s">
        <v>5</v>
      </c>
      <c r="C4">
        <v>2017</v>
      </c>
      <c r="D4" s="1">
        <v>29441</v>
      </c>
      <c r="E4" s="1">
        <v>-1726</v>
      </c>
      <c r="F4" s="1">
        <v>6744</v>
      </c>
      <c r="G4" s="1">
        <v>5213</v>
      </c>
      <c r="H4">
        <v>369.9</v>
      </c>
      <c r="I4" s="1">
        <v>10285</v>
      </c>
      <c r="J4" s="2">
        <v>10</v>
      </c>
      <c r="K4">
        <f>615179.39+123035.4</f>
        <v>738214.79</v>
      </c>
      <c r="L4" s="1">
        <v>0</v>
      </c>
      <c r="M4" s="1">
        <v>0</v>
      </c>
      <c r="N4" s="1">
        <v>0</v>
      </c>
      <c r="O4" s="1">
        <v>0</v>
      </c>
      <c r="P4" s="1">
        <v>738214.79</v>
      </c>
      <c r="Q4" s="1">
        <v>7</v>
      </c>
      <c r="R4">
        <f>4300987.91+1766897.84+1381867.32</f>
        <v>7449753.0700000003</v>
      </c>
      <c r="S4" s="1">
        <v>527296.69999999995</v>
      </c>
      <c r="T4" s="1">
        <v>667985.64</v>
      </c>
      <c r="U4" s="1">
        <v>2109186.7799999998</v>
      </c>
      <c r="V4" s="1">
        <v>0</v>
      </c>
      <c r="W4" s="1">
        <v>10754222.189999999</v>
      </c>
      <c r="X4" s="1">
        <f t="shared" si="0"/>
        <v>1536317.4557142856</v>
      </c>
      <c r="Y4" s="1">
        <f t="shared" si="1"/>
        <v>73821.479000000007</v>
      </c>
    </row>
    <row r="5" spans="1:25" x14ac:dyDescent="0.25">
      <c r="A5" t="s">
        <v>5</v>
      </c>
      <c r="C5">
        <v>2018</v>
      </c>
      <c r="D5" s="1">
        <v>24976</v>
      </c>
      <c r="E5" s="1">
        <v>13348</v>
      </c>
      <c r="F5" s="1">
        <v>19990</v>
      </c>
      <c r="G5" s="1">
        <v>4600</v>
      </c>
      <c r="H5">
        <v>1500</v>
      </c>
      <c r="I5" s="1">
        <v>9108</v>
      </c>
      <c r="J5" s="2">
        <v>8.08</v>
      </c>
      <c r="K5">
        <f>501168.73+87427.76</f>
        <v>588596.49</v>
      </c>
      <c r="L5" s="1">
        <v>0</v>
      </c>
      <c r="M5" s="1">
        <v>0</v>
      </c>
      <c r="N5" s="1">
        <v>0</v>
      </c>
      <c r="O5" s="1">
        <v>0</v>
      </c>
      <c r="P5" s="1">
        <v>588596.49</v>
      </c>
      <c r="Q5" s="1">
        <v>6.42</v>
      </c>
      <c r="R5">
        <f>3831100.47+951512.86+1339692.46</f>
        <v>6122305.79</v>
      </c>
      <c r="S5" s="1">
        <v>0</v>
      </c>
      <c r="T5" s="1">
        <v>626488.53</v>
      </c>
      <c r="U5" s="1">
        <v>199450.28</v>
      </c>
      <c r="V5" s="1">
        <v>0</v>
      </c>
      <c r="W5" s="1">
        <v>6948244.5999999996</v>
      </c>
      <c r="X5" s="1">
        <f t="shared" si="0"/>
        <v>1082281.0903426791</v>
      </c>
      <c r="Y5" s="1">
        <f t="shared" si="1"/>
        <v>72846.100247524751</v>
      </c>
    </row>
    <row r="6" spans="1:25" x14ac:dyDescent="0.25">
      <c r="A6" t="s">
        <v>5</v>
      </c>
      <c r="C6">
        <v>2019</v>
      </c>
      <c r="D6" s="1">
        <v>29714</v>
      </c>
      <c r="E6" s="1">
        <v>11133</v>
      </c>
      <c r="F6" s="1">
        <v>11474</v>
      </c>
      <c r="G6" s="1">
        <v>3328</v>
      </c>
      <c r="H6">
        <v>2540</v>
      </c>
      <c r="I6" s="1">
        <v>9850</v>
      </c>
      <c r="J6" s="2">
        <v>8</v>
      </c>
      <c r="K6">
        <f>522274.56+75076.88</f>
        <v>597351.43999999994</v>
      </c>
      <c r="L6" s="1">
        <v>0</v>
      </c>
      <c r="M6" s="1">
        <v>0</v>
      </c>
      <c r="N6" s="1">
        <v>0</v>
      </c>
      <c r="O6" s="1">
        <v>0</v>
      </c>
      <c r="P6" s="1">
        <v>597351.43999999994</v>
      </c>
      <c r="Q6" s="1">
        <v>5.67</v>
      </c>
      <c r="R6">
        <f>3118072.85+858710.53+978346.36</f>
        <v>4955129.74</v>
      </c>
      <c r="S6" s="1">
        <v>0</v>
      </c>
      <c r="T6" s="1">
        <v>453214.88900000002</v>
      </c>
      <c r="U6" s="1">
        <v>299175.42</v>
      </c>
      <c r="V6" s="1">
        <v>0</v>
      </c>
      <c r="W6" s="1">
        <v>5707520.0499999998</v>
      </c>
      <c r="X6" s="1">
        <f t="shared" si="0"/>
        <v>1006617.2927689594</v>
      </c>
      <c r="Y6" s="1">
        <f t="shared" si="1"/>
        <v>74668.929999999993</v>
      </c>
    </row>
    <row r="7" spans="1:25" x14ac:dyDescent="0.25">
      <c r="A7" t="s">
        <v>5</v>
      </c>
      <c r="C7">
        <v>2020</v>
      </c>
      <c r="D7" s="1">
        <v>29081</v>
      </c>
      <c r="E7" s="1">
        <v>6387</v>
      </c>
      <c r="F7" s="1">
        <v>10487</v>
      </c>
      <c r="G7" s="1">
        <v>3122</v>
      </c>
      <c r="H7">
        <v>2292</v>
      </c>
      <c r="I7" s="1">
        <v>9176</v>
      </c>
      <c r="J7" s="2">
        <v>8</v>
      </c>
      <c r="K7">
        <f>517922.28+64413.74</f>
        <v>582336.02</v>
      </c>
      <c r="L7" s="1">
        <v>0</v>
      </c>
      <c r="M7" s="1">
        <v>0</v>
      </c>
      <c r="N7" s="1">
        <v>0</v>
      </c>
      <c r="O7" s="1">
        <v>0</v>
      </c>
      <c r="P7" s="1">
        <v>582336.02</v>
      </c>
      <c r="Q7" s="1">
        <v>6</v>
      </c>
      <c r="R7">
        <f>3616698.55+631236.1+1236097.59</f>
        <v>5484032.2399999993</v>
      </c>
      <c r="S7" s="1">
        <v>0</v>
      </c>
      <c r="T7" s="1">
        <v>44333.11</v>
      </c>
      <c r="U7" s="1">
        <v>0</v>
      </c>
      <c r="V7" s="1">
        <v>382506.64</v>
      </c>
      <c r="W7" s="1">
        <v>6310871.9900000002</v>
      </c>
      <c r="X7" s="1">
        <f t="shared" si="0"/>
        <v>1051811.9983333333</v>
      </c>
      <c r="Y7" s="1">
        <f t="shared" si="1"/>
        <v>72792.002500000002</v>
      </c>
    </row>
    <row r="8" spans="1:25" x14ac:dyDescent="0.25">
      <c r="A8" t="s">
        <v>5</v>
      </c>
      <c r="C8">
        <v>2021</v>
      </c>
      <c r="D8" s="1">
        <v>34627</v>
      </c>
      <c r="E8" s="1">
        <v>5714</v>
      </c>
      <c r="F8" s="1">
        <v>13860</v>
      </c>
      <c r="G8" s="1">
        <v>4678</v>
      </c>
      <c r="H8">
        <v>1507</v>
      </c>
      <c r="I8" s="1">
        <v>7782</v>
      </c>
      <c r="J8" s="2">
        <v>7.75</v>
      </c>
      <c r="K8">
        <f>505953.68+91398.06</f>
        <v>597351.74</v>
      </c>
      <c r="L8" s="1">
        <v>0</v>
      </c>
      <c r="M8" s="1">
        <v>0</v>
      </c>
      <c r="N8" s="1">
        <v>0</v>
      </c>
      <c r="O8" s="1">
        <v>0</v>
      </c>
      <c r="P8" s="1">
        <v>597351.74</v>
      </c>
      <c r="Q8" s="1">
        <v>6.75</v>
      </c>
      <c r="R8">
        <f>4068785.85+1688953.71+1876519.56</f>
        <v>7634259.120000001</v>
      </c>
      <c r="S8" s="1">
        <v>0</v>
      </c>
      <c r="T8">
        <f>995576.1</f>
        <v>995576.1</v>
      </c>
      <c r="U8">
        <v>912485</v>
      </c>
      <c r="V8">
        <v>2116920</v>
      </c>
      <c r="W8" s="1">
        <v>11659240.779999999</v>
      </c>
      <c r="X8" s="1">
        <f t="shared" si="0"/>
        <v>1727294.9303703702</v>
      </c>
      <c r="Y8" s="1">
        <f t="shared" si="1"/>
        <v>77077.643870967746</v>
      </c>
    </row>
    <row r="9" spans="1:25" x14ac:dyDescent="0.25">
      <c r="A9" t="s">
        <v>5</v>
      </c>
      <c r="C9">
        <v>2022</v>
      </c>
      <c r="D9" s="1">
        <v>34074</v>
      </c>
      <c r="E9" s="1">
        <v>3638</v>
      </c>
      <c r="F9" s="1">
        <v>11398</v>
      </c>
      <c r="G9" s="1">
        <v>5639</v>
      </c>
      <c r="H9">
        <v>1449</v>
      </c>
      <c r="I9" s="1">
        <v>10028</v>
      </c>
      <c r="J9" s="2">
        <v>7</v>
      </c>
      <c r="K9" s="1">
        <v>459824.38</v>
      </c>
      <c r="L9" s="1">
        <v>0</v>
      </c>
      <c r="M9" s="1">
        <v>0</v>
      </c>
      <c r="N9" s="1">
        <v>0</v>
      </c>
      <c r="O9" s="1">
        <v>0</v>
      </c>
      <c r="P9" s="1">
        <v>459824.38</v>
      </c>
      <c r="Q9" s="1">
        <v>6.33</v>
      </c>
      <c r="R9" s="1">
        <f>4542661.99+723545.97</f>
        <v>5266207.96</v>
      </c>
      <c r="S9" s="1">
        <v>1671703.65</v>
      </c>
      <c r="T9" s="1">
        <v>764147.14</v>
      </c>
      <c r="U9" s="1">
        <v>0</v>
      </c>
      <c r="V9" s="1">
        <v>382939.69</v>
      </c>
      <c r="W9" s="1">
        <v>8084998.4400000004</v>
      </c>
      <c r="X9" s="1">
        <f t="shared" si="0"/>
        <v>1277250.9383886256</v>
      </c>
      <c r="Y9" s="1">
        <f t="shared" si="1"/>
        <v>65689.197142857141</v>
      </c>
    </row>
    <row r="10" spans="1:25" x14ac:dyDescent="0.25">
      <c r="A10" t="s">
        <v>5</v>
      </c>
      <c r="C10">
        <v>2023</v>
      </c>
      <c r="D10" s="1">
        <v>37159</v>
      </c>
      <c r="E10" s="1">
        <v>4395</v>
      </c>
      <c r="F10" s="1">
        <v>17020</v>
      </c>
      <c r="G10" s="1">
        <v>9018</v>
      </c>
      <c r="H10">
        <v>1300</v>
      </c>
      <c r="I10" s="1">
        <v>8183</v>
      </c>
      <c r="J10" s="2">
        <v>8.17</v>
      </c>
      <c r="K10" s="1">
        <f>6380498+1735486.14</f>
        <v>8115984.1399999997</v>
      </c>
      <c r="L10" s="1">
        <v>0</v>
      </c>
      <c r="M10" s="1">
        <v>0</v>
      </c>
      <c r="N10" s="1">
        <v>0</v>
      </c>
      <c r="O10" s="1">
        <v>3919728.12</v>
      </c>
      <c r="P10" s="1">
        <v>12035712.26</v>
      </c>
      <c r="Q10" s="1">
        <v>9.83</v>
      </c>
      <c r="R10" s="1">
        <f>14665902.31+2514359.88</f>
        <v>17180262.190000001</v>
      </c>
      <c r="S10" s="1">
        <v>35157652.990000002</v>
      </c>
      <c r="T10" s="1">
        <v>2036240.02</v>
      </c>
      <c r="U10" s="1">
        <v>550000</v>
      </c>
      <c r="V10" s="1">
        <v>24674254.649999999</v>
      </c>
      <c r="W10" s="1">
        <v>79598409.849999994</v>
      </c>
      <c r="X10" s="1">
        <f t="shared" si="0"/>
        <v>8097498.4587995922</v>
      </c>
      <c r="Y10" s="1">
        <f t="shared" si="1"/>
        <v>1473159.3953488371</v>
      </c>
    </row>
    <row r="11" spans="1:25" x14ac:dyDescent="0.25">
      <c r="A11" t="s">
        <v>5</v>
      </c>
      <c r="C11">
        <v>2024</v>
      </c>
      <c r="D11" s="1">
        <v>40182</v>
      </c>
      <c r="E11" s="1">
        <v>10381</v>
      </c>
      <c r="F11" s="1">
        <v>18900</v>
      </c>
      <c r="G11" s="1">
        <v>7709</v>
      </c>
      <c r="H11">
        <v>4000</v>
      </c>
      <c r="I11" s="1">
        <v>7593</v>
      </c>
      <c r="J11" s="2">
        <v>7</v>
      </c>
      <c r="K11" s="1">
        <f>7322000+99996+3919728</f>
        <v>11341724</v>
      </c>
      <c r="L11" s="1">
        <v>0</v>
      </c>
      <c r="M11" s="1">
        <v>0</v>
      </c>
      <c r="N11" s="1">
        <v>0</v>
      </c>
      <c r="O11" s="1">
        <v>3919728</v>
      </c>
      <c r="P11" s="1">
        <v>11341724.130000001</v>
      </c>
      <c r="Q11" s="1">
        <v>11.75</v>
      </c>
      <c r="R11" s="1">
        <f>17985833.34+1222175.71</f>
        <v>19208009.050000001</v>
      </c>
      <c r="S11" s="1">
        <v>25194362.5</v>
      </c>
      <c r="T11" s="1">
        <v>1984810.87</v>
      </c>
      <c r="U11" s="1">
        <v>770000</v>
      </c>
      <c r="V11" s="1">
        <v>13899869.17</v>
      </c>
      <c r="W11" s="1">
        <v>61057051.590000004</v>
      </c>
      <c r="X11" s="1">
        <f t="shared" si="0"/>
        <v>5196344.8161702128</v>
      </c>
      <c r="Y11" s="1">
        <f t="shared" si="1"/>
        <v>1620246.3042857144</v>
      </c>
    </row>
    <row r="12" spans="1:25" x14ac:dyDescent="0.25">
      <c r="A12" t="s">
        <v>24</v>
      </c>
      <c r="C12">
        <v>2015</v>
      </c>
      <c r="D12" s="1">
        <v>21898</v>
      </c>
      <c r="E12" s="1">
        <v>2469</v>
      </c>
      <c r="F12" s="1">
        <v>5538</v>
      </c>
      <c r="G12" s="1">
        <v>9745</v>
      </c>
      <c r="H12" s="1">
        <v>190</v>
      </c>
      <c r="I12" s="1">
        <v>1457</v>
      </c>
      <c r="J12" s="3">
        <v>0</v>
      </c>
      <c r="K12">
        <f>1256146.05+159459+251701.46</f>
        <v>1667306.51</v>
      </c>
      <c r="L12">
        <f>1256146.05+251701.46</f>
        <v>1507847.51</v>
      </c>
      <c r="M12" s="1">
        <v>35491.65</v>
      </c>
      <c r="N12" s="1">
        <v>0</v>
      </c>
      <c r="O12" s="1">
        <v>0</v>
      </c>
      <c r="P12" s="1">
        <v>3210645.67</v>
      </c>
      <c r="Q12" s="1">
        <v>0</v>
      </c>
      <c r="R12">
        <f>4309521.56+1505050.75+3221071.1</f>
        <v>9035643.4100000001</v>
      </c>
      <c r="S12">
        <f>1597303.4</f>
        <v>1597303.4</v>
      </c>
      <c r="T12" s="1">
        <v>737587.08</v>
      </c>
      <c r="U12" s="1">
        <v>0</v>
      </c>
      <c r="V12" s="1">
        <v>0</v>
      </c>
      <c r="W12" s="1">
        <v>11370533.890000001</v>
      </c>
      <c r="X12" s="1">
        <v>0</v>
      </c>
      <c r="Y12" s="1">
        <v>0</v>
      </c>
    </row>
    <row r="13" spans="1:25" x14ac:dyDescent="0.25">
      <c r="A13" t="s">
        <v>24</v>
      </c>
      <c r="C13">
        <v>2016</v>
      </c>
      <c r="D13" s="1">
        <v>18773</v>
      </c>
      <c r="E13" s="1">
        <v>335</v>
      </c>
      <c r="F13" s="1">
        <v>2638</v>
      </c>
      <c r="G13" s="1">
        <v>8753</v>
      </c>
      <c r="H13" s="1">
        <v>0</v>
      </c>
      <c r="I13" s="1">
        <v>1578</v>
      </c>
      <c r="J13" s="3">
        <v>0</v>
      </c>
      <c r="K13">
        <f>1747322.64+73584+349464.53</f>
        <v>2170371.17</v>
      </c>
      <c r="L13">
        <f>1747322.64+349464.53</f>
        <v>2096787.17</v>
      </c>
      <c r="M13" s="1">
        <v>35491.65</v>
      </c>
      <c r="N13" s="1">
        <v>0</v>
      </c>
      <c r="O13" s="1">
        <v>0</v>
      </c>
      <c r="P13" s="1">
        <v>4302649.99</v>
      </c>
      <c r="Q13" s="1">
        <v>0</v>
      </c>
      <c r="R13">
        <f>5084804.28+1374313.86+2032240.25</f>
        <v>8491358.3900000006</v>
      </c>
      <c r="S13" s="1">
        <v>3219125.45</v>
      </c>
      <c r="T13" s="1">
        <v>985913.14</v>
      </c>
      <c r="U13" s="1">
        <v>0</v>
      </c>
      <c r="V13" s="1">
        <v>0</v>
      </c>
      <c r="W13" s="1">
        <v>12696396.68</v>
      </c>
      <c r="X13" s="1">
        <v>0</v>
      </c>
      <c r="Y13" s="1">
        <v>0</v>
      </c>
    </row>
    <row r="14" spans="1:25" x14ac:dyDescent="0.25">
      <c r="A14" t="s">
        <v>24</v>
      </c>
      <c r="C14">
        <v>2017</v>
      </c>
      <c r="D14" s="1">
        <v>25390</v>
      </c>
      <c r="E14" s="1">
        <v>1002</v>
      </c>
      <c r="F14" s="1">
        <v>3492</v>
      </c>
      <c r="G14" s="1">
        <v>7792</v>
      </c>
      <c r="H14" s="1">
        <v>0</v>
      </c>
      <c r="I14" s="1">
        <v>1603</v>
      </c>
      <c r="J14" s="3">
        <v>25</v>
      </c>
      <c r="K14">
        <f>3717862.93+73565.98+747284.12</f>
        <v>4538713.03</v>
      </c>
      <c r="L14">
        <f>929465.73+186821.03</f>
        <v>1116286.76</v>
      </c>
      <c r="M14" s="1">
        <v>174486.63</v>
      </c>
      <c r="N14" s="1">
        <v>0</v>
      </c>
      <c r="O14" s="1">
        <v>0</v>
      </c>
      <c r="P14" s="1">
        <v>5829486.4199999999</v>
      </c>
      <c r="Q14" s="1">
        <v>9.17</v>
      </c>
      <c r="R14">
        <f>6484108.94+1847753.74+2507156.46</f>
        <v>10839019.140000001</v>
      </c>
      <c r="S14" s="1">
        <v>354466.27</v>
      </c>
      <c r="T14" s="1">
        <v>1050113.6499999999</v>
      </c>
      <c r="U14" s="1">
        <v>0</v>
      </c>
      <c r="V14" s="1">
        <v>0</v>
      </c>
      <c r="W14" s="1">
        <v>12243599.060000001</v>
      </c>
      <c r="X14" s="1">
        <f t="shared" si="0"/>
        <v>1335179.8320610689</v>
      </c>
      <c r="Y14" s="1">
        <f t="shared" si="1"/>
        <v>233179.45679999999</v>
      </c>
    </row>
    <row r="15" spans="1:25" x14ac:dyDescent="0.25">
      <c r="A15" t="s">
        <v>24</v>
      </c>
      <c r="C15">
        <v>2018</v>
      </c>
      <c r="D15" s="1">
        <v>22266</v>
      </c>
      <c r="E15" s="1">
        <v>1742</v>
      </c>
      <c r="F15" s="1">
        <v>3781</v>
      </c>
      <c r="G15" s="1">
        <v>5235</v>
      </c>
      <c r="H15" s="1">
        <v>282</v>
      </c>
      <c r="I15" s="1">
        <v>1610</v>
      </c>
      <c r="J15" s="3">
        <v>17</v>
      </c>
      <c r="K15">
        <f>2994419.05+66976.61+598883.73</f>
        <v>3660279.3899999997</v>
      </c>
      <c r="L15">
        <f>748604.76+149720.93</f>
        <v>898325.69</v>
      </c>
      <c r="M15">
        <v>173845.57</v>
      </c>
      <c r="N15">
        <v>0</v>
      </c>
      <c r="O15">
        <v>0</v>
      </c>
      <c r="P15">
        <v>4732450.6500000004</v>
      </c>
      <c r="Q15">
        <v>11</v>
      </c>
      <c r="R15">
        <f>8323992.82+1680573.33+3727114.63</f>
        <v>13731680.780000001</v>
      </c>
      <c r="S15">
        <f>3654718.14</f>
        <v>3654718.14</v>
      </c>
      <c r="T15">
        <v>1689609.67</v>
      </c>
      <c r="U15">
        <v>0</v>
      </c>
      <c r="V15">
        <v>0</v>
      </c>
      <c r="W15" s="1">
        <v>19076008.59</v>
      </c>
      <c r="X15" s="1">
        <f t="shared" si="0"/>
        <v>1734182.5990909091</v>
      </c>
      <c r="Y15" s="1">
        <f t="shared" si="1"/>
        <v>278379.45</v>
      </c>
    </row>
    <row r="16" spans="1:25" x14ac:dyDescent="0.25">
      <c r="A16" t="s">
        <v>24</v>
      </c>
      <c r="C16">
        <v>2019</v>
      </c>
      <c r="D16" s="1">
        <v>25487</v>
      </c>
      <c r="E16" s="1">
        <v>3128</v>
      </c>
      <c r="F16" s="1">
        <v>4392</v>
      </c>
      <c r="G16" s="1">
        <v>5400</v>
      </c>
      <c r="H16" s="1">
        <v>860</v>
      </c>
      <c r="I16" s="1">
        <v>1692</v>
      </c>
      <c r="J16" s="3">
        <v>8.5</v>
      </c>
      <c r="K16">
        <f>1629536.79+35382.87+325907.35</f>
        <v>1990827.0100000002</v>
      </c>
      <c r="L16">
        <f>407384.2+81476.84</f>
        <v>488861.04000000004</v>
      </c>
      <c r="M16">
        <v>65067.94</v>
      </c>
      <c r="N16">
        <v>0</v>
      </c>
      <c r="O16">
        <v>0</v>
      </c>
      <c r="P16">
        <v>2544755.9900000002</v>
      </c>
      <c r="Q16">
        <v>6.67</v>
      </c>
      <c r="R16">
        <f>5405100.05+1825852.2+3692718.75</f>
        <v>10923671</v>
      </c>
      <c r="S16">
        <f>4663349.23</f>
        <v>4663349.2300000004</v>
      </c>
      <c r="T16">
        <v>1256015.3500000001</v>
      </c>
      <c r="U16">
        <v>0</v>
      </c>
      <c r="V16">
        <v>0</v>
      </c>
      <c r="W16" s="1">
        <v>16843035.579999998</v>
      </c>
      <c r="X16" s="1">
        <f t="shared" si="0"/>
        <v>2525192.7406296851</v>
      </c>
      <c r="Y16" s="1">
        <f t="shared" si="1"/>
        <v>299383.05764705886</v>
      </c>
    </row>
    <row r="17" spans="1:25" x14ac:dyDescent="0.25">
      <c r="A17" t="s">
        <v>24</v>
      </c>
      <c r="C17">
        <v>2020</v>
      </c>
      <c r="D17" s="1">
        <v>25228</v>
      </c>
      <c r="E17" s="1">
        <v>3194</v>
      </c>
      <c r="F17" s="1">
        <v>5694</v>
      </c>
      <c r="G17" s="1">
        <v>5415</v>
      </c>
      <c r="H17" s="1">
        <v>348</v>
      </c>
      <c r="I17" s="1">
        <v>1722</v>
      </c>
      <c r="J17" s="3">
        <v>9</v>
      </c>
      <c r="K17">
        <f>1871971.84+34264.08+374394.37</f>
        <v>2280630.29</v>
      </c>
      <c r="L17">
        <f>467992.96+93598.59</f>
        <v>561591.55000000005</v>
      </c>
      <c r="M17">
        <v>277814.49</v>
      </c>
      <c r="N17">
        <v>0</v>
      </c>
      <c r="O17">
        <v>0</v>
      </c>
      <c r="P17">
        <v>3120036.33</v>
      </c>
      <c r="Q17">
        <v>7</v>
      </c>
      <c r="R17">
        <f>5943376+1163747.31+2910138.46</f>
        <v>10017261.77</v>
      </c>
      <c r="S17">
        <v>3569475.5</v>
      </c>
      <c r="T17">
        <v>1163751.08</v>
      </c>
      <c r="U17">
        <v>0</v>
      </c>
      <c r="V17">
        <v>0</v>
      </c>
      <c r="W17" s="1">
        <v>14750488.35</v>
      </c>
      <c r="X17" s="1">
        <f t="shared" si="0"/>
        <v>2107212.6214285712</v>
      </c>
      <c r="Y17" s="1">
        <f t="shared" si="1"/>
        <v>346670.70333333337</v>
      </c>
    </row>
    <row r="18" spans="1:25" x14ac:dyDescent="0.25">
      <c r="A18" t="s">
        <v>24</v>
      </c>
      <c r="C18">
        <v>2021</v>
      </c>
      <c r="D18" s="1">
        <v>33646</v>
      </c>
      <c r="E18" s="1">
        <v>2864</v>
      </c>
      <c r="F18" s="1">
        <v>4392</v>
      </c>
      <c r="G18" s="1">
        <v>5105</v>
      </c>
      <c r="H18" s="1">
        <v>911</v>
      </c>
      <c r="I18" s="1">
        <v>1941</v>
      </c>
      <c r="J18" s="3">
        <v>8</v>
      </c>
      <c r="K18">
        <f>1972385.62+32526.3</f>
        <v>2004911.9200000002</v>
      </c>
      <c r="L18">
        <v>0</v>
      </c>
      <c r="M18">
        <v>48075.360000000001</v>
      </c>
      <c r="N18">
        <v>0</v>
      </c>
      <c r="O18">
        <v>0</v>
      </c>
      <c r="P18">
        <v>2052987.28</v>
      </c>
      <c r="Q18">
        <v>7</v>
      </c>
      <c r="R18">
        <f>5797244.28+1471350.28</f>
        <v>7268594.5600000005</v>
      </c>
      <c r="S18">
        <v>3863714</v>
      </c>
      <c r="T18">
        <v>1465322.86</v>
      </c>
      <c r="U18">
        <v>0</v>
      </c>
      <c r="V18">
        <v>0</v>
      </c>
      <c r="W18" s="1">
        <v>12597631.42</v>
      </c>
      <c r="X18" s="1">
        <f t="shared" si="0"/>
        <v>1799661.6314285714</v>
      </c>
      <c r="Y18" s="1">
        <f t="shared" si="1"/>
        <v>256623.41</v>
      </c>
    </row>
    <row r="19" spans="1:25" x14ac:dyDescent="0.25">
      <c r="A19" t="s">
        <v>24</v>
      </c>
      <c r="C19">
        <v>2022</v>
      </c>
      <c r="D19" s="1">
        <v>34463</v>
      </c>
      <c r="E19" s="1">
        <v>4094</v>
      </c>
      <c r="F19" s="1">
        <v>5567</v>
      </c>
      <c r="G19" s="1">
        <v>5105</v>
      </c>
      <c r="H19" s="1">
        <v>576</v>
      </c>
      <c r="I19" s="1">
        <v>3025</v>
      </c>
      <c r="J19" s="3">
        <v>10</v>
      </c>
      <c r="K19">
        <f>2690654.73+25239.74</f>
        <v>2715894.47</v>
      </c>
      <c r="L19">
        <v>0</v>
      </c>
      <c r="M19">
        <v>84581.66</v>
      </c>
      <c r="N19">
        <v>0</v>
      </c>
      <c r="O19">
        <v>0</v>
      </c>
      <c r="P19">
        <v>2800476.13</v>
      </c>
      <c r="Q19">
        <v>7</v>
      </c>
      <c r="R19">
        <f>6270837.8+1569926.98</f>
        <v>7840764.7799999993</v>
      </c>
      <c r="S19">
        <v>4252420</v>
      </c>
      <c r="T19">
        <v>1578033.88</v>
      </c>
      <c r="U19">
        <v>0</v>
      </c>
      <c r="V19">
        <v>0</v>
      </c>
      <c r="W19" s="1">
        <v>13671218.66</v>
      </c>
      <c r="X19" s="1">
        <f t="shared" si="0"/>
        <v>1953031.2371428572</v>
      </c>
      <c r="Y19" s="1">
        <f t="shared" si="1"/>
        <v>280047.61300000001</v>
      </c>
    </row>
    <row r="20" spans="1:25" x14ac:dyDescent="0.25">
      <c r="A20" t="s">
        <v>24</v>
      </c>
      <c r="C20">
        <v>2023</v>
      </c>
      <c r="D20" s="1">
        <v>36850</v>
      </c>
      <c r="E20" s="1">
        <v>5767</v>
      </c>
      <c r="F20" s="1">
        <v>8504</v>
      </c>
      <c r="G20" s="1">
        <v>4631</v>
      </c>
      <c r="H20" s="1">
        <v>906</v>
      </c>
      <c r="I20" s="1">
        <v>3277</v>
      </c>
      <c r="J20" s="3">
        <v>11</v>
      </c>
      <c r="K20">
        <f>3176932+10519.08</f>
        <v>3187451.08</v>
      </c>
      <c r="L20">
        <v>0</v>
      </c>
      <c r="M20">
        <v>130397.2</v>
      </c>
      <c r="N20">
        <v>0</v>
      </c>
      <c r="O20">
        <v>0</v>
      </c>
      <c r="P20">
        <v>3317848.28</v>
      </c>
      <c r="Q20">
        <v>7</v>
      </c>
      <c r="R20">
        <f>6826901.95+1413649.59</f>
        <v>8240551.54</v>
      </c>
      <c r="S20">
        <v>4252420</v>
      </c>
      <c r="T20">
        <v>1716537.29</v>
      </c>
      <c r="U20">
        <v>0</v>
      </c>
      <c r="V20">
        <v>0</v>
      </c>
      <c r="W20" s="1">
        <v>14209508.83</v>
      </c>
      <c r="X20" s="1">
        <f t="shared" si="0"/>
        <v>2029929.8328571429</v>
      </c>
      <c r="Y20" s="1">
        <f t="shared" si="1"/>
        <v>301622.57090909086</v>
      </c>
    </row>
    <row r="21" spans="1:25" x14ac:dyDescent="0.25">
      <c r="A21" t="s">
        <v>24</v>
      </c>
      <c r="C21">
        <v>2024</v>
      </c>
      <c r="D21" s="1">
        <v>39820</v>
      </c>
      <c r="E21" s="1">
        <v>7119</v>
      </c>
      <c r="F21" s="1">
        <v>11254</v>
      </c>
      <c r="G21" s="1">
        <v>3221</v>
      </c>
      <c r="H21" s="1">
        <v>1214</v>
      </c>
      <c r="I21" s="1">
        <v>3277</v>
      </c>
      <c r="J21" s="2">
        <v>9</v>
      </c>
      <c r="K21">
        <f>3237348+10516.44</f>
        <v>3247864.44</v>
      </c>
      <c r="L21" s="1">
        <v>0</v>
      </c>
      <c r="M21">
        <v>377694.22</v>
      </c>
      <c r="N21" s="1">
        <v>0</v>
      </c>
      <c r="O21">
        <v>0</v>
      </c>
      <c r="P21" s="1">
        <v>3625558.66</v>
      </c>
      <c r="Q21">
        <v>7</v>
      </c>
      <c r="R21">
        <f>7540008+1479896.94</f>
        <v>9019904.9399999995</v>
      </c>
      <c r="S21">
        <v>5435264</v>
      </c>
      <c r="T21">
        <v>1189647.03</v>
      </c>
      <c r="U21">
        <v>0</v>
      </c>
      <c r="V21">
        <v>0</v>
      </c>
      <c r="W21" s="1">
        <v>15644815.970000001</v>
      </c>
      <c r="X21" s="1">
        <f t="shared" si="0"/>
        <v>2234973.71</v>
      </c>
      <c r="Y21" s="1">
        <f t="shared" si="1"/>
        <v>402839.85111111111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Araujo</dc:creator>
  <cp:lastModifiedBy>Victor Araujo</cp:lastModifiedBy>
  <dcterms:created xsi:type="dcterms:W3CDTF">2025-08-21T17:12:59Z</dcterms:created>
  <dcterms:modified xsi:type="dcterms:W3CDTF">2025-08-27T21:21:00Z</dcterms:modified>
</cp:coreProperties>
</file>