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nd\Desktop\AD 571\Ass -5\"/>
    </mc:Choice>
  </mc:AlternateContent>
  <xr:revisionPtr revIDLastSave="0" documentId="13_ncr:1_{20C116FC-E117-4334-BEF8-8C1FC7FE6CC4}" xr6:coauthVersionLast="47" xr6:coauthVersionMax="47" xr10:uidLastSave="{00000000-0000-0000-0000-000000000000}"/>
  <bookViews>
    <workbookView xWindow="-108" yWindow="-108" windowWidth="23256" windowHeight="12456" xr2:uid="{53C869D0-6CAB-4048-BB0A-B6BFB7D03167}"/>
  </bookViews>
  <sheets>
    <sheet name="Sheet2" sheetId="2" r:id="rId1"/>
  </sheets>
  <definedNames>
    <definedName name="solver_adj" localSheetId="0" hidden="1">Sheet2!$F$43:$F$44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Sheet2!$F$43</definedName>
    <definedName name="solver_lhs2" localSheetId="0" hidden="1">Sheet2!$F$48</definedName>
    <definedName name="solver_lhs3" localSheetId="0" hidden="1">Sheet2!$F$48</definedName>
    <definedName name="solver_lhs4" localSheetId="0" hidden="1">Sheet2!$F$51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Sheet2!$F$53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Sheet2!$F$37</definedName>
    <definedName name="solver_rhs2" localSheetId="0" hidden="1">Sheet2!$F$39</definedName>
    <definedName name="solver_rhs3" localSheetId="0" hidden="1">Sheet2!$F$38</definedName>
    <definedName name="solver_rhs4" localSheetId="0" hidden="1">Sheet2!$F$36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2" l="1"/>
  <c r="F49" i="2"/>
  <c r="F48" i="2"/>
  <c r="F51" i="2" l="1"/>
  <c r="O10" i="2"/>
  <c r="E9" i="2" s="1"/>
  <c r="XFD1048575" i="2" a="1"/>
  <c r="XFD1048575" i="2" s="1"/>
  <c r="XFD1048574" i="2" a="1"/>
  <c r="XFD1048574" i="2" s="1"/>
  <c r="XFD1048573" i="2" a="1"/>
  <c r="XFD1048573" i="2" s="1"/>
  <c r="XFD1048572" i="2"/>
  <c r="XFD1048572" i="2" a="1"/>
  <c r="XFD1048571" i="2" a="1"/>
  <c r="XFD1048571" i="2" s="1"/>
  <c r="XFD1048570" i="2" a="1"/>
  <c r="XFD1048570" i="2" s="1"/>
  <c r="XFD1048569" i="2"/>
  <c r="XFD1048569" i="2" a="1"/>
  <c r="XFD1048568" i="2"/>
  <c r="XFD1048568" i="2" a="1"/>
  <c r="XFD1048567" i="2"/>
  <c r="XFD1048567" i="2" a="1"/>
  <c r="XFD1048566" i="2"/>
  <c r="XFD1048566" i="2" a="1"/>
  <c r="XFD1048565" i="2"/>
  <c r="XFD1048565" i="2" a="1"/>
  <c r="XFD1048564" i="2"/>
  <c r="XFD1048564" i="2" a="1"/>
  <c r="XFD1048563" i="2"/>
  <c r="XFD1048563" i="2" a="1"/>
  <c r="XFD1048562" i="2"/>
  <c r="XFD1048562" i="2" a="1"/>
  <c r="XFD1048561" i="2"/>
  <c r="XFD1048561" i="2" a="1"/>
  <c r="XFD1048560" i="2"/>
  <c r="XFD1048560" i="2" a="1"/>
  <c r="XFD1048559" i="2"/>
  <c r="XFD1048559" i="2" a="1"/>
  <c r="XFD1048558" i="2"/>
  <c r="XFD1048558" i="2" a="1"/>
  <c r="XFD1048557" i="2"/>
  <c r="XFD1048557" i="2" a="1"/>
  <c r="XFD1048556" i="2"/>
  <c r="XFD1048556" i="2" a="1"/>
  <c r="XFD1048555" i="2"/>
  <c r="XFD1048555" i="2" a="1"/>
  <c r="XFD1048554" i="2"/>
  <c r="XFD1048554" i="2" a="1"/>
  <c r="XFD1048553" i="2"/>
  <c r="XFD1048553" i="2" a="1"/>
  <c r="XFD1048552" i="2"/>
  <c r="XFD1048552" i="2" a="1"/>
  <c r="XFD1048551" i="2"/>
  <c r="XFD1048551" i="2" a="1"/>
  <c r="XFD1048550" i="2"/>
  <c r="XFD1048550" i="2" a="1"/>
  <c r="O11" i="2"/>
  <c r="G16" i="2" l="1"/>
  <c r="G13" i="2"/>
  <c r="G10" i="2"/>
  <c r="G11" i="2"/>
  <c r="G15" i="2"/>
  <c r="G12" i="2"/>
  <c r="G9" i="2"/>
  <c r="G14" i="2"/>
  <c r="E14" i="2"/>
  <c r="F14" i="2" s="1"/>
  <c r="E11" i="2"/>
  <c r="F11" i="2" s="1"/>
  <c r="E16" i="2"/>
  <c r="F16" i="2" s="1"/>
  <c r="E13" i="2"/>
  <c r="F13" i="2" s="1"/>
  <c r="E10" i="2"/>
  <c r="F10" i="2" s="1"/>
  <c r="E15" i="2"/>
  <c r="F15" i="2" s="1"/>
  <c r="E12" i="2"/>
  <c r="F12" i="2" s="1"/>
  <c r="F9" i="2"/>
  <c r="F52" i="2" l="1"/>
  <c r="F50" i="2"/>
  <c r="F17" i="2"/>
  <c r="H16" i="2"/>
  <c r="H13" i="2"/>
  <c r="H14" i="2"/>
  <c r="H11" i="2"/>
  <c r="G17" i="2"/>
  <c r="H9" i="2"/>
  <c r="H12" i="2"/>
  <c r="H15" i="2"/>
  <c r="H10" i="2"/>
  <c r="H17" i="2" l="1"/>
  <c r="F53" i="2"/>
</calcChain>
</file>

<file path=xl/sharedStrings.xml><?xml version="1.0" encoding="utf-8"?>
<sst xmlns="http://schemas.openxmlformats.org/spreadsheetml/2006/main" count="54" uniqueCount="48">
  <si>
    <t xml:space="preserve">Assignment 5 - AD 571: Business Analytics Foundation </t>
  </si>
  <si>
    <t xml:space="preserve">Step 1: </t>
  </si>
  <si>
    <t xml:space="preserve">Sales Projection for Next Eight Quarters </t>
  </si>
  <si>
    <t>Year</t>
  </si>
  <si>
    <t>Quarter</t>
  </si>
  <si>
    <t xml:space="preserve">Total Sales </t>
  </si>
  <si>
    <t xml:space="preserve">Market Penetration </t>
  </si>
  <si>
    <t xml:space="preserve">Revenue </t>
  </si>
  <si>
    <t>Cost</t>
  </si>
  <si>
    <t xml:space="preserve">Profit </t>
  </si>
  <si>
    <t>Q1</t>
  </si>
  <si>
    <t xml:space="preserve">Note: </t>
  </si>
  <si>
    <t>Q2</t>
  </si>
  <si>
    <t>Market Penetration (from step 5)</t>
  </si>
  <si>
    <t>Q3</t>
  </si>
  <si>
    <t>Commission Rate (from step 4)</t>
  </si>
  <si>
    <t>Q4</t>
  </si>
  <si>
    <t xml:space="preserve">Step 2: </t>
  </si>
  <si>
    <t xml:space="preserve">Information Pertaining to Objective Function </t>
  </si>
  <si>
    <t xml:space="preserve">Base for Market Penetration </t>
  </si>
  <si>
    <t xml:space="preserve">Base Commission Rate </t>
  </si>
  <si>
    <t xml:space="preserve">Decrease in Commission </t>
  </si>
  <si>
    <t>Increase in Market Penetration by</t>
  </si>
  <si>
    <t>Monthly Rent per Sqft.</t>
  </si>
  <si>
    <t>Base Sqft.</t>
  </si>
  <si>
    <t>Increase in No. of Employees by</t>
  </si>
  <si>
    <t>Increase in Base Sqft by</t>
  </si>
  <si>
    <t>Monthly Salary per Employee</t>
  </si>
  <si>
    <t xml:space="preserve">Miscellaneous Expenditure (Monthly) </t>
  </si>
  <si>
    <t>Step 3:</t>
  </si>
  <si>
    <t xml:space="preserve">Defining Constraints </t>
  </si>
  <si>
    <t xml:space="preserve">Monthly Budget </t>
  </si>
  <si>
    <t xml:space="preserve">Maximum No. of Employees </t>
  </si>
  <si>
    <t xml:space="preserve">Minimum Market Penetration </t>
  </si>
  <si>
    <t xml:space="preserve">Maximum Market Penetration </t>
  </si>
  <si>
    <t xml:space="preserve">Step 4: </t>
  </si>
  <si>
    <t xml:space="preserve">Determining the Decision Variables </t>
  </si>
  <si>
    <t xml:space="preserve">Number of Employees </t>
  </si>
  <si>
    <t xml:space="preserve">Commission Rate </t>
  </si>
  <si>
    <t xml:space="preserve">Step 5: </t>
  </si>
  <si>
    <t xml:space="preserve">Determining the Objective Function </t>
  </si>
  <si>
    <t xml:space="preserve">Office Space per Sqft. </t>
  </si>
  <si>
    <t>Net Present Value (NPV) Revenue (Quarterly)</t>
  </si>
  <si>
    <t xml:space="preserve">Monthly Cost </t>
  </si>
  <si>
    <t xml:space="preserve">NPV Cost (Quarterly) </t>
  </si>
  <si>
    <t xml:space="preserve">NPV Profit (Quarterly) </t>
  </si>
  <si>
    <t xml:space="preserve"> Modelling for Sunset park </t>
  </si>
  <si>
    <t>Monthy Marketing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</si>
</sst>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$-409]#,##0.00"/>
    <numFmt numFmtId="165" formatCode="_([$$-409]* #,##0.00_);_([$$-409]* \(#,##0.00\);_([$$-409]* &quot;-&quot;??_);_(@_)"/>
    <numFmt numFmtId="166" formatCode="\$#,##0.00_);[Red]\(&quot;₹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13" xfId="0" applyNumberFormat="1" applyBorder="1"/>
    <xf numFmtId="10" fontId="0" fillId="0" borderId="16" xfId="0" applyNumberFormat="1" applyBorder="1"/>
    <xf numFmtId="0" fontId="0" fillId="0" borderId="17" xfId="0" applyBorder="1" applyAlignment="1">
      <alignment horizontal="left"/>
    </xf>
    <xf numFmtId="0" fontId="0" fillId="0" borderId="18" xfId="0" applyBorder="1"/>
    <xf numFmtId="165" fontId="0" fillId="0" borderId="19" xfId="0" applyNumberFormat="1" applyBorder="1"/>
    <xf numFmtId="10" fontId="0" fillId="0" borderId="26" xfId="0" applyNumberFormat="1" applyBorder="1"/>
    <xf numFmtId="10" fontId="0" fillId="0" borderId="0" xfId="0" applyNumberFormat="1"/>
    <xf numFmtId="9" fontId="0" fillId="0" borderId="6" xfId="0" applyNumberFormat="1" applyBorder="1"/>
    <xf numFmtId="9" fontId="0" fillId="0" borderId="0" xfId="0" applyNumberFormat="1"/>
    <xf numFmtId="10" fontId="0" fillId="0" borderId="6" xfId="0" applyNumberFormat="1" applyBorder="1"/>
    <xf numFmtId="164" fontId="0" fillId="0" borderId="0" xfId="0" applyNumberFormat="1"/>
    <xf numFmtId="0" fontId="0" fillId="0" borderId="6" xfId="0" applyBorder="1"/>
    <xf numFmtId="164" fontId="0" fillId="0" borderId="31" xfId="0" applyNumberFormat="1" applyBorder="1"/>
    <xf numFmtId="164" fontId="0" fillId="0" borderId="26" xfId="0" applyNumberFormat="1" applyBorder="1"/>
    <xf numFmtId="9" fontId="0" fillId="0" borderId="31" xfId="0" applyNumberFormat="1" applyBorder="1"/>
    <xf numFmtId="2" fontId="0" fillId="0" borderId="6" xfId="1" applyNumberFormat="1" applyFont="1" applyBorder="1" applyAlignment="1"/>
    <xf numFmtId="2" fontId="0" fillId="0" borderId="0" xfId="1" applyNumberFormat="1" applyFont="1" applyBorder="1" applyAlignment="1"/>
    <xf numFmtId="2" fontId="0" fillId="0" borderId="6" xfId="0" applyNumberFormat="1" applyBorder="1"/>
    <xf numFmtId="2" fontId="0" fillId="0" borderId="0" xfId="0" applyNumberFormat="1"/>
    <xf numFmtId="166" fontId="0" fillId="3" borderId="22" xfId="0" applyNumberFormat="1" applyFill="1" applyBorder="1"/>
    <xf numFmtId="165" fontId="0" fillId="3" borderId="21" xfId="0" applyNumberFormat="1" applyFill="1" applyBorder="1"/>
    <xf numFmtId="165" fontId="0" fillId="3" borderId="20" xfId="0" applyNumberFormat="1" applyFill="1" applyBorder="1"/>
    <xf numFmtId="2" fontId="0" fillId="6" borderId="31" xfId="0" applyNumberFormat="1" applyFill="1" applyBorder="1"/>
    <xf numFmtId="10" fontId="0" fillId="7" borderId="31" xfId="0" applyNumberFormat="1" applyFill="1" applyBorder="1"/>
    <xf numFmtId="0" fontId="0" fillId="7" borderId="26" xfId="0" applyFill="1" applyBorder="1"/>
    <xf numFmtId="0" fontId="2" fillId="0" borderId="2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" borderId="0" xfId="0" applyFill="1" applyAlignment="1">
      <alignment horizontal="center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8941-8D6E-43CE-A8DB-D655DFD215A0}">
  <dimension ref="B2:XFD1048575"/>
  <sheetViews>
    <sheetView tabSelected="1" workbookViewId="0">
      <selection activeCell="F29" sqref="F29"/>
    </sheetView>
  </sheetViews>
  <sheetFormatPr defaultColWidth="12.44140625" defaultRowHeight="14.4" x14ac:dyDescent="0.3"/>
  <cols>
    <col min="5" max="5" width="20" bestFit="1" customWidth="1"/>
    <col min="6" max="7" width="15.77734375" bestFit="1" customWidth="1"/>
    <col min="8" max="8" width="14.77734375" bestFit="1" customWidth="1"/>
    <col min="10" max="10" width="13.109375" bestFit="1" customWidth="1"/>
  </cols>
  <sheetData>
    <row r="2" spans="2:15" ht="15.6" x14ac:dyDescent="0.3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4" spans="2:15" ht="15.6" x14ac:dyDescent="0.3">
      <c r="C4" s="38" t="s">
        <v>46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6" spans="2:15" ht="15.6" x14ac:dyDescent="0.3">
      <c r="B6" s="1" t="s">
        <v>1</v>
      </c>
      <c r="C6" s="39" t="s">
        <v>2</v>
      </c>
      <c r="D6" s="39"/>
      <c r="E6" s="39"/>
      <c r="F6" s="39"/>
      <c r="G6" s="39"/>
      <c r="H6" s="39"/>
    </row>
    <row r="7" spans="2:15" ht="15" thickBot="1" x14ac:dyDescent="0.35"/>
    <row r="8" spans="2:15" ht="15.6" x14ac:dyDescent="0.3">
      <c r="B8" s="2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4" t="s">
        <v>9</v>
      </c>
    </row>
    <row r="9" spans="2:15" ht="15.6" x14ac:dyDescent="0.3">
      <c r="B9" s="5">
        <v>2022</v>
      </c>
      <c r="C9" s="6" t="s">
        <v>10</v>
      </c>
      <c r="D9" s="6">
        <v>97191947</v>
      </c>
      <c r="E9" s="7">
        <f>D9*$O$10</f>
        <v>6942948.2403242104</v>
      </c>
      <c r="F9" s="6">
        <f>E9*$O$11</f>
        <v>330648.31504898833</v>
      </c>
      <c r="G9" s="8">
        <f>$F$51*3</f>
        <v>90000</v>
      </c>
      <c r="H9" s="9">
        <f>F9-G9</f>
        <v>240648.31504898833</v>
      </c>
      <c r="J9" s="40" t="s">
        <v>11</v>
      </c>
      <c r="K9" s="41"/>
      <c r="L9" s="41"/>
      <c r="M9" s="41"/>
      <c r="N9" s="41"/>
      <c r="O9" s="42"/>
    </row>
    <row r="10" spans="2:15" ht="15.6" x14ac:dyDescent="0.3">
      <c r="B10" s="5">
        <v>2022</v>
      </c>
      <c r="C10" s="6" t="s">
        <v>12</v>
      </c>
      <c r="D10" s="6">
        <v>98018085</v>
      </c>
      <c r="E10" s="7">
        <f t="shared" ref="E10:E16" si="0">D10*$O$10</f>
        <v>7001963.7611611886</v>
      </c>
      <c r="F10" s="6">
        <f>E10*$O$11</f>
        <v>333458.84767159278</v>
      </c>
      <c r="G10" s="8">
        <f>$F$51*3</f>
        <v>90000</v>
      </c>
      <c r="H10" s="9">
        <f t="shared" ref="H10:H16" si="1">F10-G10</f>
        <v>243458.84767159278</v>
      </c>
      <c r="J10" s="43" t="s">
        <v>13</v>
      </c>
      <c r="K10" s="44"/>
      <c r="L10" s="44"/>
      <c r="M10" s="44"/>
      <c r="N10" s="45"/>
      <c r="O10" s="10">
        <f>F48</f>
        <v>7.1435427055743725E-2</v>
      </c>
    </row>
    <row r="11" spans="2:15" ht="15.6" x14ac:dyDescent="0.3">
      <c r="B11" s="5">
        <v>2022</v>
      </c>
      <c r="C11" s="6" t="s">
        <v>14</v>
      </c>
      <c r="D11" s="6">
        <v>98844222</v>
      </c>
      <c r="E11" s="7">
        <f t="shared" si="0"/>
        <v>7060979.2105627395</v>
      </c>
      <c r="F11" s="6">
        <f t="shared" ref="F11:F16" si="2">E11*$O$11</f>
        <v>336269.37689218367</v>
      </c>
      <c r="G11" s="8">
        <f t="shared" ref="G11:G16" si="3">$F$51*3</f>
        <v>90000</v>
      </c>
      <c r="H11" s="9">
        <f t="shared" si="1"/>
        <v>246269.37689218367</v>
      </c>
      <c r="J11" s="46" t="s">
        <v>15</v>
      </c>
      <c r="K11" s="47"/>
      <c r="L11" s="47"/>
      <c r="M11" s="47"/>
      <c r="N11" s="48"/>
      <c r="O11" s="11">
        <f>F44</f>
        <v>4.7623618037162301E-2</v>
      </c>
    </row>
    <row r="12" spans="2:15" x14ac:dyDescent="0.3">
      <c r="B12" s="5">
        <v>2022</v>
      </c>
      <c r="C12" s="6" t="s">
        <v>16</v>
      </c>
      <c r="D12" s="6">
        <v>99670359</v>
      </c>
      <c r="E12" s="7">
        <f t="shared" si="0"/>
        <v>7119994.6599642904</v>
      </c>
      <c r="F12" s="6">
        <f t="shared" si="2"/>
        <v>339079.90611277462</v>
      </c>
      <c r="G12" s="8">
        <f t="shared" si="3"/>
        <v>90000</v>
      </c>
      <c r="H12" s="9">
        <f t="shared" si="1"/>
        <v>249079.90611277462</v>
      </c>
    </row>
    <row r="13" spans="2:15" x14ac:dyDescent="0.3">
      <c r="B13" s="5">
        <v>2023</v>
      </c>
      <c r="C13" s="6" t="s">
        <v>10</v>
      </c>
      <c r="D13" s="6">
        <v>100496496</v>
      </c>
      <c r="E13" s="7">
        <f t="shared" si="0"/>
        <v>7179010.1093658414</v>
      </c>
      <c r="F13" s="6">
        <f t="shared" si="2"/>
        <v>341890.43533336557</v>
      </c>
      <c r="G13" s="8">
        <f t="shared" si="3"/>
        <v>90000</v>
      </c>
      <c r="H13" s="9">
        <f t="shared" si="1"/>
        <v>251890.43533336557</v>
      </c>
    </row>
    <row r="14" spans="2:15" x14ac:dyDescent="0.3">
      <c r="B14" s="5">
        <v>2023</v>
      </c>
      <c r="C14" s="6" t="s">
        <v>12</v>
      </c>
      <c r="D14" s="6">
        <v>101322633</v>
      </c>
      <c r="E14" s="7">
        <f t="shared" si="0"/>
        <v>7238025.5587673923</v>
      </c>
      <c r="F14" s="6">
        <f t="shared" si="2"/>
        <v>344700.96455395652</v>
      </c>
      <c r="G14" s="8">
        <f t="shared" si="3"/>
        <v>90000</v>
      </c>
      <c r="H14" s="9">
        <f t="shared" si="1"/>
        <v>254700.96455395652</v>
      </c>
    </row>
    <row r="15" spans="2:15" x14ac:dyDescent="0.3">
      <c r="B15" s="5">
        <v>2023</v>
      </c>
      <c r="C15" s="6" t="s">
        <v>14</v>
      </c>
      <c r="D15" s="6">
        <v>102148770</v>
      </c>
      <c r="E15" s="7">
        <f t="shared" si="0"/>
        <v>7297041.0081689432</v>
      </c>
      <c r="F15" s="6">
        <f t="shared" si="2"/>
        <v>347511.49377454747</v>
      </c>
      <c r="G15" s="8">
        <f t="shared" si="3"/>
        <v>90000</v>
      </c>
      <c r="H15" s="9">
        <f t="shared" si="1"/>
        <v>257511.49377454747</v>
      </c>
    </row>
    <row r="16" spans="2:15" ht="15" thickBot="1" x14ac:dyDescent="0.35">
      <c r="B16" s="5">
        <v>2023</v>
      </c>
      <c r="C16" s="6" t="s">
        <v>16</v>
      </c>
      <c r="D16" s="6">
        <v>102974908</v>
      </c>
      <c r="E16" s="7">
        <f t="shared" si="0"/>
        <v>7356056.5290059205</v>
      </c>
      <c r="F16" s="6">
        <f t="shared" si="2"/>
        <v>350322.02639715187</v>
      </c>
      <c r="G16" s="8">
        <f t="shared" si="3"/>
        <v>90000</v>
      </c>
      <c r="H16" s="9">
        <f t="shared" si="1"/>
        <v>260322.02639715187</v>
      </c>
    </row>
    <row r="17" spans="2:8" ht="15" thickBot="1" x14ac:dyDescent="0.35">
      <c r="B17" s="12"/>
      <c r="C17" s="13"/>
      <c r="D17" s="13"/>
      <c r="E17" s="14"/>
      <c r="F17" s="31">
        <f>NPV(0.015,F9:F15)</f>
        <v>2236217.5634680758</v>
      </c>
      <c r="G17" s="30">
        <f>NPV(0.015,G9:G15)</f>
        <v>593839.25605199253</v>
      </c>
      <c r="H17" s="29">
        <f>NPV(0.015,H9:H15)</f>
        <v>1642378.3074160833</v>
      </c>
    </row>
    <row r="19" spans="2:8" ht="15.6" x14ac:dyDescent="0.3">
      <c r="B19" s="1" t="s">
        <v>17</v>
      </c>
      <c r="C19" s="49" t="s">
        <v>18</v>
      </c>
      <c r="D19" s="49"/>
      <c r="E19" s="49"/>
      <c r="F19" s="49"/>
      <c r="G19" s="49"/>
      <c r="H19" s="49"/>
    </row>
    <row r="20" spans="2:8" ht="15" thickBot="1" x14ac:dyDescent="0.35"/>
    <row r="21" spans="2:8" ht="15.6" x14ac:dyDescent="0.3">
      <c r="B21" s="50" t="s">
        <v>19</v>
      </c>
      <c r="C21" s="51"/>
      <c r="D21" s="51"/>
      <c r="E21" s="52"/>
      <c r="F21" s="15">
        <v>5.5E-2</v>
      </c>
      <c r="G21" s="16"/>
      <c r="H21" s="16"/>
    </row>
    <row r="22" spans="2:8" ht="15.6" x14ac:dyDescent="0.3">
      <c r="B22" s="35" t="s">
        <v>20</v>
      </c>
      <c r="C22" s="36"/>
      <c r="D22" s="36"/>
      <c r="E22" s="37"/>
      <c r="F22" s="17">
        <v>0.05</v>
      </c>
      <c r="G22" s="18"/>
      <c r="H22" s="18"/>
    </row>
    <row r="23" spans="2:8" ht="15.6" x14ac:dyDescent="0.3">
      <c r="B23" s="35" t="s">
        <v>21</v>
      </c>
      <c r="C23" s="36"/>
      <c r="D23" s="36"/>
      <c r="E23" s="37"/>
      <c r="F23" s="19">
        <v>1E-3</v>
      </c>
      <c r="G23" s="16"/>
      <c r="H23" s="16"/>
    </row>
    <row r="24" spans="2:8" ht="15.6" x14ac:dyDescent="0.3">
      <c r="B24" s="35" t="s">
        <v>22</v>
      </c>
      <c r="C24" s="36"/>
      <c r="D24" s="36"/>
      <c r="E24" s="37"/>
      <c r="F24" s="19">
        <v>1.5E-3</v>
      </c>
      <c r="G24" s="16"/>
      <c r="H24" s="16"/>
    </row>
    <row r="25" spans="2:8" ht="15.6" x14ac:dyDescent="0.3">
      <c r="B25" s="35" t="s">
        <v>23</v>
      </c>
      <c r="C25" s="36"/>
      <c r="D25" s="36"/>
      <c r="E25" s="37"/>
      <c r="F25" s="9">
        <f>589.48*0.015</f>
        <v>8.8422000000000001</v>
      </c>
      <c r="G25" s="20"/>
      <c r="H25" s="20"/>
    </row>
    <row r="26" spans="2:8" ht="15.6" x14ac:dyDescent="0.3">
      <c r="B26" s="35" t="s">
        <v>24</v>
      </c>
      <c r="C26" s="36"/>
      <c r="D26" s="36"/>
      <c r="E26" s="37"/>
      <c r="F26" s="21">
        <v>250</v>
      </c>
    </row>
    <row r="27" spans="2:8" ht="15.6" x14ac:dyDescent="0.3">
      <c r="B27" s="35" t="s">
        <v>25</v>
      </c>
      <c r="C27" s="36"/>
      <c r="D27" s="36"/>
      <c r="E27" s="37"/>
      <c r="F27" s="21">
        <v>1</v>
      </c>
    </row>
    <row r="28" spans="2:8" ht="15.6" x14ac:dyDescent="0.3">
      <c r="B28" s="35" t="s">
        <v>26</v>
      </c>
      <c r="C28" s="36"/>
      <c r="D28" s="36"/>
      <c r="E28" s="37"/>
      <c r="F28" s="21">
        <v>125</v>
      </c>
    </row>
    <row r="29" spans="2:8" ht="15.6" x14ac:dyDescent="0.3">
      <c r="B29" s="35" t="s">
        <v>22</v>
      </c>
      <c r="C29" s="36"/>
      <c r="D29" s="36"/>
      <c r="E29" s="37"/>
      <c r="F29" s="19">
        <v>5.0000000000000001E-3</v>
      </c>
    </row>
    <row r="30" spans="2:8" ht="15.6" x14ac:dyDescent="0.3">
      <c r="B30" s="35" t="s">
        <v>27</v>
      </c>
      <c r="C30" s="36"/>
      <c r="D30" s="36"/>
      <c r="E30" s="37"/>
      <c r="F30" s="9">
        <v>5417</v>
      </c>
      <c r="G30" s="20"/>
      <c r="H30" s="20"/>
    </row>
    <row r="31" spans="2:8" ht="15.6" x14ac:dyDescent="0.3">
      <c r="B31" s="35" t="s">
        <v>47</v>
      </c>
      <c r="C31" s="56"/>
      <c r="D31" s="56"/>
      <c r="E31" s="57"/>
      <c r="F31" s="9">
        <v>6000</v>
      </c>
      <c r="G31" s="20"/>
      <c r="H31" s="20"/>
    </row>
    <row r="32" spans="2:8" ht="16.2" thickBot="1" x14ac:dyDescent="0.35">
      <c r="B32" s="53" t="s">
        <v>28</v>
      </c>
      <c r="C32" s="54"/>
      <c r="D32" s="54"/>
      <c r="E32" s="55"/>
      <c r="F32" s="22">
        <v>5000</v>
      </c>
      <c r="G32" s="20"/>
      <c r="H32" s="20"/>
    </row>
    <row r="34" spans="2:8" ht="15.6" x14ac:dyDescent="0.3">
      <c r="B34" s="1" t="s">
        <v>29</v>
      </c>
      <c r="C34" s="49" t="s">
        <v>30</v>
      </c>
      <c r="D34" s="49"/>
      <c r="E34" s="49"/>
      <c r="F34" s="49"/>
      <c r="G34" s="49"/>
      <c r="H34" s="49"/>
    </row>
    <row r="35" spans="2:8" ht="15" thickBot="1" x14ac:dyDescent="0.35"/>
    <row r="36" spans="2:8" ht="15.6" x14ac:dyDescent="0.3">
      <c r="B36" s="50" t="s">
        <v>31</v>
      </c>
      <c r="C36" s="51"/>
      <c r="D36" s="51"/>
      <c r="E36" s="52"/>
      <c r="F36" s="23">
        <v>30000</v>
      </c>
      <c r="G36" s="20"/>
      <c r="H36" s="20"/>
    </row>
    <row r="37" spans="2:8" ht="15.6" x14ac:dyDescent="0.3">
      <c r="B37" s="35" t="s">
        <v>32</v>
      </c>
      <c r="C37" s="56"/>
      <c r="D37" s="56"/>
      <c r="E37" s="57"/>
      <c r="F37" s="21">
        <v>3</v>
      </c>
    </row>
    <row r="38" spans="2:8" ht="15.6" x14ac:dyDescent="0.3">
      <c r="B38" s="35" t="s">
        <v>33</v>
      </c>
      <c r="C38" s="36"/>
      <c r="D38" s="36"/>
      <c r="E38" s="37"/>
      <c r="F38" s="17">
        <v>0.06</v>
      </c>
    </row>
    <row r="39" spans="2:8" ht="16.2" thickBot="1" x14ac:dyDescent="0.35">
      <c r="B39" s="53" t="s">
        <v>34</v>
      </c>
      <c r="C39" s="54"/>
      <c r="D39" s="54"/>
      <c r="E39" s="55"/>
      <c r="F39" s="24">
        <v>0.15</v>
      </c>
    </row>
    <row r="41" spans="2:8" ht="15.6" x14ac:dyDescent="0.3">
      <c r="B41" s="1" t="s">
        <v>35</v>
      </c>
      <c r="C41" s="49" t="s">
        <v>36</v>
      </c>
      <c r="D41" s="49"/>
      <c r="E41" s="49"/>
      <c r="F41" s="49"/>
      <c r="G41" s="49"/>
      <c r="H41" s="49"/>
    </row>
    <row r="42" spans="2:8" ht="15" thickBot="1" x14ac:dyDescent="0.35"/>
    <row r="43" spans="2:8" ht="15.6" x14ac:dyDescent="0.3">
      <c r="B43" s="50" t="s">
        <v>37</v>
      </c>
      <c r="C43" s="51"/>
      <c r="D43" s="51"/>
      <c r="E43" s="52"/>
      <c r="F43" s="34">
        <v>2.5741708222974347</v>
      </c>
    </row>
    <row r="44" spans="2:8" ht="16.2" thickBot="1" x14ac:dyDescent="0.35">
      <c r="B44" s="53" t="s">
        <v>38</v>
      </c>
      <c r="C44" s="54"/>
      <c r="D44" s="54"/>
      <c r="E44" s="55"/>
      <c r="F44" s="33">
        <v>4.7623618037162301E-2</v>
      </c>
    </row>
    <row r="46" spans="2:8" ht="15.6" x14ac:dyDescent="0.3">
      <c r="B46" s="1" t="s">
        <v>39</v>
      </c>
      <c r="C46" s="49" t="s">
        <v>40</v>
      </c>
      <c r="D46" s="49"/>
      <c r="E46" s="49"/>
      <c r="F46" s="49"/>
      <c r="G46" s="49"/>
      <c r="H46" s="49"/>
    </row>
    <row r="47" spans="2:8" ht="15" thickBot="1" x14ac:dyDescent="0.35"/>
    <row r="48" spans="2:8" ht="15.6" x14ac:dyDescent="0.3">
      <c r="B48" s="50" t="s">
        <v>6</v>
      </c>
      <c r="C48" s="51"/>
      <c r="D48" s="51"/>
      <c r="E48" s="52"/>
      <c r="F48" s="15">
        <f>F21+(F24/F23)*(F22-F44)+(F29/F27)*F43</f>
        <v>7.1435427055743725E-2</v>
      </c>
      <c r="G48" s="16"/>
      <c r="H48" s="16"/>
    </row>
    <row r="49" spans="2:10" ht="15.6" x14ac:dyDescent="0.3">
      <c r="B49" s="35" t="s">
        <v>41</v>
      </c>
      <c r="C49" s="56"/>
      <c r="D49" s="56"/>
      <c r="E49" s="57"/>
      <c r="F49" s="21">
        <f>F26+(F28/F27)*F43</f>
        <v>571.77135278717935</v>
      </c>
    </row>
    <row r="50" spans="2:10" ht="15.6" x14ac:dyDescent="0.3">
      <c r="B50" s="35" t="s">
        <v>42</v>
      </c>
      <c r="C50" s="56"/>
      <c r="D50" s="56"/>
      <c r="E50" s="57"/>
      <c r="F50" s="25">
        <f>NPV(0.015,F9:F16)</f>
        <v>2547202.3232133309</v>
      </c>
      <c r="G50" s="26"/>
      <c r="H50" s="26"/>
    </row>
    <row r="51" spans="2:10" ht="15.6" x14ac:dyDescent="0.3">
      <c r="B51" s="35" t="s">
        <v>43</v>
      </c>
      <c r="C51" s="56"/>
      <c r="D51" s="56"/>
      <c r="E51" s="57"/>
      <c r="F51" s="27">
        <f>(F25*F49)+(F43*F30)+F31+F32</f>
        <v>30000</v>
      </c>
      <c r="G51" s="28"/>
      <c r="H51" s="28"/>
      <c r="J51" s="20"/>
    </row>
    <row r="52" spans="2:10" ht="15.6" x14ac:dyDescent="0.3">
      <c r="B52" s="35" t="s">
        <v>44</v>
      </c>
      <c r="C52" s="36"/>
      <c r="D52" s="36"/>
      <c r="E52" s="37"/>
      <c r="F52" s="27">
        <f>NPV(0.015,G9:G16)</f>
        <v>673733.25719408132</v>
      </c>
      <c r="G52" s="28"/>
      <c r="H52" s="28"/>
    </row>
    <row r="53" spans="2:10" ht="16.2" thickBot="1" x14ac:dyDescent="0.35">
      <c r="B53" s="53" t="s">
        <v>45</v>
      </c>
      <c r="C53" s="54"/>
      <c r="D53" s="54"/>
      <c r="E53" s="55"/>
      <c r="F53" s="32">
        <f>F50-F52</f>
        <v>1873469.0660192496</v>
      </c>
      <c r="G53" s="28"/>
      <c r="H53" s="28"/>
    </row>
    <row r="1048550" spans="16384:16384" x14ac:dyDescent="0.3">
      <c r="XFD1048550">
        <f t="array" ref="XFD1048550">solver_pre</f>
        <v>9.9999999999999995E-7</v>
      </c>
    </row>
    <row r="1048551" spans="16384:16384" x14ac:dyDescent="0.3">
      <c r="XFD1048551">
        <f t="array" ref="XFD1048551">solver_scl</f>
        <v>1</v>
      </c>
    </row>
    <row r="1048552" spans="16384:16384" x14ac:dyDescent="0.3">
      <c r="XFD1048552">
        <f t="array" ref="XFD1048552">solver_rlx</f>
        <v>2</v>
      </c>
    </row>
    <row r="1048553" spans="16384:16384" x14ac:dyDescent="0.3">
      <c r="XFD1048553">
        <f t="array" ref="XFD1048553">solver_tol</f>
        <v>0.01</v>
      </c>
    </row>
    <row r="1048554" spans="16384:16384" x14ac:dyDescent="0.3">
      <c r="XFD1048554">
        <f t="array" ref="XFD1048554">solver_cvg</f>
        <v>1E-4</v>
      </c>
    </row>
    <row r="1048555" spans="16384:16384" x14ac:dyDescent="0.3">
      <c r="XFD1048555" t="e">
        <f t="array" ref="XFD1048555">AREAS(solver_adj1)</f>
        <v>#NAME?</v>
      </c>
    </row>
    <row r="1048556" spans="16384:16384" x14ac:dyDescent="0.3">
      <c r="XFD1048556">
        <f t="array" ref="XFD1048556">solver_ssz</f>
        <v>100</v>
      </c>
    </row>
    <row r="1048557" spans="16384:16384" x14ac:dyDescent="0.3">
      <c r="XFD1048557">
        <f t="array" ref="XFD1048557">solver_rsd</f>
        <v>0</v>
      </c>
    </row>
    <row r="1048558" spans="16384:16384" x14ac:dyDescent="0.3">
      <c r="XFD1048558">
        <f t="array" ref="XFD1048558">solver_mrt</f>
        <v>7.4999999999999997E-2</v>
      </c>
    </row>
    <row r="1048559" spans="16384:16384" x14ac:dyDescent="0.3">
      <c r="XFD1048559">
        <f t="array" ref="XFD1048559">solver_mni</f>
        <v>30</v>
      </c>
    </row>
    <row r="1048560" spans="16384:16384" x14ac:dyDescent="0.3">
      <c r="XFD1048560">
        <f t="array" ref="XFD1048560">solver_rbv</f>
        <v>1</v>
      </c>
    </row>
    <row r="1048561" spans="16384:16384" x14ac:dyDescent="0.3">
      <c r="XFD1048561">
        <f t="array" ref="XFD1048561">solver_neg</f>
        <v>1</v>
      </c>
    </row>
    <row r="1048562" spans="16384:16384" x14ac:dyDescent="0.3">
      <c r="XFD1048562" t="e">
        <f t="array" ref="XFD1048562">solver_ntr</f>
        <v>#NAME?</v>
      </c>
    </row>
    <row r="1048563" spans="16384:16384" x14ac:dyDescent="0.3">
      <c r="XFD1048563" t="e">
        <f t="array" ref="XFD1048563">solver_acc</f>
        <v>#NAME?</v>
      </c>
    </row>
    <row r="1048564" spans="16384:16384" x14ac:dyDescent="0.3">
      <c r="XFD1048564" t="e">
        <f t="array" ref="XFD1048564">solver_res</f>
        <v>#NAME?</v>
      </c>
    </row>
    <row r="1048565" spans="16384:16384" x14ac:dyDescent="0.3">
      <c r="XFD1048565" t="e">
        <f t="array" ref="XFD1048565">solver_ars</f>
        <v>#NAME?</v>
      </c>
    </row>
    <row r="1048566" spans="16384:16384" x14ac:dyDescent="0.3">
      <c r="XFD1048566" t="e">
        <f t="array" ref="XFD1048566">solver_sta</f>
        <v>#NAME?</v>
      </c>
    </row>
    <row r="1048567" spans="16384:16384" x14ac:dyDescent="0.3">
      <c r="XFD1048567" t="e">
        <f t="array" ref="XFD1048567">solver_met</f>
        <v>#NAME?</v>
      </c>
    </row>
    <row r="1048568" spans="16384:16384" x14ac:dyDescent="0.3">
      <c r="XFD1048568" t="e">
        <f t="array" ref="XFD1048568">solver_soc</f>
        <v>#NAME?</v>
      </c>
    </row>
    <row r="1048569" spans="16384:16384" x14ac:dyDescent="0.3">
      <c r="XFD1048569" t="e">
        <f t="array" ref="XFD1048569">solver_lpt</f>
        <v>#NAME?</v>
      </c>
    </row>
    <row r="1048570" spans="16384:16384" x14ac:dyDescent="0.3">
      <c r="XFD1048570" t="e">
        <f t="array" ref="XFD1048570">solver_lpp</f>
        <v>#NAME?</v>
      </c>
    </row>
    <row r="1048571" spans="16384:16384" x14ac:dyDescent="0.3">
      <c r="XFD1048571" t="e">
        <f t="array" ref="XFD1048571">solver_gap</f>
        <v>#NAME?</v>
      </c>
    </row>
    <row r="1048572" spans="16384:16384" x14ac:dyDescent="0.3">
      <c r="XFD1048572" t="e">
        <f t="array" ref="XFD1048572">solver_ips</f>
        <v>#NAME?</v>
      </c>
    </row>
    <row r="1048573" spans="16384:16384" x14ac:dyDescent="0.3">
      <c r="XFD1048573" t="e">
        <f t="array" ref="XFD1048573">solver_fea</f>
        <v>#NAME?</v>
      </c>
    </row>
    <row r="1048574" spans="16384:16384" x14ac:dyDescent="0.3">
      <c r="XFD1048574" t="e">
        <f t="array" ref="XFD1048574">solver_ipi</f>
        <v>#NAME?</v>
      </c>
    </row>
    <row r="1048575" spans="16384:16384" x14ac:dyDescent="0.3">
      <c r="XFD1048575" t="e">
        <f t="array" ref="XFD1048575">solver_ipd</f>
        <v>#NAME?</v>
      </c>
    </row>
  </sheetData>
  <mergeCells count="34">
    <mergeCell ref="B50:E50"/>
    <mergeCell ref="B51:E51"/>
    <mergeCell ref="B52:E52"/>
    <mergeCell ref="B53:E53"/>
    <mergeCell ref="C41:H41"/>
    <mergeCell ref="B43:E43"/>
    <mergeCell ref="B44:E44"/>
    <mergeCell ref="C46:H46"/>
    <mergeCell ref="B48:E48"/>
    <mergeCell ref="B49:E49"/>
    <mergeCell ref="B39:E39"/>
    <mergeCell ref="B26:E26"/>
    <mergeCell ref="B27:E27"/>
    <mergeCell ref="B28:E28"/>
    <mergeCell ref="B29:E29"/>
    <mergeCell ref="B30:E30"/>
    <mergeCell ref="B31:E31"/>
    <mergeCell ref="B32:E32"/>
    <mergeCell ref="C34:H34"/>
    <mergeCell ref="B36:E36"/>
    <mergeCell ref="B37:E37"/>
    <mergeCell ref="B38:E38"/>
    <mergeCell ref="B25:E25"/>
    <mergeCell ref="B2:O2"/>
    <mergeCell ref="C4:N4"/>
    <mergeCell ref="C6:H6"/>
    <mergeCell ref="J9:O9"/>
    <mergeCell ref="J10:N10"/>
    <mergeCell ref="J11:N11"/>
    <mergeCell ref="C19:H19"/>
    <mergeCell ref="B21:E21"/>
    <mergeCell ref="B22:E22"/>
    <mergeCell ref="B23:E23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2022-12-04T23:10:24Z</dcterms:created>
  <dcterms:modified xsi:type="dcterms:W3CDTF">2022-12-07T04:05:50Z</dcterms:modified>
</cp:coreProperties>
</file>