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10.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11.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1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drawings/drawing1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hidePivotFieldList="1"/>
  <mc:AlternateContent xmlns:mc="http://schemas.openxmlformats.org/markup-compatibility/2006">
    <mc:Choice Requires="x15">
      <x15ac:absPath xmlns:x15ac="http://schemas.microsoft.com/office/spreadsheetml/2010/11/ac" url="C:\Users\Zbook\Downloads\"/>
    </mc:Choice>
  </mc:AlternateContent>
  <xr:revisionPtr revIDLastSave="0" documentId="8_{E8CE565B-10E1-4F1E-8CF2-174367D40E76}" xr6:coauthVersionLast="47" xr6:coauthVersionMax="47" xr10:uidLastSave="{00000000-0000-0000-0000-000000000000}"/>
  <bookViews>
    <workbookView xWindow="-108" yWindow="-108" windowWidth="23256" windowHeight="12576" tabRatio="806" firstSheet="8" activeTab="14" xr2:uid="{00000000-000D-0000-FFFF-FFFF00000000}"/>
  </bookViews>
  <sheets>
    <sheet name="Medical Anthem CentPref 20" sheetId="75" state="hidden" r:id="rId1"/>
    <sheet name="Medical Anthem Bluecare 20" sheetId="77" state="hidden" r:id="rId2"/>
    <sheet name="Medical - Anthem HRA" sheetId="69" state="hidden" r:id="rId3"/>
    <sheet name="Medical CentPref 20 to Oxford" sheetId="79" state="hidden" r:id="rId4"/>
    <sheet name="Page 1 Comparison" sheetId="105" r:id="rId5"/>
    <sheet name="Template 2 Plan Options " sheetId="103" r:id="rId6"/>
    <sheet name="Template 4 Plans Options  " sheetId="106" r:id="rId7"/>
    <sheet name="Projected Sales" sheetId="121" r:id="rId8"/>
    <sheet name="Data File" sheetId="109" r:id="rId9"/>
    <sheet name="Tier Wise Plan Name Current" sheetId="115" r:id="rId10"/>
    <sheet name="Tier Wise Plan Name Renewal" sheetId="116" r:id="rId11"/>
    <sheet name="Sheet7" sheetId="117" state="hidden" r:id="rId12"/>
    <sheet name="Emoloyeer Name Renewal" sheetId="118" r:id="rId13"/>
    <sheet name="Sheet1 (2)" sheetId="112" r:id="rId14"/>
    <sheet name="Dashboard" sheetId="114" r:id="rId15"/>
    <sheet name="Benefits Comparison" sheetId="107" r:id="rId16"/>
    <sheet name="HL Benefit Comparison" sheetId="108" r:id="rId17"/>
    <sheet name="Medical - Cigna with HSA" sheetId="87" state="hidden" r:id="rId18"/>
    <sheet name="Cigna Rate - HSA" sheetId="88" state="hidden" r:id="rId19"/>
    <sheet name="Census Data, Plan Comparison" sheetId="67" state="hidden" r:id="rId20"/>
    <sheet name="FSA plan cost" sheetId="80" state="hidden" r:id="rId21"/>
    <sheet name="Vol. Life Insurance" sheetId="91" state="hidden" r:id="rId22"/>
    <sheet name="Vision " sheetId="82" state="hidden" r:id="rId23"/>
  </sheets>
  <externalReferences>
    <externalReference r:id="rId24"/>
  </externalReferences>
  <definedNames>
    <definedName name="Eligibles">[1]UWINPUT!$D$12</definedName>
    <definedName name="ExternalData_1" localSheetId="13" hidden="1">'Sheet1 (2)'!$A$1:$M$33</definedName>
    <definedName name="_xlnm.Print_Area" localSheetId="15">'Benefits Comparison'!$B$1:$I$92</definedName>
    <definedName name="_xlnm.Print_Area" localSheetId="19">'Census Data, Plan Comparison'!$A$1:$AF$59</definedName>
    <definedName name="_xlnm.Print_Area" localSheetId="18">'Cigna Rate - HSA'!$A$1:$L$35</definedName>
    <definedName name="_xlnm.Print_Area" localSheetId="20">'FSA plan cost'!$A$1:$H$31</definedName>
    <definedName name="_xlnm.Print_Area" localSheetId="2">'Medical - Anthem HRA'!$A$1:$I$58</definedName>
    <definedName name="_xlnm.Print_Area" localSheetId="17">'Medical - Cigna with HSA'!$A$1:$K$57</definedName>
    <definedName name="_xlnm.Print_Area" localSheetId="1">'Medical Anthem Bluecare 20'!$A$1:$I$58</definedName>
    <definedName name="_xlnm.Print_Area" localSheetId="0">'Medical Anthem CentPref 20'!$A$1:$I$58</definedName>
    <definedName name="_xlnm.Print_Area" localSheetId="3">'Medical CentPref 20 to Oxford'!$A$1:$I$58</definedName>
    <definedName name="_xlnm.Print_Area" localSheetId="4">'Page 1 Comparison'!$B$1:$M$77</definedName>
    <definedName name="_xlnm.Print_Area" localSheetId="5">'Template 2 Plan Options '!$B$1:$M$77</definedName>
    <definedName name="_xlnm.Print_Area" localSheetId="6">'Template 4 Plans Options  '!$B$1:$Q$105</definedName>
    <definedName name="_xlnm.Print_Area" localSheetId="22">'Vision '!$A$1:$F$50</definedName>
    <definedName name="_xlnm.Print_Area" localSheetId="21">'Vol. Life Insurance'!$A$1:$D$48</definedName>
    <definedName name="Slicer_Option">#N/A</definedName>
    <definedName name="total_comm_percent">[1]UWINPUT!$D$20</definedName>
    <definedName name="total_comm_pspm">[1]UWINPUT!$D$16</definedName>
  </definedNames>
  <calcPr calcId="191029"/>
  <pivotCaches>
    <pivotCache cacheId="15" r:id="rId25"/>
    <pivotCache cacheId="24" r:id="rId26"/>
  </pivotCaches>
  <extLs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23" i="114" l="1"/>
  <c r="A20" i="114"/>
  <c r="A14" i="114"/>
  <c r="A17" i="114"/>
  <c r="C41" i="109"/>
  <c r="C43" i="109" s="1"/>
  <c r="F30" i="109"/>
  <c r="F31" i="109" s="1"/>
  <c r="E30" i="109"/>
  <c r="E31" i="109" s="1"/>
  <c r="E32" i="109" s="1"/>
  <c r="D30" i="109"/>
  <c r="D31" i="109" s="1"/>
  <c r="C30" i="109"/>
  <c r="C31" i="109" s="1"/>
  <c r="C22" i="109"/>
  <c r="K26" i="109"/>
  <c r="L26" i="109" s="1"/>
  <c r="K27" i="109"/>
  <c r="L27" i="109" s="1"/>
  <c r="K28" i="109"/>
  <c r="L28" i="109" s="1"/>
  <c r="K29" i="109"/>
  <c r="L29" i="109" s="1"/>
  <c r="I26" i="109"/>
  <c r="J26" i="109" s="1"/>
  <c r="I27" i="109"/>
  <c r="J27" i="109" s="1"/>
  <c r="I28" i="109"/>
  <c r="J28" i="109" s="1"/>
  <c r="I29" i="109"/>
  <c r="J29" i="109" s="1"/>
  <c r="H20" i="109"/>
  <c r="H27" i="109"/>
  <c r="H28" i="109"/>
  <c r="G26" i="109"/>
  <c r="H26" i="109" s="1"/>
  <c r="G20" i="109"/>
  <c r="G21" i="109"/>
  <c r="H21" i="109" s="1"/>
  <c r="G27" i="109"/>
  <c r="G28" i="109"/>
  <c r="G29" i="109"/>
  <c r="H29" i="109" s="1"/>
  <c r="B30" i="109"/>
  <c r="F23" i="109"/>
  <c r="F24" i="109" s="1"/>
  <c r="D23" i="109"/>
  <c r="D24" i="109" s="1"/>
  <c r="C23" i="109"/>
  <c r="D25" i="109" s="1"/>
  <c r="L18" i="109"/>
  <c r="L21" i="109"/>
  <c r="K20" i="109"/>
  <c r="L20" i="109" s="1"/>
  <c r="K21" i="109"/>
  <c r="K19" i="109"/>
  <c r="L19" i="109" s="1"/>
  <c r="K18" i="109"/>
  <c r="K10" i="109"/>
  <c r="L10" i="109" s="1"/>
  <c r="K2" i="109"/>
  <c r="L2" i="109" s="1"/>
  <c r="I21" i="109"/>
  <c r="J21" i="109" s="1"/>
  <c r="I20" i="109"/>
  <c r="J20" i="109" s="1"/>
  <c r="I19" i="109"/>
  <c r="J19" i="109" s="1"/>
  <c r="J11" i="109"/>
  <c r="I18" i="109"/>
  <c r="J18" i="109" s="1"/>
  <c r="I10" i="109"/>
  <c r="J10" i="109" s="1"/>
  <c r="H18" i="109"/>
  <c r="G19" i="109"/>
  <c r="H19" i="109" s="1"/>
  <c r="G18" i="109"/>
  <c r="G2" i="109"/>
  <c r="H2" i="109" s="1"/>
  <c r="F22" i="109"/>
  <c r="E22" i="109"/>
  <c r="E23" i="109" s="1"/>
  <c r="E24" i="109" s="1"/>
  <c r="D22" i="109"/>
  <c r="C14" i="109"/>
  <c r="B22" i="109"/>
  <c r="C15" i="109"/>
  <c r="E17" i="109" s="1"/>
  <c r="F14" i="109"/>
  <c r="F15" i="109" s="1"/>
  <c r="F16" i="109" s="1"/>
  <c r="E14" i="109"/>
  <c r="E15" i="109" s="1"/>
  <c r="E16" i="109" s="1"/>
  <c r="D14" i="109"/>
  <c r="D15" i="109" s="1"/>
  <c r="C6" i="109"/>
  <c r="C7" i="109" s="1"/>
  <c r="D9" i="109" s="1"/>
  <c r="L13" i="109"/>
  <c r="K13" i="109"/>
  <c r="K12" i="109"/>
  <c r="L12" i="109" s="1"/>
  <c r="K11" i="109"/>
  <c r="L11" i="109" s="1"/>
  <c r="I3" i="109"/>
  <c r="I4" i="109"/>
  <c r="I5" i="109"/>
  <c r="J5" i="109"/>
  <c r="J3" i="109"/>
  <c r="J4" i="109"/>
  <c r="I13" i="109"/>
  <c r="J13" i="109" s="1"/>
  <c r="I12" i="109"/>
  <c r="J12" i="109" s="1"/>
  <c r="I11" i="109"/>
  <c r="H11" i="109"/>
  <c r="G4" i="109"/>
  <c r="G5" i="109"/>
  <c r="H5" i="109" s="1"/>
  <c r="G12" i="109"/>
  <c r="H12" i="109" s="1"/>
  <c r="G13" i="109"/>
  <c r="H13" i="109" s="1"/>
  <c r="G11" i="109"/>
  <c r="G3" i="109"/>
  <c r="H3" i="109" s="1"/>
  <c r="G10" i="109"/>
  <c r="H10" i="109" s="1"/>
  <c r="B14" i="109"/>
  <c r="B6" i="109"/>
  <c r="K5" i="109"/>
  <c r="K4" i="109"/>
  <c r="L4" i="109" s="1"/>
  <c r="K3" i="109"/>
  <c r="L3" i="109" s="1"/>
  <c r="L5" i="109"/>
  <c r="H4" i="109"/>
  <c r="I2" i="109"/>
  <c r="J2" i="109" s="1"/>
  <c r="G23" i="106"/>
  <c r="G19" i="106"/>
  <c r="K19" i="106"/>
  <c r="G18" i="106"/>
  <c r="G17" i="106"/>
  <c r="F6" i="109"/>
  <c r="F7" i="109" s="1"/>
  <c r="E6" i="109"/>
  <c r="E7" i="109" s="1"/>
  <c r="D6" i="109"/>
  <c r="D7" i="109" s="1"/>
  <c r="D8" i="109" s="1"/>
  <c r="E16" i="106"/>
  <c r="D16" i="109" l="1"/>
  <c r="F17" i="109"/>
  <c r="F32" i="109"/>
  <c r="F33" i="109"/>
  <c r="D32" i="109"/>
  <c r="D33" i="109" s="1"/>
  <c r="E33" i="109"/>
  <c r="C45" i="109"/>
  <c r="C46" i="109" s="1"/>
  <c r="C47" i="109" s="1"/>
  <c r="C48" i="109" s="1"/>
  <c r="C49" i="109" s="1"/>
  <c r="D17" i="109"/>
  <c r="E25" i="109"/>
  <c r="F25" i="109"/>
  <c r="C42" i="109"/>
  <c r="C44" i="109" s="1"/>
  <c r="F42" i="109" s="1"/>
  <c r="F43" i="109" s="1"/>
  <c r="F44" i="109" s="1"/>
  <c r="E8" i="109"/>
  <c r="F8" i="109"/>
  <c r="F9" i="109" s="1"/>
  <c r="E9" i="109"/>
  <c r="E29" i="107" l="1"/>
  <c r="E30" i="107" s="1"/>
  <c r="G29" i="107"/>
  <c r="G30" i="107" s="1"/>
  <c r="K84" i="106" l="1"/>
  <c r="I84" i="106"/>
  <c r="G84" i="106"/>
  <c r="H84" i="106" s="1"/>
  <c r="E84" i="106"/>
  <c r="F84" i="106" s="1"/>
  <c r="K83" i="106"/>
  <c r="I83" i="106"/>
  <c r="H83" i="106"/>
  <c r="G83" i="106"/>
  <c r="E83" i="106"/>
  <c r="F83" i="106" s="1"/>
  <c r="I82" i="106"/>
  <c r="K82" i="106" s="1"/>
  <c r="H82" i="106"/>
  <c r="G82" i="106"/>
  <c r="F82" i="106"/>
  <c r="E82" i="106"/>
  <c r="I81" i="106"/>
  <c r="K81" i="106" s="1"/>
  <c r="G81" i="106"/>
  <c r="H81" i="106" s="1"/>
  <c r="F81" i="106"/>
  <c r="E81" i="106"/>
  <c r="K77" i="106"/>
  <c r="K76" i="106"/>
  <c r="I76" i="106"/>
  <c r="I77" i="106" s="1"/>
  <c r="G76" i="106"/>
  <c r="G77" i="106" s="1"/>
  <c r="G78" i="106" s="1"/>
  <c r="G79" i="106" s="1"/>
  <c r="E76" i="106"/>
  <c r="E77" i="106" s="1"/>
  <c r="C76" i="106"/>
  <c r="K63" i="106"/>
  <c r="I63" i="106"/>
  <c r="G63" i="106"/>
  <c r="H63" i="106" s="1"/>
  <c r="E63" i="106"/>
  <c r="F63" i="106" s="1"/>
  <c r="K62" i="106"/>
  <c r="I62" i="106"/>
  <c r="H62" i="106"/>
  <c r="G62" i="106"/>
  <c r="E62" i="106"/>
  <c r="F62" i="106" s="1"/>
  <c r="I61" i="106"/>
  <c r="K61" i="106" s="1"/>
  <c r="H61" i="106"/>
  <c r="G61" i="106"/>
  <c r="F61" i="106"/>
  <c r="E61" i="106"/>
  <c r="I60" i="106"/>
  <c r="K60" i="106" s="1"/>
  <c r="G60" i="106"/>
  <c r="H60" i="106" s="1"/>
  <c r="F60" i="106"/>
  <c r="E60" i="106"/>
  <c r="K56" i="106"/>
  <c r="I56" i="106"/>
  <c r="K55" i="106"/>
  <c r="I55" i="106"/>
  <c r="G55" i="106"/>
  <c r="G56" i="106" s="1"/>
  <c r="E55" i="106"/>
  <c r="E87" i="106" s="1"/>
  <c r="E90" i="106" s="1"/>
  <c r="C55" i="106"/>
  <c r="K44" i="106"/>
  <c r="I44" i="106"/>
  <c r="H44" i="106"/>
  <c r="G44" i="106"/>
  <c r="E44" i="106"/>
  <c r="F44" i="106" s="1"/>
  <c r="I43" i="106"/>
  <c r="K43" i="106" s="1"/>
  <c r="H43" i="106"/>
  <c r="G43" i="106"/>
  <c r="F43" i="106"/>
  <c r="E43" i="106"/>
  <c r="I42" i="106"/>
  <c r="K42" i="106" s="1"/>
  <c r="G42" i="106"/>
  <c r="H42" i="106" s="1"/>
  <c r="F42" i="106"/>
  <c r="E42" i="106"/>
  <c r="K41" i="106"/>
  <c r="I41" i="106"/>
  <c r="G41" i="106"/>
  <c r="H41" i="106" s="1"/>
  <c r="E41" i="106"/>
  <c r="F41" i="106" s="1"/>
  <c r="K37" i="106"/>
  <c r="K38" i="106" s="1"/>
  <c r="K39" i="106" s="1"/>
  <c r="I37" i="106"/>
  <c r="I38" i="106" s="1"/>
  <c r="I39" i="106" s="1"/>
  <c r="G37" i="106"/>
  <c r="G38" i="106" s="1"/>
  <c r="G39" i="106" s="1"/>
  <c r="K36" i="106"/>
  <c r="I36" i="106"/>
  <c r="G36" i="106"/>
  <c r="E36" i="106"/>
  <c r="E37" i="106" s="1"/>
  <c r="C36" i="106"/>
  <c r="K26" i="106"/>
  <c r="I26" i="106"/>
  <c r="H26" i="106"/>
  <c r="G26" i="106"/>
  <c r="E26" i="106"/>
  <c r="F26" i="106" s="1"/>
  <c r="I25" i="106"/>
  <c r="K25" i="106" s="1"/>
  <c r="H25" i="106"/>
  <c r="G25" i="106"/>
  <c r="F25" i="106"/>
  <c r="E25" i="106"/>
  <c r="I24" i="106"/>
  <c r="K24" i="106" s="1"/>
  <c r="G24" i="106"/>
  <c r="H24" i="106" s="1"/>
  <c r="F24" i="106"/>
  <c r="E24" i="106"/>
  <c r="K23" i="106"/>
  <c r="I23" i="106"/>
  <c r="H23" i="106"/>
  <c r="E23" i="106"/>
  <c r="F23" i="106" s="1"/>
  <c r="K21" i="106"/>
  <c r="I21" i="106"/>
  <c r="K20" i="106"/>
  <c r="I20" i="106"/>
  <c r="G20" i="106"/>
  <c r="G21" i="106" s="1"/>
  <c r="E20" i="106"/>
  <c r="E21" i="106" s="1"/>
  <c r="K17" i="106"/>
  <c r="I17" i="106"/>
  <c r="K18" i="106" s="1"/>
  <c r="E17" i="106"/>
  <c r="K16" i="106"/>
  <c r="I16" i="106"/>
  <c r="G16" i="106"/>
  <c r="C16" i="106"/>
  <c r="I78" i="106" l="1"/>
  <c r="I79" i="106" s="1"/>
  <c r="K57" i="106"/>
  <c r="K58" i="106" s="1"/>
  <c r="K78" i="106"/>
  <c r="K79" i="106" s="1"/>
  <c r="E88" i="106"/>
  <c r="E91" i="106" s="1"/>
  <c r="I57" i="106"/>
  <c r="I58" i="106" s="1"/>
  <c r="E94" i="106"/>
  <c r="E95" i="106" s="1"/>
  <c r="E97" i="106" s="1"/>
  <c r="E100" i="106" s="1"/>
  <c r="E101" i="106" s="1"/>
  <c r="I18" i="106"/>
  <c r="I19" i="106" s="1"/>
  <c r="E56" i="106"/>
  <c r="G57" i="106" s="1"/>
  <c r="G58" i="106" s="1"/>
  <c r="E49" i="105" l="1"/>
  <c r="E52" i="105" s="1"/>
  <c r="E48" i="105"/>
  <c r="E51" i="105" s="1"/>
  <c r="E45" i="105"/>
  <c r="K37" i="105"/>
  <c r="I37" i="105"/>
  <c r="K38" i="105" s="1"/>
  <c r="K39" i="105" s="1"/>
  <c r="G37" i="105"/>
  <c r="G38" i="105" s="1"/>
  <c r="G39" i="105" s="1"/>
  <c r="K36" i="105"/>
  <c r="I36" i="105"/>
  <c r="G36" i="105"/>
  <c r="E36" i="105"/>
  <c r="E37" i="105" s="1"/>
  <c r="C36" i="105"/>
  <c r="K26" i="105"/>
  <c r="I26" i="105"/>
  <c r="K25" i="105"/>
  <c r="I25" i="105"/>
  <c r="G25" i="105"/>
  <c r="G26" i="105" s="1"/>
  <c r="E25" i="105"/>
  <c r="E26" i="105" s="1"/>
  <c r="K22" i="105"/>
  <c r="I22" i="105"/>
  <c r="K23" i="105" s="1"/>
  <c r="K24" i="105" s="1"/>
  <c r="G22" i="105"/>
  <c r="G23" i="105" s="1"/>
  <c r="G24" i="105" s="1"/>
  <c r="E22" i="105"/>
  <c r="K21" i="105"/>
  <c r="I21" i="105"/>
  <c r="E55" i="105" s="1"/>
  <c r="E56" i="105" s="1"/>
  <c r="G21" i="105"/>
  <c r="E21" i="105"/>
  <c r="C21" i="105"/>
  <c r="C36" i="103"/>
  <c r="K36" i="103"/>
  <c r="K37" i="103" s="1"/>
  <c r="I36" i="103"/>
  <c r="I37" i="103" s="1"/>
  <c r="G36" i="103"/>
  <c r="G37" i="103" s="1"/>
  <c r="E36" i="103"/>
  <c r="E37" i="103" s="1"/>
  <c r="K25" i="103"/>
  <c r="K26" i="103" s="1"/>
  <c r="I25" i="103"/>
  <c r="I26" i="103" s="1"/>
  <c r="G25" i="103"/>
  <c r="G26" i="103" s="1"/>
  <c r="E25" i="103"/>
  <c r="E26" i="103" s="1"/>
  <c r="K21" i="103"/>
  <c r="I21" i="103"/>
  <c r="K22" i="103" s="1"/>
  <c r="G21" i="103"/>
  <c r="G22" i="103" s="1"/>
  <c r="E21" i="103"/>
  <c r="E22" i="103" s="1"/>
  <c r="C21" i="103"/>
  <c r="E58" i="105" l="1"/>
  <c r="G56" i="105"/>
  <c r="I38" i="105"/>
  <c r="I39" i="105" s="1"/>
  <c r="I23" i="105"/>
  <c r="I24" i="105" s="1"/>
  <c r="E55" i="103"/>
  <c r="E56" i="103" s="1"/>
  <c r="E45" i="103"/>
  <c r="E48" i="103"/>
  <c r="E51" i="103" s="1"/>
  <c r="E49" i="103"/>
  <c r="E52" i="103" s="1"/>
  <c r="I22" i="103"/>
  <c r="K23" i="103" s="1"/>
  <c r="K24" i="103" s="1"/>
  <c r="I38" i="103"/>
  <c r="I39" i="103" s="1"/>
  <c r="K38" i="103"/>
  <c r="K39" i="103" s="1"/>
  <c r="G23" i="103"/>
  <c r="G24" i="103" s="1"/>
  <c r="G38" i="103"/>
  <c r="G39" i="103" s="1"/>
  <c r="E61" i="105" l="1"/>
  <c r="E62" i="105" s="1"/>
  <c r="G60" i="105"/>
  <c r="G56" i="103"/>
  <c r="I23" i="103"/>
  <c r="I24" i="103" s="1"/>
  <c r="E58" i="103"/>
  <c r="G60" i="103" s="1"/>
  <c r="E61" i="103" l="1"/>
  <c r="E62" i="103" s="1"/>
  <c r="C43" i="91" l="1"/>
  <c r="C46" i="91"/>
  <c r="C47" i="91" s="1"/>
  <c r="C44" i="91"/>
  <c r="C45" i="91" s="1"/>
  <c r="C37" i="82"/>
  <c r="C38" i="82"/>
  <c r="D43" i="82" s="1"/>
  <c r="D44" i="82" s="1"/>
  <c r="B53" i="82" s="1"/>
  <c r="E53" i="82" s="1"/>
  <c r="C39" i="82"/>
  <c r="C40" i="82"/>
  <c r="K49" i="67"/>
  <c r="K50" i="67" s="1"/>
  <c r="Q50" i="67"/>
  <c r="E49" i="87" s="1"/>
  <c r="Q55" i="67"/>
  <c r="Q54" i="67"/>
  <c r="E46" i="87" s="1"/>
  <c r="Q53" i="67"/>
  <c r="E46" i="69" s="1"/>
  <c r="K54" i="67"/>
  <c r="K56" i="67" s="1"/>
  <c r="K55" i="67"/>
  <c r="H27" i="88"/>
  <c r="E20" i="88"/>
  <c r="J20" i="88" s="1"/>
  <c r="E21" i="88"/>
  <c r="J21" i="88"/>
  <c r="K21" i="88" s="1"/>
  <c r="E22" i="88"/>
  <c r="E25" i="88" s="1"/>
  <c r="J22" i="88"/>
  <c r="K22" i="88" s="1"/>
  <c r="G27" i="88"/>
  <c r="F27" i="88"/>
  <c r="H16" i="88"/>
  <c r="G16" i="88"/>
  <c r="F16" i="88"/>
  <c r="E16" i="88"/>
  <c r="H25" i="88"/>
  <c r="G25" i="88"/>
  <c r="F25" i="88"/>
  <c r="J14" i="88"/>
  <c r="K14" i="88" s="1"/>
  <c r="J13" i="88"/>
  <c r="K13" i="88"/>
  <c r="J12" i="88"/>
  <c r="K12" i="88" s="1"/>
  <c r="E47" i="87"/>
  <c r="C47" i="87"/>
  <c r="D47" i="87"/>
  <c r="C46" i="87"/>
  <c r="D46" i="87"/>
  <c r="C45" i="87"/>
  <c r="C48" i="87" s="1"/>
  <c r="I47" i="87"/>
  <c r="G47" i="87"/>
  <c r="G46" i="87"/>
  <c r="G45" i="87"/>
  <c r="G49" i="87"/>
  <c r="G50" i="87"/>
  <c r="E52" i="82"/>
  <c r="N47" i="67"/>
  <c r="N46" i="67"/>
  <c r="N45" i="67"/>
  <c r="N44" i="67"/>
  <c r="N43" i="67"/>
  <c r="N42" i="67"/>
  <c r="N41" i="67"/>
  <c r="N40" i="67"/>
  <c r="N38" i="67"/>
  <c r="N37" i="67"/>
  <c r="N36" i="67"/>
  <c r="N35" i="67"/>
  <c r="N34" i="67"/>
  <c r="N33" i="67"/>
  <c r="N32" i="67"/>
  <c r="N31" i="67"/>
  <c r="N30" i="67"/>
  <c r="N29" i="67"/>
  <c r="N28" i="67"/>
  <c r="N27" i="67"/>
  <c r="N26" i="67"/>
  <c r="N25" i="67"/>
  <c r="N24" i="67"/>
  <c r="N23" i="67"/>
  <c r="N22" i="67"/>
  <c r="N21" i="67"/>
  <c r="N20" i="67"/>
  <c r="N19" i="67"/>
  <c r="N18" i="67"/>
  <c r="N17" i="67"/>
  <c r="N16" i="67"/>
  <c r="N15" i="67"/>
  <c r="N14" i="67"/>
  <c r="N13" i="67"/>
  <c r="N12" i="67"/>
  <c r="N11" i="67"/>
  <c r="N10" i="67"/>
  <c r="N9" i="67"/>
  <c r="N50" i="67" s="1"/>
  <c r="AF55" i="67"/>
  <c r="AF54" i="67"/>
  <c r="AF53" i="67"/>
  <c r="AF50" i="67"/>
  <c r="O54" i="67"/>
  <c r="C47" i="77" s="1"/>
  <c r="D47" i="77" s="1"/>
  <c r="O53" i="67"/>
  <c r="C46" i="77" s="1"/>
  <c r="AB56" i="67"/>
  <c r="AB55" i="67"/>
  <c r="AB54" i="67"/>
  <c r="AB53" i="67"/>
  <c r="AC50" i="67"/>
  <c r="S24" i="67"/>
  <c r="S33" i="67"/>
  <c r="V55" i="67"/>
  <c r="V54" i="67"/>
  <c r="V53" i="67"/>
  <c r="S16" i="67"/>
  <c r="S15" i="67"/>
  <c r="S14" i="67"/>
  <c r="S13" i="67"/>
  <c r="S12" i="67"/>
  <c r="S10" i="67"/>
  <c r="S9" i="67"/>
  <c r="S11" i="67"/>
  <c r="V50" i="67"/>
  <c r="V51" i="67" s="1"/>
  <c r="X50" i="67"/>
  <c r="X51" i="67" s="1"/>
  <c r="G51" i="77" s="1"/>
  <c r="X53" i="67"/>
  <c r="G46" i="77" s="1"/>
  <c r="X55" i="67"/>
  <c r="G48" i="77" s="1"/>
  <c r="W55" i="67"/>
  <c r="Y55" i="67"/>
  <c r="G48" i="69" s="1"/>
  <c r="AG55" i="67"/>
  <c r="AE55" i="67"/>
  <c r="Z55" i="67"/>
  <c r="G48" i="79"/>
  <c r="X54" i="67"/>
  <c r="G47" i="77" s="1"/>
  <c r="W54" i="67"/>
  <c r="G47" i="75" s="1"/>
  <c r="Y54" i="67"/>
  <c r="G47" i="69" s="1"/>
  <c r="AG54" i="67"/>
  <c r="AE54" i="67"/>
  <c r="Z54" i="67"/>
  <c r="G47" i="79"/>
  <c r="W53" i="67"/>
  <c r="G46" i="75" s="1"/>
  <c r="Y53" i="67"/>
  <c r="G46" i="69" s="1"/>
  <c r="AG53" i="67"/>
  <c r="AE53" i="67"/>
  <c r="Z53" i="67"/>
  <c r="G46" i="79" s="1"/>
  <c r="R55" i="67"/>
  <c r="E48" i="77" s="1"/>
  <c r="R54" i="67"/>
  <c r="E47" i="77" s="1"/>
  <c r="R53" i="67"/>
  <c r="R60" i="67" s="1"/>
  <c r="E46" i="77"/>
  <c r="R50" i="67"/>
  <c r="R51" i="67" s="1"/>
  <c r="E51" i="77" s="1"/>
  <c r="G48" i="75"/>
  <c r="O56" i="67"/>
  <c r="G50" i="77"/>
  <c r="F16" i="80"/>
  <c r="F14" i="80"/>
  <c r="F12" i="80"/>
  <c r="F21" i="80" s="1"/>
  <c r="F22" i="80" s="1"/>
  <c r="S54" i="67"/>
  <c r="P55" i="67"/>
  <c r="P54" i="67"/>
  <c r="P53" i="67"/>
  <c r="O55" i="67"/>
  <c r="C48" i="77" s="1"/>
  <c r="D48" i="77" s="1"/>
  <c r="C47" i="69"/>
  <c r="D47" i="69" s="1"/>
  <c r="C48" i="69"/>
  <c r="D48" i="69" s="1"/>
  <c r="E47" i="69"/>
  <c r="E48" i="69"/>
  <c r="V60" i="67"/>
  <c r="E47" i="75"/>
  <c r="E47" i="79"/>
  <c r="E48" i="75"/>
  <c r="E48" i="79"/>
  <c r="C47" i="75"/>
  <c r="D47" i="75" s="1"/>
  <c r="O59" i="67"/>
  <c r="T55" i="67"/>
  <c r="Z50" i="67"/>
  <c r="Z51" i="67" s="1"/>
  <c r="G51" i="79" s="1"/>
  <c r="C49" i="79"/>
  <c r="D48" i="79"/>
  <c r="D47" i="79"/>
  <c r="D46" i="79"/>
  <c r="T54" i="67"/>
  <c r="T53" i="67"/>
  <c r="T60" i="67" s="1"/>
  <c r="T50" i="67"/>
  <c r="T51" i="67"/>
  <c r="Y50" i="67"/>
  <c r="G50" i="69" s="1"/>
  <c r="AG50" i="67"/>
  <c r="AG51" i="67" s="1"/>
  <c r="F63" i="75"/>
  <c r="F64" i="75"/>
  <c r="E63" i="75"/>
  <c r="AF51" i="67"/>
  <c r="AE50" i="67"/>
  <c r="AE51" i="67" s="1"/>
  <c r="W50" i="67"/>
  <c r="W51" i="67" s="1"/>
  <c r="G51" i="75" s="1"/>
  <c r="P50" i="67"/>
  <c r="P51" i="67"/>
  <c r="C41" i="82"/>
  <c r="E50" i="69"/>
  <c r="E50" i="75"/>
  <c r="AB58" i="67" l="1"/>
  <c r="G56" i="87"/>
  <c r="S53" i="67"/>
  <c r="E45" i="87"/>
  <c r="Q51" i="67"/>
  <c r="E51" i="75" s="1"/>
  <c r="G50" i="75"/>
  <c r="D61" i="75" s="1"/>
  <c r="D62" i="75" s="1"/>
  <c r="D49" i="79"/>
  <c r="C48" i="75"/>
  <c r="D48" i="75" s="1"/>
  <c r="K15" i="88"/>
  <c r="E50" i="77"/>
  <c r="S55" i="67"/>
  <c r="D45" i="87"/>
  <c r="D48" i="87" s="1"/>
  <c r="G50" i="79"/>
  <c r="D61" i="79" s="1"/>
  <c r="D62" i="79" s="1"/>
  <c r="G53" i="77"/>
  <c r="G54" i="77" s="1"/>
  <c r="G55" i="77"/>
  <c r="G56" i="77" s="1"/>
  <c r="D46" i="77"/>
  <c r="D49" i="77" s="1"/>
  <c r="C49" i="77"/>
  <c r="G57" i="77" s="1"/>
  <c r="K20" i="88"/>
  <c r="K23" i="88" s="1"/>
  <c r="I45" i="87"/>
  <c r="I49" i="87" s="1"/>
  <c r="I50" i="87" s="1"/>
  <c r="G57" i="79"/>
  <c r="L54" i="67"/>
  <c r="O60" i="67"/>
  <c r="L55" i="67"/>
  <c r="AE60" i="67"/>
  <c r="S50" i="67"/>
  <c r="S51" i="67" s="1"/>
  <c r="J15" i="88"/>
  <c r="Y51" i="67"/>
  <c r="G51" i="69" s="1"/>
  <c r="AG60" i="67"/>
  <c r="Z60" i="67"/>
  <c r="C46" i="75"/>
  <c r="X60" i="67"/>
  <c r="AB59" i="67"/>
  <c r="AB60" i="67" s="1"/>
  <c r="J25" i="88"/>
  <c r="E27" i="88"/>
  <c r="E28" i="88" s="1"/>
  <c r="Y60" i="67"/>
  <c r="G52" i="87"/>
  <c r="G53" i="87" s="1"/>
  <c r="J23" i="88"/>
  <c r="E51" i="79"/>
  <c r="G53" i="79" s="1"/>
  <c r="G54" i="79" s="1"/>
  <c r="P60" i="67"/>
  <c r="O58" i="67"/>
  <c r="E46" i="79"/>
  <c r="C46" i="69"/>
  <c r="G58" i="69" s="1"/>
  <c r="E50" i="79"/>
  <c r="W60" i="67"/>
  <c r="AF60" i="67"/>
  <c r="Q60" i="67"/>
  <c r="E46" i="75"/>
  <c r="I46" i="87"/>
  <c r="K25" i="88"/>
  <c r="H28" i="88"/>
  <c r="F28" i="88"/>
  <c r="G28" i="88"/>
  <c r="F17" i="88"/>
  <c r="H17" i="88"/>
  <c r="G17" i="88"/>
  <c r="E17" i="88"/>
  <c r="G55" i="75"/>
  <c r="G56" i="75" s="1"/>
  <c r="G53" i="75"/>
  <c r="G54" i="75" s="1"/>
  <c r="E51" i="69"/>
  <c r="D50" i="82"/>
  <c r="E50" i="87"/>
  <c r="S60" i="67" l="1"/>
  <c r="E57" i="79"/>
  <c r="C49" i="75"/>
  <c r="D46" i="75"/>
  <c r="D49" i="75" s="1"/>
  <c r="E57" i="77"/>
  <c r="I54" i="87"/>
  <c r="I55" i="87" s="1"/>
  <c r="I56" i="87"/>
  <c r="D46" i="69"/>
  <c r="D49" i="69" s="1"/>
  <c r="C49" i="69"/>
  <c r="G57" i="69" s="1"/>
  <c r="G55" i="79"/>
  <c r="G56" i="79" s="1"/>
  <c r="G53" i="69"/>
  <c r="G54" i="69" s="1"/>
  <c r="G55" i="69"/>
  <c r="G56" i="69" s="1"/>
  <c r="E56" i="87"/>
  <c r="G54" i="87"/>
  <c r="G55" i="87" s="1"/>
  <c r="E57" i="69" l="1"/>
  <c r="G57" i="75"/>
  <c r="E57" i="75"/>
  <c r="I52" i="87"/>
  <c r="I53" i="8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3038DE-939B-4536-95CE-87B34925F89F}"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2" xr16:uid="{40D9E613-2A1A-4B67-A089-05D291F72C23}"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s>
</file>

<file path=xl/sharedStrings.xml><?xml version="1.0" encoding="utf-8"?>
<sst xmlns="http://schemas.openxmlformats.org/spreadsheetml/2006/main" count="1861" uniqueCount="666">
  <si>
    <t>Benefit Summary</t>
  </si>
  <si>
    <t>N/A</t>
  </si>
  <si>
    <t>Monthly Premium</t>
  </si>
  <si>
    <t>Annual Premium</t>
  </si>
  <si>
    <t xml:space="preserve">Prescription Drugs </t>
  </si>
  <si>
    <t>Monthly Rates</t>
  </si>
  <si>
    <t>In-Network</t>
  </si>
  <si>
    <t>Out-of-Network</t>
  </si>
  <si>
    <t>$ Change from Current</t>
  </si>
  <si>
    <t>% Change from Current</t>
  </si>
  <si>
    <t>$ Change from Renewal</t>
  </si>
  <si>
    <t>% Change from Renewal</t>
  </si>
  <si>
    <t>Total Employees</t>
  </si>
  <si>
    <t>Outpatient Surgery Facility</t>
  </si>
  <si>
    <t xml:space="preserve">Emergency Room (waived if admitted)               </t>
  </si>
  <si>
    <t xml:space="preserve">   Employee &amp; Spouse</t>
  </si>
  <si>
    <t>Inpatient Hospitalization</t>
  </si>
  <si>
    <t>Dependents Definition</t>
  </si>
  <si>
    <t>Deductible</t>
  </si>
  <si>
    <t>Coinsurance Benefit Percentage</t>
  </si>
  <si>
    <t>Annual Coinsurance Out-of-Pocket Limit Individual</t>
  </si>
  <si>
    <t>Annual Coinsurance Out-of-Pocket Limit Family</t>
  </si>
  <si>
    <t>Diagnostic X-Ray and Lab</t>
  </si>
  <si>
    <t>Complex Radiology (i.e. Pet Scan, Cat Scan, MRI)</t>
  </si>
  <si>
    <t>Urgent Care</t>
  </si>
  <si>
    <t>Referrals Required (Yes/No)</t>
  </si>
  <si>
    <t xml:space="preserve">   Mandatory Generic (Yes/No)</t>
  </si>
  <si>
    <t xml:space="preserve">    Annual Deductible Individual</t>
  </si>
  <si>
    <t xml:space="preserve">    Annual Deductible Family</t>
  </si>
  <si>
    <t>Participation Requirement</t>
  </si>
  <si>
    <t>Rate Guarantee</t>
  </si>
  <si>
    <t>Total Monthly Premium</t>
  </si>
  <si>
    <t>Total Annual Premium</t>
  </si>
  <si>
    <t>100% / 0%</t>
  </si>
  <si>
    <t>No</t>
  </si>
  <si>
    <t>Primary Physician</t>
  </si>
  <si>
    <t>Specialist</t>
  </si>
  <si>
    <t>Fee Schedule</t>
  </si>
  <si>
    <t>Employee Only</t>
  </si>
  <si>
    <t>Employee Eligibility</t>
  </si>
  <si>
    <t xml:space="preserve">Employee Life/AD&amp;D Schedule </t>
  </si>
  <si>
    <t>Employee Life/AD&amp;D Maximum Benefit</t>
  </si>
  <si>
    <t>Employee Contribution:</t>
  </si>
  <si>
    <t>Earnings Definition:</t>
  </si>
  <si>
    <t>Waiver of Premium:</t>
  </si>
  <si>
    <t>Prior to Age 60, to Age 65</t>
  </si>
  <si>
    <t>Seat Belt Clause</t>
  </si>
  <si>
    <t>Yes</t>
  </si>
  <si>
    <t>Age Reduction Schedule:</t>
  </si>
  <si>
    <t>Participation Requirements</t>
  </si>
  <si>
    <t>Rate Guarantee:</t>
  </si>
  <si>
    <t>All active full -time employees</t>
  </si>
  <si>
    <t>Gross Annual Income</t>
  </si>
  <si>
    <t>Per Capita Cost</t>
  </si>
  <si>
    <t>Unlimited</t>
  </si>
  <si>
    <t>$30 co-payment</t>
  </si>
  <si>
    <t>$150 co-payment</t>
  </si>
  <si>
    <t>$75 co-payment</t>
  </si>
  <si>
    <t>$0 co-payment</t>
  </si>
  <si>
    <t>Mental Health &amp; Substance Abuse In-Patient</t>
  </si>
  <si>
    <t>Mental Health &amp; Substance Abuse Out-Patient</t>
  </si>
  <si>
    <t>Employer / Employee Contribution</t>
  </si>
  <si>
    <t>$20 co-payment</t>
  </si>
  <si>
    <t>Life Living Option / Accelerated Death Benefit:</t>
  </si>
  <si>
    <t>A.M. Best Rating: A</t>
  </si>
  <si>
    <t>deductible and co-insurance</t>
  </si>
  <si>
    <t>Employee count, actual</t>
  </si>
  <si>
    <t>Average benefit:</t>
  </si>
  <si>
    <t xml:space="preserve">   Employee Only</t>
  </si>
  <si>
    <t xml:space="preserve">   Employee &amp; Family</t>
  </si>
  <si>
    <t>EE's</t>
  </si>
  <si>
    <t>Insured's</t>
  </si>
  <si>
    <t>total</t>
  </si>
  <si>
    <t>Gender</t>
  </si>
  <si>
    <t>M</t>
  </si>
  <si>
    <t>F</t>
  </si>
  <si>
    <t>173 Frederick Street</t>
  </si>
  <si>
    <t>Aleem</t>
  </si>
  <si>
    <t>Alexander</t>
  </si>
  <si>
    <t>Alexandra</t>
  </si>
  <si>
    <t>Armine</t>
  </si>
  <si>
    <t>Bogdan</t>
  </si>
  <si>
    <t>Courtland</t>
  </si>
  <si>
    <t>Edward</t>
  </si>
  <si>
    <t>Eric</t>
  </si>
  <si>
    <t>Fernanda</t>
  </si>
  <si>
    <t>Gretell</t>
  </si>
  <si>
    <t>Jacqueline</t>
  </si>
  <si>
    <t>James</t>
  </si>
  <si>
    <t>Jessica</t>
  </si>
  <si>
    <t>Jonathan</t>
  </si>
  <si>
    <t>Jose</t>
  </si>
  <si>
    <t>Joy</t>
  </si>
  <si>
    <t>Kathryn</t>
  </si>
  <si>
    <t>Lisette</t>
  </si>
  <si>
    <t>Nenad</t>
  </si>
  <si>
    <t>Nestor</t>
  </si>
  <si>
    <t>Nick</t>
  </si>
  <si>
    <t>Odeta</t>
  </si>
  <si>
    <t>Patrick</t>
  </si>
  <si>
    <t>Sandra</t>
  </si>
  <si>
    <t>Shannon</t>
  </si>
  <si>
    <t>Simone</t>
  </si>
  <si>
    <t>Vivek</t>
  </si>
  <si>
    <t>William</t>
  </si>
  <si>
    <t>Yrenilsa</t>
  </si>
  <si>
    <t>Lopez</t>
  </si>
  <si>
    <t>Remtula</t>
  </si>
  <si>
    <t>Dyakov</t>
  </si>
  <si>
    <t>Pope</t>
  </si>
  <si>
    <t>Grigoryan</t>
  </si>
  <si>
    <t>Tatarchevskiy</t>
  </si>
  <si>
    <t>Walker</t>
  </si>
  <si>
    <t>Marshall</t>
  </si>
  <si>
    <t>Lima</t>
  </si>
  <si>
    <t>Merlo</t>
  </si>
  <si>
    <t>Reyes</t>
  </si>
  <si>
    <t>Finneran</t>
  </si>
  <si>
    <t>Kaddaras</t>
  </si>
  <si>
    <t>Moffett-Rose</t>
  </si>
  <si>
    <t>Tarleton</t>
  </si>
  <si>
    <t>Taylor</t>
  </si>
  <si>
    <t>Apud</t>
  </si>
  <si>
    <t>Myers</t>
  </si>
  <si>
    <t>Barrios</t>
  </si>
  <si>
    <t>Palomino-Ukperaj</t>
  </si>
  <si>
    <t>Milojevic</t>
  </si>
  <si>
    <t>Solari</t>
  </si>
  <si>
    <t>Noel</t>
  </si>
  <si>
    <t>Tollliver</t>
  </si>
  <si>
    <t>Ball</t>
  </si>
  <si>
    <t>Osborne</t>
  </si>
  <si>
    <t>Ramos</t>
  </si>
  <si>
    <t>Balch</t>
  </si>
  <si>
    <t>Pradhan</t>
  </si>
  <si>
    <t>Glassmeyer</t>
  </si>
  <si>
    <t>EMPLOYEE first name</t>
  </si>
  <si>
    <t>EMPLOYEE last name</t>
  </si>
  <si>
    <t>Meyer</t>
  </si>
  <si>
    <t>COMPOSITE RATE</t>
  </si>
  <si>
    <t>commission payment</t>
  </si>
  <si>
    <t>$10 / $25 / $40</t>
  </si>
  <si>
    <t>$20 / $50 / $80</t>
  </si>
  <si>
    <t>$45 co-payment</t>
  </si>
  <si>
    <t xml:space="preserve">   Prescription Deductible</t>
  </si>
  <si>
    <t>Developing World Markets</t>
  </si>
  <si>
    <t>D.O.B.</t>
  </si>
  <si>
    <t>D.O.H.</t>
  </si>
  <si>
    <t>Not applicable</t>
  </si>
  <si>
    <t>$500 co-payment per day up to $2,000 per year</t>
  </si>
  <si>
    <t>$500 co-payment</t>
  </si>
  <si>
    <t>$75 co-payment, maximum of $375</t>
  </si>
  <si>
    <t>not covered</t>
  </si>
  <si>
    <t>20% of the network contracted rate, plus the difference from actual charge</t>
  </si>
  <si>
    <t>Yes, generic co-pay plus difference in cost</t>
  </si>
  <si>
    <t xml:space="preserve">    (Excludes deductible and co-payments)</t>
  </si>
  <si>
    <t>Anthem Blue Cross &amp; Blue Shield</t>
  </si>
  <si>
    <t>$10 / $50 / $80</t>
  </si>
  <si>
    <t>Out of network fee schedule, confidential developed by Anthem</t>
  </si>
  <si>
    <t>average age</t>
  </si>
  <si>
    <t>Female</t>
  </si>
  <si>
    <t>Male</t>
  </si>
  <si>
    <t>monthly</t>
  </si>
  <si>
    <t>annually</t>
  </si>
  <si>
    <r>
      <t xml:space="preserve">   Employee &amp; Family</t>
    </r>
    <r>
      <rPr>
        <vertAlign val="superscript"/>
        <sz val="10"/>
        <rFont val="Arial"/>
        <family val="2"/>
      </rPr>
      <t xml:space="preserve">  1</t>
    </r>
  </si>
  <si>
    <r>
      <rPr>
        <b/>
        <vertAlign val="superscript"/>
        <sz val="10"/>
        <rFont val="Arial"/>
        <family val="2"/>
      </rPr>
      <t xml:space="preserve"> 1</t>
    </r>
    <r>
      <rPr>
        <b/>
        <sz val="10"/>
        <rFont val="Arial"/>
        <family val="2"/>
      </rPr>
      <t xml:space="preserve"> Insured's count, estimated </t>
    </r>
  </si>
  <si>
    <t>Lifetime Benefit Maximum</t>
  </si>
  <si>
    <t>Usual, Reasonable, &amp; Customary</t>
  </si>
  <si>
    <t>No, however, incentive for generic with mail-order</t>
  </si>
  <si>
    <t xml:space="preserve">   Retail (up to 30 days) by tier level</t>
  </si>
  <si>
    <t xml:space="preserve">   Mail Order (up to 90 days) by tier level</t>
  </si>
  <si>
    <t>$15 / $25 / $40</t>
  </si>
  <si>
    <t>$30 / $50 / $80</t>
  </si>
  <si>
    <t>Oxford Health Plans, A United Healthcare Company</t>
  </si>
  <si>
    <r>
      <t>70</t>
    </r>
    <r>
      <rPr>
        <vertAlign val="superscript"/>
        <sz val="10"/>
        <rFont val="Arial"/>
        <family val="2"/>
      </rPr>
      <t xml:space="preserve">th </t>
    </r>
    <r>
      <rPr>
        <sz val="10"/>
        <rFont val="Arial"/>
        <family val="2"/>
      </rPr>
      <t>percentile of HIAA</t>
    </r>
  </si>
  <si>
    <t>SALARY</t>
  </si>
  <si>
    <t>$200 co-payment</t>
  </si>
  <si>
    <t>$500 co-payment per day up to $1,500 per stay</t>
  </si>
  <si>
    <t>Bluecare 15</t>
  </si>
  <si>
    <t>Century Preferred 20</t>
  </si>
  <si>
    <t>covered 100% after deductible</t>
  </si>
  <si>
    <t>30% of the network contracted rate, plus the difference from actual charge</t>
  </si>
  <si>
    <t>100% of the core plan and then pay the difference for the buy-up.</t>
  </si>
  <si>
    <t>Anthem Bluecare 20 POS $20 / $500 / $150 / $200</t>
  </si>
  <si>
    <t>Job Title</t>
  </si>
  <si>
    <t>Judy</t>
  </si>
  <si>
    <t>Kirst-Kolkman</t>
  </si>
  <si>
    <t>Peter</t>
  </si>
  <si>
    <t>Johnson</t>
  </si>
  <si>
    <t>Managing Partner</t>
  </si>
  <si>
    <t>Brad</t>
  </si>
  <si>
    <t>Swanson</t>
  </si>
  <si>
    <t>Richard</t>
  </si>
  <si>
    <t>Marney</t>
  </si>
  <si>
    <t>Chief Counsel and Compliance Officer</t>
  </si>
  <si>
    <t>Senior Credit Analyst</t>
  </si>
  <si>
    <t>Accountant</t>
  </si>
  <si>
    <t>Office Administrator</t>
  </si>
  <si>
    <t>Anthem Century Preferred 
PY 2010 - 2011</t>
  </si>
  <si>
    <t>Anthem Bluecare 20 
PY 2011-2012</t>
  </si>
  <si>
    <t>Difference in cost for Buy-up plan</t>
  </si>
  <si>
    <t>Anthem Century Preferred 
PY 2011 - 2012</t>
  </si>
  <si>
    <t>Transaction Administrator</t>
  </si>
  <si>
    <t>State</t>
  </si>
  <si>
    <t>NY</t>
  </si>
  <si>
    <t>GA</t>
  </si>
  <si>
    <t>CT</t>
  </si>
  <si>
    <t>MA</t>
  </si>
  <si>
    <t>IL</t>
  </si>
  <si>
    <t>Zip Code</t>
  </si>
  <si>
    <t>City</t>
  </si>
  <si>
    <t>1636 Forest Ave., Wilmette</t>
  </si>
  <si>
    <t>31 Pine Street, #19, Norwalk</t>
  </si>
  <si>
    <t>4 Elisha Purdy Road, Amawalk</t>
  </si>
  <si>
    <t>New York</t>
  </si>
  <si>
    <t>New Canaan</t>
  </si>
  <si>
    <t>Garden City</t>
  </si>
  <si>
    <t>Stamford</t>
  </si>
  <si>
    <t>Darien</t>
  </si>
  <si>
    <t>Norwalk</t>
  </si>
  <si>
    <t>Somerville</t>
  </si>
  <si>
    <t>Wilmette</t>
  </si>
  <si>
    <t>Brooklyn</t>
  </si>
  <si>
    <t>Rego Park</t>
  </si>
  <si>
    <t>New Fairfield</t>
  </si>
  <si>
    <t>Atlanta</t>
  </si>
  <si>
    <t>50 Aiken Street, Apt 294</t>
  </si>
  <si>
    <t>15 East 30th Street, Apt. 500</t>
  </si>
  <si>
    <t>692 Myrtle St.</t>
  </si>
  <si>
    <t>270 Lenox Avenue, Apt. 3</t>
  </si>
  <si>
    <t>3 Cambridge Road</t>
  </si>
  <si>
    <t>57 Forest St</t>
  </si>
  <si>
    <t>86 Sixth St.</t>
  </si>
  <si>
    <t>8 Woods End Road</t>
  </si>
  <si>
    <t>1100 Hoyt Street, Apt. 2D</t>
  </si>
  <si>
    <t>89 Winslow Ave</t>
  </si>
  <si>
    <t>55 North Water Street, Apt 404</t>
  </si>
  <si>
    <t>77 Holmes Ave.</t>
  </si>
  <si>
    <t>55 East 2nd St.</t>
  </si>
  <si>
    <t>194 East 2nd Street</t>
  </si>
  <si>
    <t>245 East 40th Street, Apt 11B</t>
  </si>
  <si>
    <t>515 Each 79th St., Apr 21A</t>
  </si>
  <si>
    <t>240 East 83rd St, Apt 3D</t>
  </si>
  <si>
    <t>125 Washington Place, Apt. 2B</t>
  </si>
  <si>
    <t>32 East 2nd Street</t>
  </si>
  <si>
    <t>121 St Marks Place, #6</t>
  </si>
  <si>
    <t>167 Pine Hill Road</t>
  </si>
  <si>
    <t>115 East 92nd St, Apt 6C</t>
  </si>
  <si>
    <t>99-31 66th Ave., Apt 5C</t>
  </si>
  <si>
    <t>100 West 81 St, Apt 5A</t>
  </si>
  <si>
    <t>44 Butler Place, Apartment 2A</t>
  </si>
  <si>
    <t>MEDICAL PLAN  STATUS</t>
  </si>
  <si>
    <t>Employee plus Family</t>
  </si>
  <si>
    <t>Waived</t>
  </si>
  <si>
    <t>Employee plus Spouse</t>
  </si>
  <si>
    <t>total participating</t>
  </si>
  <si>
    <t>% of participation</t>
  </si>
  <si>
    <t>GENDER COUNT</t>
  </si>
  <si>
    <t>Standard Life Insurance Company</t>
  </si>
  <si>
    <t>% of total</t>
  </si>
  <si>
    <t>1455 Washington Blvd., Apt. 345</t>
  </si>
  <si>
    <t>VA</t>
  </si>
  <si>
    <t>IRS Publication Section</t>
  </si>
  <si>
    <t>Health Care Expenses</t>
  </si>
  <si>
    <t>Dependent Day Care Expenses</t>
  </si>
  <si>
    <t>Commute Benefit Expenses</t>
  </si>
  <si>
    <t>Expense Type</t>
  </si>
  <si>
    <t>Enrollment</t>
  </si>
  <si>
    <t>Expense</t>
  </si>
  <si>
    <t>Total monthly cost</t>
  </si>
  <si>
    <t>Monthly total</t>
  </si>
  <si>
    <t>Annual total</t>
  </si>
  <si>
    <t>NOTE: Plans run on a calendar year, first year is a short year</t>
  </si>
  <si>
    <t>Installation Fee - one time</t>
  </si>
  <si>
    <t>Monthly minimum cost is $100</t>
  </si>
  <si>
    <t>Complaince testing, annual</t>
  </si>
  <si>
    <t>Program set-up, one time cost</t>
  </si>
  <si>
    <t>Amawalk</t>
  </si>
  <si>
    <t xml:space="preserve">Vice President </t>
  </si>
  <si>
    <t xml:space="preserve">Associate </t>
  </si>
  <si>
    <t>Analyst</t>
  </si>
  <si>
    <t>Vice President</t>
  </si>
  <si>
    <t>Partner</t>
  </si>
  <si>
    <t>2596 Chain Bridge Road</t>
  </si>
  <si>
    <t>Vienna</t>
  </si>
  <si>
    <t xml:space="preserve">Analyst </t>
  </si>
  <si>
    <t>124 W. 25th Street, Apt 3F</t>
  </si>
  <si>
    <t>Legal Counsel</t>
  </si>
  <si>
    <t>Manager</t>
  </si>
  <si>
    <t>95 Five Mile River Road</t>
  </si>
  <si>
    <t>Managing Director</t>
  </si>
  <si>
    <t>35 West Broad St Apt 414</t>
  </si>
  <si>
    <t>Director</t>
  </si>
  <si>
    <t>12 Bayberry Lane</t>
  </si>
  <si>
    <t xml:space="preserve">Director </t>
  </si>
  <si>
    <t>Tony</t>
  </si>
  <si>
    <t>Tan</t>
  </si>
  <si>
    <t>35-10 150th Street</t>
  </si>
  <si>
    <t xml:space="preserve">Flushing </t>
  </si>
  <si>
    <t xml:space="preserve">William </t>
  </si>
  <si>
    <t>Arias</t>
  </si>
  <si>
    <t>9 Taylor Ave</t>
  </si>
  <si>
    <t>total eligible</t>
  </si>
  <si>
    <t>Street Address</t>
  </si>
  <si>
    <t>Attained Age
as of 
November 1, 2012</t>
  </si>
  <si>
    <t>DENTAL PLAN STATUS</t>
  </si>
  <si>
    <t>Policy Year 2012 - 2013</t>
  </si>
  <si>
    <t>Anthem Century Preferred 
PY 2012 - 2013</t>
  </si>
  <si>
    <t>Benefit Summary - Buy-up plan</t>
  </si>
  <si>
    <t>Medical Plan Design and Cost Comparison - Effective November 1, 2012</t>
  </si>
  <si>
    <r>
      <rPr>
        <b/>
        <vertAlign val="superscript"/>
        <sz val="9"/>
        <rFont val="Arial"/>
        <family val="2"/>
      </rPr>
      <t xml:space="preserve"> 1</t>
    </r>
    <r>
      <rPr>
        <b/>
        <sz val="9"/>
        <rFont val="Arial"/>
        <family val="2"/>
      </rPr>
      <t xml:space="preserve"> Insured's count, estimated </t>
    </r>
  </si>
  <si>
    <t>Renewal Plan PY 2012 - 2013</t>
  </si>
  <si>
    <t>Current PY 2011 - 2012</t>
  </si>
  <si>
    <t>Scoon</t>
  </si>
  <si>
    <t>Gerren</t>
  </si>
  <si>
    <t>Plan Selected PY 2011 - 2012</t>
  </si>
  <si>
    <t>Anthem Bluecare 20 
PY 2012 - 2013</t>
  </si>
  <si>
    <t>Assumed Same Plan Selected PY 2012 - 2013</t>
  </si>
  <si>
    <t>Monthly Rates - eligible persons</t>
  </si>
  <si>
    <r>
      <t>Portability -</t>
    </r>
    <r>
      <rPr>
        <sz val="10"/>
        <rFont val="Arial"/>
        <family val="2"/>
      </rPr>
      <t xml:space="preserve"> All contracts in NY have conversion, this is a benefit.</t>
    </r>
  </si>
  <si>
    <t>Volume of Life/AD&amp;D</t>
  </si>
  <si>
    <t>Alternative Plan PY 2012 - 2013</t>
  </si>
  <si>
    <r>
      <t>Oxford -</t>
    </r>
    <r>
      <rPr>
        <sz val="10"/>
        <rFont val="Arial"/>
        <family val="2"/>
      </rPr>
      <t xml:space="preserve"> PY 2012 - 2013</t>
    </r>
  </si>
  <si>
    <t>$30 co-payment - deductibe waived</t>
  </si>
  <si>
    <t>$45 co-payment - deductible waived</t>
  </si>
  <si>
    <t>Anthem Blue Cross &amp; Blue Shield Century Preferred</t>
  </si>
  <si>
    <t>Anthem Blue Cross &amp; Blue Shield - Base Plan</t>
  </si>
  <si>
    <t>Benefit Summary - Base plan</t>
  </si>
  <si>
    <t>Life Insurance</t>
  </si>
  <si>
    <t>Anthem Blue Cross &amp; Blue Shield HRA</t>
  </si>
  <si>
    <t>Anthem HRA</t>
  </si>
  <si>
    <t>after deductible is satisfied</t>
  </si>
  <si>
    <t>Deductible - AFTER BRIDGE OF $1,000</t>
  </si>
  <si>
    <t>$0 co-payment for preventive with deductible and co-insurance for sickness</t>
  </si>
  <si>
    <t>Benefit Summary - Base plan to HRA plan</t>
  </si>
  <si>
    <t>Maxium HRA contribution for year</t>
  </si>
  <si>
    <t>Cigna Great West</t>
  </si>
  <si>
    <t>$500 then 70% of contracted rate</t>
  </si>
  <si>
    <t>100% or 70%</t>
  </si>
  <si>
    <t>$30 co-payment; unless for complex radiology $500 then 70% of contracted rate</t>
  </si>
  <si>
    <t>FSA Plan Options along with Commuter Benefit, Cost Comparison - Effective February 1, 2012</t>
  </si>
  <si>
    <t>e-mail address</t>
  </si>
  <si>
    <t>sebastian@dwmarkets.com</t>
  </si>
  <si>
    <t>william@dwmarkets.com</t>
  </si>
  <si>
    <t>simone@dwmarkets.com</t>
  </si>
  <si>
    <t>patrick@dwmarkets.com</t>
  </si>
  <si>
    <t>kathryn@dwmarkets.com</t>
  </si>
  <si>
    <t>alex@dwmarkets.com</t>
  </si>
  <si>
    <t>jfinneran@dwmarkets.com</t>
  </si>
  <si>
    <t>shedd@dwmarkets.com</t>
  </si>
  <si>
    <t>armine@dwmarkets.com</t>
  </si>
  <si>
    <t>NOT PARTICIPATING</t>
  </si>
  <si>
    <t>jim@dwmarkets.com</t>
  </si>
  <si>
    <t>fernanda@dwmarkets.com</t>
  </si>
  <si>
    <t>yrenilsa@dwmarkets.com</t>
  </si>
  <si>
    <t>richard@dwmarkets.com</t>
  </si>
  <si>
    <t>edward@dwmarkets.com</t>
  </si>
  <si>
    <t>gretell@dwmarkets.com</t>
  </si>
  <si>
    <t>eric@dwmarkets.com</t>
  </si>
  <si>
    <t>nenad@dwmarkets.com</t>
  </si>
  <si>
    <t>jessica@dwmarkets.com</t>
  </si>
  <si>
    <t>joy@dwmarkets.com</t>
  </si>
  <si>
    <t>nick@dwmarkets.com</t>
  </si>
  <si>
    <t>sandra@dwmarkets.com</t>
  </si>
  <si>
    <t>lisette@dwmarkets.com</t>
  </si>
  <si>
    <t>alexandra@dwmarkets.com</t>
  </si>
  <si>
    <t>vlpradhan@gmail.com</t>
  </si>
  <si>
    <t>shannon@dwmarkets.com</t>
  </si>
  <si>
    <t>aleem@dwmarkets.com</t>
  </si>
  <si>
    <t>nicole@dwmarkets.com</t>
  </si>
  <si>
    <t>gscoon@googlemail.com</t>
  </si>
  <si>
    <t>nestor@dwmarkets.com</t>
  </si>
  <si>
    <t>tony@dwmarkets.com</t>
  </si>
  <si>
    <t>jtarleton@dwmarkets.com</t>
  </si>
  <si>
    <t>bogdan@dwmarkets.com</t>
  </si>
  <si>
    <t>jonathan@dwmarkets.com</t>
  </si>
  <si>
    <t>odette@dwmarkets.com</t>
  </si>
  <si>
    <t>courtland@dwmarkets.com</t>
  </si>
  <si>
    <t>erica@dwmarkets.com</t>
  </si>
  <si>
    <t>Hall</t>
  </si>
  <si>
    <t>Erica</t>
  </si>
  <si>
    <t>120 Sullivan St, Apt 41</t>
  </si>
  <si>
    <t>COBRA</t>
  </si>
  <si>
    <t xml:space="preserve">Out of network fee schedule, confidential developed by Cigna, uses Medicare </t>
  </si>
  <si>
    <t xml:space="preserve">Cigna Healthcare using Great West </t>
  </si>
  <si>
    <t>$500 per day, up to $1,500 per year</t>
  </si>
  <si>
    <t>Hospital and Radiology, see below</t>
  </si>
  <si>
    <t>PY 2013 - 2014</t>
  </si>
  <si>
    <t>three years</t>
  </si>
  <si>
    <t>Vision Plan Design and Cost Comparison</t>
  </si>
  <si>
    <t>Benefits Summary</t>
  </si>
  <si>
    <t>Vision Service Plan [VSP]</t>
  </si>
  <si>
    <t>Out-of-Network Reimbursement</t>
  </si>
  <si>
    <t>Exam</t>
  </si>
  <si>
    <t>Lenses</t>
  </si>
  <si>
    <t xml:space="preserve">   Single Vision</t>
  </si>
  <si>
    <t>covered in full</t>
  </si>
  <si>
    <t xml:space="preserve">   Bifocal</t>
  </si>
  <si>
    <t xml:space="preserve">   Trifocal</t>
  </si>
  <si>
    <t xml:space="preserve">   Lenticular</t>
  </si>
  <si>
    <t>Frames</t>
  </si>
  <si>
    <t xml:space="preserve">Contact Lenses: </t>
  </si>
  <si>
    <t xml:space="preserve">   Elective </t>
  </si>
  <si>
    <t xml:space="preserve">   Medically Necessary</t>
  </si>
  <si>
    <t>$210 every 12 months</t>
  </si>
  <si>
    <t>Lasik Benefit</t>
  </si>
  <si>
    <t>15% discount off average price from participating provider</t>
  </si>
  <si>
    <t>Frequency</t>
  </si>
  <si>
    <t xml:space="preserve">   Exam</t>
  </si>
  <si>
    <t>12 months</t>
  </si>
  <si>
    <t xml:space="preserve">   Lenses</t>
  </si>
  <si>
    <t xml:space="preserve">   Frames</t>
  </si>
  <si>
    <t xml:space="preserve">   Employee &amp; One</t>
  </si>
  <si>
    <t xml:space="preserve">   Employee &amp; Children</t>
  </si>
  <si>
    <t>plan effective November 1, 2013</t>
  </si>
  <si>
    <t>all benefit eligible employees, match the medical plan enrollment</t>
  </si>
  <si>
    <t>Employee only</t>
  </si>
  <si>
    <t>Employee plus one dependent</t>
  </si>
  <si>
    <t>Employee plus family</t>
  </si>
  <si>
    <t>Individual Stop-Loss</t>
  </si>
  <si>
    <t>Claims funding</t>
  </si>
  <si>
    <t>Policy Year 2013 - 2014</t>
  </si>
  <si>
    <t>annual total</t>
  </si>
  <si>
    <r>
      <t xml:space="preserve">Increase / </t>
    </r>
    <r>
      <rPr>
        <sz val="12"/>
        <color rgb="FFFF0000"/>
        <rFont val="Arial"/>
        <family val="2"/>
      </rPr>
      <t>-Decrease %</t>
    </r>
  </si>
  <si>
    <t xml:space="preserve">   Employee plus two or more dependents</t>
  </si>
  <si>
    <t xml:space="preserve">   Employee plus one dependent</t>
  </si>
  <si>
    <t xml:space="preserve">   Employee only</t>
  </si>
  <si>
    <t>Individual Stop-Loss = $30,000 of more paid per policy year</t>
  </si>
  <si>
    <t>Administration fee</t>
  </si>
  <si>
    <t>Aggregate Stop-Loss</t>
  </si>
  <si>
    <t>Aggregate Stop-Loss = 110% of the annual expected claims pick</t>
  </si>
  <si>
    <t>Fixed cost, does not fluctuate</t>
  </si>
  <si>
    <t>Fluctuates</t>
  </si>
  <si>
    <t>monthly premium</t>
  </si>
  <si>
    <t>Anticipated annualized claims over a 12 month period</t>
  </si>
  <si>
    <t>Plan Cost Summary Rates - POS to HSA Plan</t>
  </si>
  <si>
    <t>Medical Plan Design and Cost Comparison - Effective November 1, 2013 DUAL OPTION</t>
  </si>
  <si>
    <t>intergrated deductible $1,500 / $3,000</t>
  </si>
  <si>
    <t xml:space="preserve">Administration = SG&amp;A, expenses to run the plan </t>
  </si>
  <si>
    <t>Total spend by dollars</t>
  </si>
  <si>
    <t>Total spend as a %</t>
  </si>
  <si>
    <t>covered up to $130, then 20% of the balance</t>
  </si>
  <si>
    <t>$105 every 12 months</t>
  </si>
  <si>
    <t>after $20 co-payment, benefit covers up to $130 of lenses</t>
  </si>
  <si>
    <t>two years, up to 2015</t>
  </si>
  <si>
    <t>flat benefit</t>
  </si>
  <si>
    <t>Voluntary Life Plan Design and Cost Comparison - Effective November 1, 2013</t>
  </si>
  <si>
    <t xml:space="preserve">Yes, 50% up to Maximum Payment of $250,000 </t>
  </si>
  <si>
    <t>35 - 39</t>
  </si>
  <si>
    <t>40 - 44</t>
  </si>
  <si>
    <t>45 - 49</t>
  </si>
  <si>
    <t>&lt; - 29</t>
  </si>
  <si>
    <t>30 - 34</t>
  </si>
  <si>
    <t>50 - 54</t>
  </si>
  <si>
    <t>55 - 59</t>
  </si>
  <si>
    <t>60 - 64</t>
  </si>
  <si>
    <t>65 - 69</t>
  </si>
  <si>
    <t>Estimated volume</t>
  </si>
  <si>
    <t>70 - 74</t>
  </si>
  <si>
    <t>75 + &gt;</t>
  </si>
  <si>
    <t>age bracket, attained age each year</t>
  </si>
  <si>
    <t>PY 2013 - 2016</t>
  </si>
  <si>
    <t>Increments:</t>
  </si>
  <si>
    <t>$10,000 increments</t>
  </si>
  <si>
    <t>Rate for the year, attained age as of November 1st</t>
  </si>
  <si>
    <t># Covered Employees = minimum number</t>
  </si>
  <si>
    <t>35% at age 65 &amp; 15% at age 70</t>
  </si>
  <si>
    <t>Employee Guaranteed Issue Amount [for under age 70 or age 70 lower amount]</t>
  </si>
  <si>
    <t xml:space="preserve">Enrollment </t>
  </si>
  <si>
    <t xml:space="preserve">Subcriber Only </t>
  </si>
  <si>
    <t>Subcriber&amp; Spouse</t>
  </si>
  <si>
    <t>Subcriber Child(ren)</t>
  </si>
  <si>
    <t>Family</t>
  </si>
  <si>
    <t xml:space="preserve">Tier </t>
  </si>
  <si>
    <t>Plan Option 1</t>
  </si>
  <si>
    <t>Plan Option 2</t>
  </si>
  <si>
    <t>$ Annual Change from Current</t>
  </si>
  <si>
    <t>% Annual Change from Current</t>
  </si>
  <si>
    <t xml:space="preserve">Total Enrolled </t>
  </si>
  <si>
    <t>Total Current Monthy Premium</t>
  </si>
  <si>
    <t>Total Current Annual Premium</t>
  </si>
  <si>
    <t>Total Renewal Monthly Premium</t>
  </si>
  <si>
    <t>Kaiser Permenente</t>
  </si>
  <si>
    <t>Total Renewal Annual Premium</t>
  </si>
  <si>
    <t>vs</t>
  </si>
  <si>
    <t xml:space="preserve">Increase </t>
  </si>
  <si>
    <t xml:space="preserve">This is for Illustrative purpose ONLY!!! </t>
  </si>
  <si>
    <t xml:space="preserve">Total Monthly Proposed Premium </t>
  </si>
  <si>
    <t xml:space="preserve">Total Annual Proposed Premium </t>
  </si>
  <si>
    <t xml:space="preserve">Current Carefirst </t>
  </si>
  <si>
    <t xml:space="preserve"> Plan Name - Current </t>
  </si>
  <si>
    <t xml:space="preserve">Plan Name - Renewal </t>
  </si>
  <si>
    <t xml:space="preserve">KP Plan Name  vs Current  </t>
  </si>
  <si>
    <t xml:space="preserve">KP Plan Name  vs  Renewal </t>
  </si>
  <si>
    <t xml:space="preserve">Current Carrier </t>
  </si>
  <si>
    <t xml:space="preserve">Annual Premium After Modified Billing Arrangement  </t>
  </si>
  <si>
    <t xml:space="preserve">Employer </t>
  </si>
  <si>
    <t xml:space="preserve">Employee </t>
  </si>
  <si>
    <t>Plan Option 3</t>
  </si>
  <si>
    <t>Plan Option 4</t>
  </si>
  <si>
    <t>UHC</t>
  </si>
  <si>
    <t>Total 2018 Monthy Premium</t>
  </si>
  <si>
    <t>Total 2019 Monthly Premium</t>
  </si>
  <si>
    <t>Total 2018 Annual Premium</t>
  </si>
  <si>
    <t>Total 2019 Annual Premium</t>
  </si>
  <si>
    <t xml:space="preserve">Total Proposed Monthly Premium </t>
  </si>
  <si>
    <t xml:space="preserve">Total Annual Premium </t>
  </si>
  <si>
    <t xml:space="preserve">After TD Program </t>
  </si>
  <si>
    <t>2019 Current UHC</t>
  </si>
  <si>
    <t xml:space="preserve">Plan Name-Current </t>
  </si>
  <si>
    <t xml:space="preserve">Plan Name-Renewal  </t>
  </si>
  <si>
    <t xml:space="preserve">KP Plan Name vs Current  </t>
  </si>
  <si>
    <t xml:space="preserve">KP Plan Name vs Renewal  </t>
  </si>
  <si>
    <t xml:space="preserve">Disclamier Is document is only a summary of your benefits for complete benefit details please see the SBC's </t>
  </si>
  <si>
    <t>Employee + 1</t>
  </si>
  <si>
    <t xml:space="preserve">Employee  Only </t>
  </si>
  <si>
    <t>KP Flex F</t>
  </si>
  <si>
    <t>$40$80/$90</t>
  </si>
  <si>
    <t>$35/55/90</t>
  </si>
  <si>
    <t>$25/40/$65</t>
  </si>
  <si>
    <t>Prescription</t>
  </si>
  <si>
    <t xml:space="preserve"> </t>
  </si>
  <si>
    <t>$100 Copay No Ded</t>
  </si>
  <si>
    <t xml:space="preserve">Emergency Room </t>
  </si>
  <si>
    <t>Plan Pays 70% AD</t>
  </si>
  <si>
    <t>Plan Pays 90% AD</t>
  </si>
  <si>
    <t xml:space="preserve">Outpatient Surgery </t>
  </si>
  <si>
    <t>$250 Copay No Ded</t>
  </si>
  <si>
    <t xml:space="preserve">Inpatient Hospital </t>
  </si>
  <si>
    <t>70%/30%</t>
  </si>
  <si>
    <t>Plan Pays 100% AD</t>
  </si>
  <si>
    <t xml:space="preserve">Coinsurance </t>
  </si>
  <si>
    <t>$55 Copay No Ded</t>
  </si>
  <si>
    <t>$40 Copay No Ded</t>
  </si>
  <si>
    <t xml:space="preserve">Specialty Care </t>
  </si>
  <si>
    <t>$45 Copay No Ded</t>
  </si>
  <si>
    <t>$30 Copay No Ded</t>
  </si>
  <si>
    <t xml:space="preserve">Primary Care </t>
  </si>
  <si>
    <t xml:space="preserve">Family  Out Of Pocket Max </t>
  </si>
  <si>
    <t xml:space="preserve">Individual Out Of Pocket Max </t>
  </si>
  <si>
    <t xml:space="preserve">None </t>
  </si>
  <si>
    <t xml:space="preserve">Family Deductible </t>
  </si>
  <si>
    <t xml:space="preserve">Individual Deductible </t>
  </si>
  <si>
    <t xml:space="preserve">Out Of Network </t>
  </si>
  <si>
    <t>Multiplan/PHCS</t>
  </si>
  <si>
    <t xml:space="preserve">Signature </t>
  </si>
  <si>
    <t xml:space="preserve">KP Flex F Signature </t>
  </si>
  <si>
    <t>Benefits</t>
  </si>
  <si>
    <t xml:space="preserve">Employee Only </t>
  </si>
  <si>
    <t xml:space="preserve">KP DHMO Plus 5 Signature </t>
  </si>
  <si>
    <t xml:space="preserve">$20/$35/$50 2x Copy 90 Days Supply </t>
  </si>
  <si>
    <t xml:space="preserve">In Network Only </t>
  </si>
  <si>
    <t>Plan Pays 80% After Ded</t>
  </si>
  <si>
    <t xml:space="preserve">Not Covered </t>
  </si>
  <si>
    <t>80%/20%</t>
  </si>
  <si>
    <t xml:space="preserve">Only outside the Service Area </t>
  </si>
  <si>
    <t>$30 Copy No Ded</t>
  </si>
  <si>
    <t>$50 Copy No Ded  - 10 visits per year</t>
  </si>
  <si>
    <t>$40 Copay No Ded - 10 visits per year</t>
  </si>
  <si>
    <t xml:space="preserve">$20 Copay No Ded </t>
  </si>
  <si>
    <t>Signature - In Network</t>
  </si>
  <si>
    <t xml:space="preserve">KP DHMO 05 Signature </t>
  </si>
  <si>
    <t>BENEFIT SUMMARY</t>
  </si>
  <si>
    <t>Plan Name</t>
  </si>
  <si>
    <t xml:space="preserve"> HSA-Qualified Deductible HMO (HDHP) HDHP 13</t>
  </si>
  <si>
    <t>DHMO 14</t>
  </si>
  <si>
    <t>DHMO 11</t>
  </si>
  <si>
    <t>Plan Type</t>
  </si>
  <si>
    <t>HDHP</t>
  </si>
  <si>
    <t>DHMO</t>
  </si>
  <si>
    <t>Network</t>
  </si>
  <si>
    <t>Individual Deductible</t>
  </si>
  <si>
    <t>Family Deductible</t>
  </si>
  <si>
    <t>Individual Out Of Pocket Maximum</t>
  </si>
  <si>
    <t>Family Out Of Pocket Maximum</t>
  </si>
  <si>
    <t>Coinsurance</t>
  </si>
  <si>
    <t>Plan Pays 100% After Deductible</t>
  </si>
  <si>
    <t xml:space="preserve">Plan Pays 100% </t>
  </si>
  <si>
    <t>Primary Care</t>
  </si>
  <si>
    <t>$20 Copay After Deductible</t>
  </si>
  <si>
    <t xml:space="preserve">$25 Copay </t>
  </si>
  <si>
    <t xml:space="preserve">$20 Copay </t>
  </si>
  <si>
    <t>Specialty Care</t>
  </si>
  <si>
    <t>$30 Copay After Deductible</t>
  </si>
  <si>
    <t xml:space="preserve">$35 Copay </t>
  </si>
  <si>
    <t xml:space="preserve">$30 Copay </t>
  </si>
  <si>
    <t>Telemedicine</t>
  </si>
  <si>
    <t>Plan Pays 100%</t>
  </si>
  <si>
    <t>Mental Health/Chemical Dependency, Individual Therapy</t>
  </si>
  <si>
    <t>Occupational/Physical/Speech Therapy</t>
  </si>
  <si>
    <t>$30 Copay After Deductible, 30 visits per contract year per injury, incident, or condition per each therapy</t>
  </si>
  <si>
    <t>$35 Copay, 30 visits per contract year per injury, incident, or condition per each therapy</t>
  </si>
  <si>
    <t>$30 Copay, 30 visits per contract year per injury, incident, or condition per each therapy</t>
  </si>
  <si>
    <t>Inpatient Hospital</t>
  </si>
  <si>
    <t>$250 Copay After Deductible</t>
  </si>
  <si>
    <t>Outpatient Surgery</t>
  </si>
  <si>
    <t>$100 Copay After Deductible</t>
  </si>
  <si>
    <t>Emergency Room</t>
  </si>
  <si>
    <t>$200 Copay After Deductible</t>
  </si>
  <si>
    <t>$150 Copay</t>
  </si>
  <si>
    <t xml:space="preserve">$100 Copay </t>
  </si>
  <si>
    <t>Ambulance</t>
  </si>
  <si>
    <t>$150 Copay After Deductible</t>
  </si>
  <si>
    <t>X-Ray, Imaging, &amp; Lab Tests</t>
  </si>
  <si>
    <t>Specialty Imaging (MRI, CT, PET, Nuclear Med)</t>
  </si>
  <si>
    <t>Eye Exams &amp; Treatments (Optometry/Ophthalmology)</t>
  </si>
  <si>
    <t>$20/$30 Copay After Deductible</t>
  </si>
  <si>
    <t xml:space="preserve">$25/$35 Copay </t>
  </si>
  <si>
    <t xml:space="preserve">$20/$30 Copay </t>
  </si>
  <si>
    <t>Durable Medical Equipment</t>
  </si>
  <si>
    <t>External Prosthetics (Artificial Limbs)</t>
  </si>
  <si>
    <t>Orthotics</t>
  </si>
  <si>
    <t>Advanced Infertility Rider</t>
  </si>
  <si>
    <t>50% Coinsurance $100,000 ben max/life, 3 procedures/life</t>
  </si>
  <si>
    <t>Chiropractic Rider</t>
  </si>
  <si>
    <t>$30 Copay/Visit 20 Visits/contract year</t>
  </si>
  <si>
    <t>$35 Copay/Visit 20 Visits/contract year</t>
  </si>
  <si>
    <t>Acupuncture Rider</t>
  </si>
  <si>
    <t>Hearing Aid Rider</t>
  </si>
  <si>
    <t xml:space="preserve"> 0% Coinsurance 1 hearing aid/ear/36 months, $1,000 ben max </t>
  </si>
  <si>
    <t xml:space="preserve"> $0 Copay 1 hearing aid/ear/36 months, $1,000 ben max </t>
  </si>
  <si>
    <t>Prescription Drugs (Most Generic / Most Preferred Brand / Non-Preferred Brand)</t>
  </si>
  <si>
    <t xml:space="preserve"> KP $15/35/60, Network $25/45/80, Mail Order $15/35/60; 30d 1 copay, 90d 2 copay, Mail Order 90d 2 copay After Medical Deductible</t>
  </si>
  <si>
    <t xml:space="preserve"> KP $15/35/60, Network $25/55/80, Mail Order $15/35/60; 30d 1 copay, 90d 2 copay, Mail Order 90d 2 copay</t>
  </si>
  <si>
    <t>Additional Details</t>
  </si>
  <si>
    <t>RATE SUMMARY</t>
  </si>
  <si>
    <t>Rate Tiers</t>
  </si>
  <si>
    <t>HDHP 13</t>
  </si>
  <si>
    <t>Subscriber Only</t>
  </si>
  <si>
    <t>Subscriber &amp; Spouse</t>
  </si>
  <si>
    <t>Subscriber &amp; 1 Child</t>
  </si>
  <si>
    <t>Subscriber &amp; 2 or more Children</t>
  </si>
  <si>
    <t>Subscriber &amp; Spouse &amp; 1 or more Children</t>
  </si>
  <si>
    <t>Employeer Plan Name Current</t>
  </si>
  <si>
    <t xml:space="preserve">Employee Plan Name Current </t>
  </si>
  <si>
    <t>Employeer Plan Name Renewal</t>
  </si>
  <si>
    <t xml:space="preserve">Employee Plan Name Renewal </t>
  </si>
  <si>
    <t xml:space="preserve">Employer KP Plan Name vs Current </t>
  </si>
  <si>
    <t>Employee KP Plan Name vs Renewal</t>
  </si>
  <si>
    <t xml:space="preserve">Option </t>
  </si>
  <si>
    <t>Row Labels</t>
  </si>
  <si>
    <t xml:space="preserve">Sum of Plan Name-Renewal  </t>
  </si>
  <si>
    <t>Grand Total</t>
  </si>
  <si>
    <t>Sum of Employeer Plan Name Renewal</t>
  </si>
  <si>
    <t xml:space="preserve">Sum of Employee Plan Name Renewal </t>
  </si>
  <si>
    <t xml:space="preserve">Sum of Enrollment </t>
  </si>
  <si>
    <t xml:space="preserve">Sum of Plan Name-Current </t>
  </si>
  <si>
    <t>Sum of Employeer Plan Name Current</t>
  </si>
  <si>
    <t xml:space="preserve">Sum of Employee Plan Name Current </t>
  </si>
  <si>
    <t>Youtube Revenue Analytics</t>
  </si>
  <si>
    <t>Total 2019 Monthy Premium</t>
  </si>
  <si>
    <t>Total Proposed Monthly Premium</t>
  </si>
  <si>
    <t>Increase</t>
  </si>
  <si>
    <t>2020 Premium</t>
  </si>
  <si>
    <t xml:space="preserve">Growth Percent </t>
  </si>
  <si>
    <t>2021 Premium</t>
  </si>
  <si>
    <t>2022 Premium</t>
  </si>
  <si>
    <t>Prjected Years</t>
  </si>
  <si>
    <t>Projected Values</t>
  </si>
  <si>
    <t>Sum of Projected Values</t>
  </si>
  <si>
    <t>Premiums</t>
  </si>
  <si>
    <t>Values</t>
  </si>
  <si>
    <t>2018 Monthly Premium</t>
  </si>
  <si>
    <t>2019 Monthly Premium</t>
  </si>
  <si>
    <t>2018 Annual Premium</t>
  </si>
  <si>
    <t>2019 Annual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</si>
</sst>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164" formatCode="&quot;$&quot;#,##0.00"/>
    <numFmt numFmtId="165" formatCode="0.0%"/>
    <numFmt numFmtId="166" formatCode="&quot;$&quot;#,##0.000"/>
    <numFmt numFmtId="167" formatCode="&quot;$&quot;#,##0"/>
    <numFmt numFmtId="168" formatCode="mm/dd/yyyy"/>
    <numFmt numFmtId="169" formatCode="0;[Red]0"/>
    <numFmt numFmtId="170" formatCode="[$-409]mmmm\ d\,\ yyyy;@"/>
    <numFmt numFmtId="171" formatCode="00000"/>
    <numFmt numFmtId="172" formatCode="&quot;$&quot;#,##0.0000"/>
    <numFmt numFmtId="173" formatCode="&quot;$&quot;#,##0.00000"/>
  </numFmts>
  <fonts count="60" x14ac:knownFonts="1">
    <font>
      <sz val="10"/>
      <name val="Arial"/>
    </font>
    <font>
      <sz val="11"/>
      <color theme="1"/>
      <name val="Calibri"/>
      <family val="2"/>
      <scheme val="minor"/>
    </font>
    <font>
      <sz val="10"/>
      <name val="Arial"/>
      <family val="2"/>
    </font>
    <font>
      <sz val="8"/>
      <name val="Arial"/>
      <family val="2"/>
    </font>
    <font>
      <sz val="11"/>
      <name val="Arial"/>
      <family val="2"/>
    </font>
    <font>
      <u/>
      <sz val="10"/>
      <color theme="10"/>
      <name val="Arial"/>
      <family val="2"/>
    </font>
    <font>
      <b/>
      <sz val="10"/>
      <name val="Arial"/>
      <family val="2"/>
    </font>
    <font>
      <b/>
      <sz val="14"/>
      <name val="Arial"/>
      <family val="2"/>
    </font>
    <font>
      <sz val="14"/>
      <name val="Arial"/>
      <family val="2"/>
    </font>
    <font>
      <b/>
      <sz val="12"/>
      <name val="Arial"/>
      <family val="2"/>
    </font>
    <font>
      <b/>
      <sz val="16"/>
      <name val="Arial"/>
      <family val="2"/>
    </font>
    <font>
      <sz val="12"/>
      <name val="Arial"/>
      <family val="2"/>
    </font>
    <font>
      <vertAlign val="superscript"/>
      <sz val="10"/>
      <name val="Arial"/>
      <family val="2"/>
    </font>
    <font>
      <b/>
      <vertAlign val="superscript"/>
      <sz val="10"/>
      <name val="Arial"/>
      <family val="2"/>
    </font>
    <font>
      <b/>
      <sz val="11"/>
      <name val="Arial"/>
      <family val="2"/>
    </font>
    <font>
      <sz val="10"/>
      <name val="Arial"/>
      <family val="2"/>
    </font>
    <font>
      <b/>
      <sz val="9"/>
      <name val="Arial"/>
      <family val="2"/>
    </font>
    <font>
      <sz val="9"/>
      <name val="Arial"/>
      <family val="2"/>
    </font>
    <font>
      <b/>
      <vertAlign val="superscript"/>
      <sz val="9"/>
      <name val="Arial"/>
      <family val="2"/>
    </font>
    <font>
      <i/>
      <sz val="11"/>
      <name val="Arial"/>
      <family val="2"/>
    </font>
    <font>
      <b/>
      <i/>
      <sz val="10"/>
      <name val="Arial"/>
      <family val="2"/>
    </font>
    <font>
      <b/>
      <i/>
      <sz val="11"/>
      <name val="Arial"/>
      <family val="2"/>
    </font>
    <font>
      <u/>
      <sz val="10"/>
      <name val="Arial"/>
      <family val="2"/>
    </font>
    <font>
      <u/>
      <sz val="10"/>
      <color rgb="FF000080"/>
      <name val="Arial"/>
      <family val="2"/>
    </font>
    <font>
      <sz val="11"/>
      <color theme="3" tint="-0.499984740745262"/>
      <name val="Arial"/>
      <family val="2"/>
    </font>
    <font>
      <strike/>
      <sz val="11"/>
      <name val="Arial"/>
      <family val="2"/>
    </font>
    <font>
      <strike/>
      <u/>
      <sz val="10"/>
      <color theme="10"/>
      <name val="Arial"/>
      <family val="2"/>
    </font>
    <font>
      <strike/>
      <sz val="10"/>
      <name val="Arial"/>
      <family val="2"/>
    </font>
    <font>
      <sz val="12"/>
      <color rgb="FFFF0000"/>
      <name val="Arial"/>
      <family val="2"/>
    </font>
    <font>
      <u/>
      <sz val="12"/>
      <name val="Arial"/>
      <family val="2"/>
    </font>
    <font>
      <b/>
      <sz val="10"/>
      <color rgb="FFFF0000"/>
      <name val="Arial"/>
      <family val="2"/>
    </font>
    <font>
      <b/>
      <sz val="10"/>
      <color theme="9" tint="0.39997558519241921"/>
      <name val="Arial"/>
      <family val="2"/>
    </font>
    <font>
      <i/>
      <sz val="12"/>
      <name val="Arial"/>
      <family val="2"/>
    </font>
    <font>
      <sz val="13"/>
      <name val="Arial"/>
      <family val="2"/>
    </font>
    <font>
      <sz val="18"/>
      <name val="Arial"/>
      <family val="2"/>
    </font>
    <font>
      <b/>
      <sz val="18"/>
      <name val="Arial"/>
      <family val="2"/>
    </font>
    <font>
      <b/>
      <sz val="13"/>
      <name val="Arial Black"/>
      <family val="2"/>
    </font>
    <font>
      <sz val="13"/>
      <name val="Arial Black"/>
      <family val="2"/>
    </font>
    <font>
      <b/>
      <sz val="18"/>
      <name val="Arial Black"/>
      <family val="2"/>
    </font>
    <font>
      <sz val="16"/>
      <name val="Arial"/>
      <family val="2"/>
    </font>
    <font>
      <sz val="10"/>
      <color theme="1"/>
      <name val="Arial"/>
      <family val="2"/>
    </font>
    <font>
      <sz val="18"/>
      <name val="Arial Black"/>
      <family val="2"/>
    </font>
    <font>
      <b/>
      <sz val="16"/>
      <name val="Arial Black"/>
      <family val="2"/>
    </font>
    <font>
      <b/>
      <sz val="13"/>
      <color rgb="FFFF0000"/>
      <name val="Arial Black"/>
      <family val="2"/>
    </font>
    <font>
      <b/>
      <u/>
      <sz val="13"/>
      <color rgb="FFFF0000"/>
      <name val="Arial Black"/>
      <family val="2"/>
    </font>
    <font>
      <b/>
      <i/>
      <u/>
      <sz val="11"/>
      <color rgb="FFFF0000"/>
      <name val="Arial Black"/>
      <family val="2"/>
    </font>
    <font>
      <sz val="16"/>
      <name val="Arial Black"/>
      <family val="2"/>
    </font>
    <font>
      <b/>
      <sz val="11"/>
      <color theme="0"/>
      <name val="Arial"/>
      <family val="2"/>
    </font>
    <font>
      <b/>
      <sz val="14"/>
      <name val="Arial Black"/>
      <family val="2"/>
    </font>
    <font>
      <sz val="14"/>
      <name val="Arial Black"/>
      <family val="2"/>
    </font>
    <font>
      <sz val="11"/>
      <color theme="1"/>
      <name val="Calibri"/>
      <family val="2"/>
    </font>
    <font>
      <sz val="12"/>
      <color theme="1"/>
      <name val="Calibri"/>
      <family val="2"/>
    </font>
    <font>
      <sz val="10"/>
      <color rgb="FF000000"/>
      <name val="Arial"/>
      <family val="2"/>
    </font>
    <font>
      <b/>
      <sz val="16"/>
      <color theme="1"/>
      <name val="Calibri"/>
      <family val="2"/>
    </font>
    <font>
      <sz val="11"/>
      <name val="Calibri"/>
      <family val="2"/>
      <scheme val="minor"/>
    </font>
    <font>
      <sz val="10"/>
      <color theme="2"/>
      <name val="Arial"/>
      <family val="2"/>
    </font>
    <font>
      <sz val="22"/>
      <color theme="2"/>
      <name val="Arial"/>
      <family val="2"/>
    </font>
    <font>
      <sz val="16"/>
      <color theme="2"/>
      <name val="Arial"/>
      <family val="2"/>
    </font>
    <font>
      <sz val="12"/>
      <color theme="2"/>
      <name val="Arial"/>
      <family val="2"/>
    </font>
    <font>
      <sz val="14"/>
      <color theme="2"/>
      <name val="Arial"/>
      <family val="2"/>
    </font>
  </fonts>
  <fills count="24">
    <fill>
      <patternFill patternType="none"/>
    </fill>
    <fill>
      <patternFill patternType="gray125"/>
    </fill>
    <fill>
      <patternFill patternType="solid">
        <fgColor indexed="9"/>
        <bgColor indexed="64"/>
      </patternFill>
    </fill>
    <fill>
      <patternFill patternType="solid">
        <fgColor theme="9" tint="0.3999450666829432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theme="8" tint="0.59999389629810485"/>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5" tint="0.59999389629810485"/>
        <bgColor indexed="64"/>
      </patternFill>
    </fill>
    <fill>
      <patternFill patternType="solid">
        <fgColor theme="3" tint="0.59996337778862885"/>
        <bgColor indexed="64"/>
      </patternFill>
    </fill>
    <fill>
      <patternFill patternType="solid">
        <fgColor theme="6" tint="0.59996337778862885"/>
        <bgColor indexed="64"/>
      </patternFill>
    </fill>
    <fill>
      <patternFill patternType="solid">
        <fgColor theme="7" tint="0.39997558519241921"/>
        <bgColor indexed="64"/>
      </patternFill>
    </fill>
    <fill>
      <patternFill patternType="solid">
        <fgColor theme="0"/>
        <bgColor indexed="64"/>
      </patternFill>
    </fill>
    <fill>
      <patternFill patternType="solid">
        <fgColor theme="1" tint="4.9989318521683403E-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
      <patternFill patternType="solid">
        <fgColor rgb="FF0070C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BD0303"/>
        <bgColor indexed="64"/>
      </patternFill>
    </fill>
    <fill>
      <patternFill patternType="solid">
        <fgColor theme="1" tint="0.34998626667073579"/>
        <bgColor indexed="64"/>
      </patternFill>
    </fill>
  </fills>
  <borders count="8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theme="4" tint="-0.499984740745262"/>
      </left>
      <right style="medium">
        <color theme="4" tint="-0.499984740745262"/>
      </right>
      <top style="medium">
        <color theme="4" tint="-0.499984740745262"/>
      </top>
      <bottom style="medium">
        <color theme="4" tint="-0.499984740745262"/>
      </bottom>
      <diagonal/>
    </border>
    <border>
      <left style="thin">
        <color indexed="64"/>
      </left>
      <right/>
      <top style="dotted">
        <color theme="3" tint="-0.499984740745262"/>
      </top>
      <bottom/>
      <diagonal/>
    </border>
    <border>
      <left/>
      <right/>
      <top style="dotted">
        <color theme="3" tint="-0.499984740745262"/>
      </top>
      <bottom/>
      <diagonal/>
    </border>
    <border>
      <left/>
      <right style="thin">
        <color indexed="64"/>
      </right>
      <top style="dotted">
        <color theme="3" tint="-0.499984740745262"/>
      </top>
      <bottom/>
      <diagonal/>
    </border>
    <border>
      <left style="thin">
        <color indexed="64"/>
      </left>
      <right/>
      <top/>
      <bottom style="dotted">
        <color theme="3" tint="-0.499984740745262"/>
      </bottom>
      <diagonal/>
    </border>
    <border>
      <left/>
      <right/>
      <top/>
      <bottom style="dotted">
        <color theme="3" tint="-0.499984740745262"/>
      </bottom>
      <diagonal/>
    </border>
    <border>
      <left/>
      <right style="thin">
        <color indexed="64"/>
      </right>
      <top/>
      <bottom style="dotted">
        <color theme="3" tint="-0.499984740745262"/>
      </bottom>
      <diagonal/>
    </border>
    <border>
      <left style="thin">
        <color indexed="64"/>
      </left>
      <right/>
      <top/>
      <bottom style="hair">
        <color theme="3" tint="-0.499984740745262"/>
      </bottom>
      <diagonal/>
    </border>
    <border>
      <left style="medium">
        <color theme="4" tint="-0.499984740745262"/>
      </left>
      <right/>
      <top style="medium">
        <color theme="4" tint="-0.499984740745262"/>
      </top>
      <bottom style="medium">
        <color theme="4" tint="-0.499984740745262"/>
      </bottom>
      <diagonal/>
    </border>
    <border>
      <left style="thin">
        <color theme="4" tint="-0.499984740745262"/>
      </left>
      <right style="medium">
        <color theme="4" tint="-0.499984740745262"/>
      </right>
      <top style="medium">
        <color theme="4" tint="-0.499984740745262"/>
      </top>
      <bottom style="medium">
        <color theme="4" tint="-0.499984740745262"/>
      </bottom>
      <diagonal/>
    </border>
    <border>
      <left/>
      <right/>
      <top style="medium">
        <color theme="4" tint="-0.499984740745262"/>
      </top>
      <bottom/>
      <diagonal/>
    </border>
    <border>
      <left style="medium">
        <color theme="4" tint="-0.499984740745262"/>
      </left>
      <right style="medium">
        <color theme="4" tint="-0.499984740745262"/>
      </right>
      <top/>
      <bottom/>
      <diagonal/>
    </border>
    <border>
      <left/>
      <right style="medium">
        <color theme="4" tint="-0.499984740745262"/>
      </right>
      <top/>
      <bottom/>
      <diagonal/>
    </border>
    <border>
      <left style="dotted">
        <color theme="8" tint="-0.24994659260841701"/>
      </left>
      <right/>
      <top/>
      <bottom/>
      <diagonal/>
    </border>
    <border>
      <left style="dotted">
        <color theme="8" tint="-0.24994659260841701"/>
      </left>
      <right/>
      <top/>
      <bottom style="dotted">
        <color theme="8" tint="-0.24994659260841701"/>
      </bottom>
      <diagonal/>
    </border>
    <border>
      <left/>
      <right/>
      <top/>
      <bottom style="dotted">
        <color theme="8" tint="-0.24994659260841701"/>
      </bottom>
      <diagonal/>
    </border>
    <border>
      <left style="dotted">
        <color theme="8" tint="-0.24994659260841701"/>
      </left>
      <right/>
      <top style="dotted">
        <color theme="8" tint="-0.24994659260841701"/>
      </top>
      <bottom style="dotted">
        <color theme="8" tint="-0.24994659260841701"/>
      </bottom>
      <diagonal/>
    </border>
    <border>
      <left/>
      <right/>
      <top style="dotted">
        <color theme="8" tint="-0.24994659260841701"/>
      </top>
      <bottom style="dotted">
        <color theme="8" tint="-0.24994659260841701"/>
      </bottom>
      <diagonal/>
    </border>
    <border>
      <left style="dashed">
        <color theme="8" tint="-0.24994659260841701"/>
      </left>
      <right style="dotted">
        <color theme="8" tint="-0.24994659260841701"/>
      </right>
      <top style="dotted">
        <color theme="8" tint="-0.24994659260841701"/>
      </top>
      <bottom style="dotted">
        <color theme="8" tint="-0.24994659260841701"/>
      </bottom>
      <diagonal/>
    </border>
    <border>
      <left style="dashed">
        <color theme="8" tint="-0.24994659260841701"/>
      </left>
      <right style="dotted">
        <color theme="8" tint="-0.24994659260841701"/>
      </right>
      <top/>
      <bottom/>
      <diagonal/>
    </border>
    <border>
      <left style="dashed">
        <color theme="8" tint="-0.24994659260841701"/>
      </left>
      <right style="dotted">
        <color theme="8" tint="-0.24994659260841701"/>
      </right>
      <top/>
      <bottom style="dotted">
        <color theme="8" tint="-0.24994659260841701"/>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ck">
        <color indexed="64"/>
      </right>
      <top style="thick">
        <color indexed="64"/>
      </top>
      <bottom/>
      <diagonal/>
    </border>
    <border>
      <left/>
      <right style="thick">
        <color indexed="64"/>
      </right>
      <top/>
      <bottom/>
      <diagonal/>
    </border>
    <border>
      <left/>
      <right style="thick">
        <color indexed="64"/>
      </right>
      <top/>
      <bottom style="thick">
        <color indexed="64"/>
      </bottom>
      <diagonal/>
    </border>
    <border>
      <left style="thick">
        <color indexed="64"/>
      </left>
      <right/>
      <top style="thick">
        <color indexed="64"/>
      </top>
      <bottom/>
      <diagonal/>
    </border>
    <border>
      <left style="thick">
        <color indexed="64"/>
      </left>
      <right/>
      <top/>
      <bottom/>
      <diagonal/>
    </border>
    <border>
      <left style="thick">
        <color indexed="64"/>
      </left>
      <right/>
      <top style="medium">
        <color indexed="64"/>
      </top>
      <bottom/>
      <diagonal/>
    </border>
    <border>
      <left style="thick">
        <color indexed="64"/>
      </left>
      <right/>
      <top/>
      <bottom style="thick">
        <color indexed="64"/>
      </bottom>
      <diagonal/>
    </border>
    <border>
      <left style="thick">
        <color indexed="64"/>
      </left>
      <right/>
      <top style="thick">
        <color indexed="64"/>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top/>
      <bottom style="dotted">
        <color indexed="64"/>
      </bottom>
      <diagonal/>
    </border>
    <border>
      <left style="thick">
        <color indexed="64"/>
      </left>
      <right/>
      <top style="dotted">
        <color indexed="64"/>
      </top>
      <bottom style="thick">
        <color indexed="64"/>
      </bottom>
      <diagonal/>
    </border>
    <border>
      <left/>
      <right style="thick">
        <color indexed="64"/>
      </right>
      <top style="dotted">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bottom style="dotted">
        <color indexed="64"/>
      </bottom>
      <diagonal/>
    </border>
    <border>
      <left style="thick">
        <color indexed="64"/>
      </left>
      <right/>
      <top style="thin">
        <color indexed="64"/>
      </top>
      <bottom style="dotted">
        <color indexed="64"/>
      </bottom>
      <diagonal/>
    </border>
    <border>
      <left/>
      <right style="thick">
        <color indexed="64"/>
      </right>
      <top style="thin">
        <color indexed="64"/>
      </top>
      <bottom style="dotted">
        <color indexed="64"/>
      </bottom>
      <diagonal/>
    </border>
    <border>
      <left/>
      <right/>
      <top style="thick">
        <color indexed="64"/>
      </top>
      <bottom/>
      <diagonal/>
    </border>
    <border>
      <left/>
      <right/>
      <top/>
      <bottom style="thick">
        <color indexed="64"/>
      </bottom>
      <diagonal/>
    </border>
    <border>
      <left style="thick">
        <color indexed="64"/>
      </left>
      <right style="thick">
        <color indexed="64"/>
      </right>
      <top style="thick">
        <color indexed="64"/>
      </top>
      <bottom style="thick">
        <color indexed="64"/>
      </bottom>
      <diagonal/>
    </border>
    <border>
      <left/>
      <right/>
      <top style="thin">
        <color indexed="64"/>
      </top>
      <bottom style="thick">
        <color indexed="64"/>
      </bottom>
      <diagonal/>
    </border>
    <border>
      <left/>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n">
        <color indexed="64"/>
      </top>
      <bottom/>
      <diagonal/>
    </border>
    <border>
      <left style="thick">
        <color indexed="64"/>
      </left>
      <right style="thick">
        <color indexed="64"/>
      </right>
      <top style="thick">
        <color indexed="64"/>
      </top>
      <bottom style="thin">
        <color indexed="64"/>
      </bottom>
      <diagonal/>
    </border>
    <border>
      <left/>
      <right/>
      <top style="thick">
        <color indexed="64"/>
      </top>
      <bottom style="thick">
        <color indexed="64"/>
      </bottom>
      <diagonal/>
    </border>
    <border>
      <left/>
      <right style="thick">
        <color indexed="64"/>
      </right>
      <top/>
      <bottom style="thin">
        <color indexed="64"/>
      </bottom>
      <diagonal/>
    </border>
    <border>
      <left/>
      <right/>
      <top style="thin">
        <color indexed="64"/>
      </top>
      <bottom style="dotted">
        <color indexed="64"/>
      </bottom>
      <diagonal/>
    </border>
    <border>
      <left/>
      <right/>
      <top style="dotted">
        <color indexed="64"/>
      </top>
      <bottom style="thick">
        <color indexed="64"/>
      </bottom>
      <diagonal/>
    </border>
    <border>
      <left/>
      <right/>
      <top style="dotted">
        <color indexed="64"/>
      </top>
      <bottom/>
      <diagonal/>
    </border>
  </borders>
  <cellStyleXfs count="10">
    <xf numFmtId="0" fontId="0" fillId="0" borderId="0"/>
    <xf numFmtId="44" fontId="2" fillId="0" borderId="0" applyFont="0" applyFill="0" applyBorder="0" applyAlignment="0" applyProtection="0"/>
    <xf numFmtId="0" fontId="2" fillId="0" borderId="0" applyBorder="0"/>
    <xf numFmtId="9" fontId="2" fillId="0" borderId="0" applyFont="0" applyFill="0" applyBorder="0" applyAlignment="0" applyProtection="0"/>
    <xf numFmtId="0" fontId="5" fillId="0" borderId="0" applyNumberFormat="0" applyFill="0" applyBorder="0" applyAlignment="0" applyProtection="0">
      <alignment vertical="top"/>
      <protection locked="0"/>
    </xf>
    <xf numFmtId="0" fontId="15" fillId="0" borderId="0"/>
    <xf numFmtId="0" fontId="2" fillId="0" borderId="0"/>
    <xf numFmtId="0" fontId="2" fillId="0" borderId="0"/>
    <xf numFmtId="0" fontId="2" fillId="0" borderId="0"/>
    <xf numFmtId="0" fontId="50" fillId="0" borderId="0"/>
  </cellStyleXfs>
  <cellXfs count="926">
    <xf numFmtId="0" fontId="0" fillId="0" borderId="0" xfId="0"/>
    <xf numFmtId="0" fontId="2" fillId="0" borderId="0" xfId="0" applyFont="1" applyAlignment="1">
      <alignment vertical="top"/>
    </xf>
    <xf numFmtId="0" fontId="6" fillId="3" borderId="0" xfId="0" applyFont="1" applyFill="1" applyAlignment="1">
      <alignment vertical="top"/>
    </xf>
    <xf numFmtId="0" fontId="6" fillId="0" borderId="0" xfId="0" applyFont="1" applyAlignment="1">
      <alignment vertical="top"/>
    </xf>
    <xf numFmtId="0" fontId="7" fillId="0" borderId="0" xfId="0" applyFont="1" applyAlignment="1">
      <alignment horizontal="left" vertical="top"/>
    </xf>
    <xf numFmtId="0" fontId="4" fillId="0" borderId="0" xfId="0" applyFont="1" applyAlignment="1">
      <alignment vertical="top"/>
    </xf>
    <xf numFmtId="0" fontId="6" fillId="0" borderId="3" xfId="0" applyFont="1" applyBorder="1" applyAlignment="1">
      <alignment horizontal="center" vertical="top"/>
    </xf>
    <xf numFmtId="0" fontId="6" fillId="3" borderId="3" xfId="0" applyFont="1" applyFill="1" applyBorder="1" applyAlignment="1">
      <alignment vertical="top"/>
    </xf>
    <xf numFmtId="0" fontId="6" fillId="0" borderId="3" xfId="0" applyFont="1" applyBorder="1" applyAlignment="1">
      <alignment vertical="top"/>
    </xf>
    <xf numFmtId="0" fontId="8" fillId="0" borderId="0" xfId="0" applyFont="1" applyAlignment="1">
      <alignment vertical="top"/>
    </xf>
    <xf numFmtId="0" fontId="10" fillId="0" borderId="0" xfId="0" applyFont="1" applyAlignment="1">
      <alignment vertical="top"/>
    </xf>
    <xf numFmtId="0" fontId="6" fillId="3" borderId="1" xfId="0" applyFont="1" applyFill="1" applyBorder="1" applyAlignment="1">
      <alignment vertical="top"/>
    </xf>
    <xf numFmtId="0" fontId="6" fillId="3" borderId="9" xfId="0" applyFont="1" applyFill="1" applyBorder="1" applyAlignment="1">
      <alignment vertical="top"/>
    </xf>
    <xf numFmtId="0" fontId="6" fillId="3" borderId="2" xfId="0" applyFont="1" applyFill="1" applyBorder="1" applyAlignment="1">
      <alignment vertical="top"/>
    </xf>
    <xf numFmtId="0" fontId="6" fillId="3" borderId="4" xfId="0" applyFont="1" applyFill="1" applyBorder="1" applyAlignment="1">
      <alignment vertical="top"/>
    </xf>
    <xf numFmtId="0" fontId="6" fillId="3" borderId="8" xfId="0" applyFont="1" applyFill="1" applyBorder="1" applyAlignment="1">
      <alignment vertical="top"/>
    </xf>
    <xf numFmtId="0" fontId="6" fillId="3" borderId="10" xfId="0" applyFont="1" applyFill="1" applyBorder="1" applyAlignment="1">
      <alignment vertical="top"/>
    </xf>
    <xf numFmtId="0" fontId="6" fillId="3" borderId="13" xfId="0" applyFont="1" applyFill="1" applyBorder="1" applyAlignment="1">
      <alignment vertical="top"/>
    </xf>
    <xf numFmtId="0" fontId="6" fillId="0" borderId="4" xfId="0" applyFont="1" applyBorder="1" applyAlignment="1">
      <alignment vertical="top"/>
    </xf>
    <xf numFmtId="0" fontId="6" fillId="0" borderId="3" xfId="0" applyFont="1" applyBorder="1" applyAlignment="1">
      <alignment horizontal="left" vertical="top"/>
    </xf>
    <xf numFmtId="0" fontId="6" fillId="0" borderId="0" xfId="0" applyFont="1" applyAlignment="1">
      <alignment horizontal="left" vertical="top"/>
    </xf>
    <xf numFmtId="0" fontId="6" fillId="0" borderId="4" xfId="0" applyFont="1" applyBorder="1" applyAlignment="1">
      <alignment horizontal="left" vertical="top"/>
    </xf>
    <xf numFmtId="0" fontId="2" fillId="0" borderId="3" xfId="0" applyFont="1" applyBorder="1" applyAlignment="1">
      <alignment horizontal="center" vertical="top"/>
    </xf>
    <xf numFmtId="0" fontId="2" fillId="0" borderId="0" xfId="0" applyFont="1" applyAlignment="1">
      <alignment horizontal="center" vertical="top" wrapText="1"/>
    </xf>
    <xf numFmtId="167" fontId="2" fillId="0" borderId="3" xfId="0" applyNumberFormat="1" applyFont="1" applyBorder="1" applyAlignment="1">
      <alignment horizontal="center" vertical="top" wrapText="1"/>
    </xf>
    <xf numFmtId="167" fontId="2" fillId="0" borderId="4" xfId="0" applyNumberFormat="1" applyFont="1" applyBorder="1" applyAlignment="1">
      <alignment horizontal="center" vertical="top" wrapText="1"/>
    </xf>
    <xf numFmtId="9" fontId="2" fillId="0" borderId="4" xfId="0" applyNumberFormat="1" applyFont="1" applyBorder="1" applyAlignment="1">
      <alignment horizontal="center" vertical="top"/>
    </xf>
    <xf numFmtId="0" fontId="2" fillId="0" borderId="3" xfId="0" applyFont="1" applyBorder="1" applyAlignment="1">
      <alignment vertical="top"/>
    </xf>
    <xf numFmtId="9" fontId="2" fillId="0" borderId="4" xfId="0" applyNumberFormat="1" applyFont="1" applyBorder="1" applyAlignment="1">
      <alignment horizontal="center" vertical="top" wrapText="1"/>
    </xf>
    <xf numFmtId="0" fontId="2" fillId="0" borderId="4" xfId="0" applyFont="1" applyBorder="1" applyAlignment="1">
      <alignment vertical="top"/>
    </xf>
    <xf numFmtId="0" fontId="2" fillId="0" borderId="13" xfId="0" applyFont="1" applyBorder="1" applyAlignment="1">
      <alignment horizontal="center" vertical="top"/>
    </xf>
    <xf numFmtId="0" fontId="6" fillId="0" borderId="7" xfId="0" applyFont="1" applyBorder="1" applyAlignment="1">
      <alignment horizontal="center" vertical="top"/>
    </xf>
    <xf numFmtId="0" fontId="6" fillId="0" borderId="5" xfId="0" applyFont="1" applyBorder="1" applyAlignment="1">
      <alignment horizontal="center" vertical="top"/>
    </xf>
    <xf numFmtId="1" fontId="6" fillId="0" borderId="12" xfId="0" applyNumberFormat="1" applyFont="1" applyBorder="1" applyAlignment="1">
      <alignment horizontal="center" vertical="top"/>
    </xf>
    <xf numFmtId="0" fontId="6" fillId="0" borderId="5" xfId="0" applyFont="1" applyBorder="1" applyAlignment="1">
      <alignment vertical="top"/>
    </xf>
    <xf numFmtId="0" fontId="6" fillId="0" borderId="6" xfId="0" applyFont="1" applyBorder="1" applyAlignment="1">
      <alignment horizontal="center" vertical="top"/>
    </xf>
    <xf numFmtId="1" fontId="6" fillId="0" borderId="6" xfId="0" applyNumberFormat="1" applyFont="1" applyBorder="1" applyAlignment="1">
      <alignment horizontal="center" vertical="top"/>
    </xf>
    <xf numFmtId="164" fontId="6" fillId="0" borderId="3" xfId="0" applyNumberFormat="1" applyFont="1" applyBorder="1" applyAlignment="1">
      <alignment horizontal="center" vertical="top"/>
    </xf>
    <xf numFmtId="164" fontId="6" fillId="0" borderId="4" xfId="0" applyNumberFormat="1" applyFont="1" applyBorder="1" applyAlignment="1">
      <alignment horizontal="center" vertical="top"/>
    </xf>
    <xf numFmtId="167" fontId="6" fillId="0" borderId="4" xfId="0" applyNumberFormat="1" applyFont="1" applyBorder="1" applyAlignment="1">
      <alignment horizontal="center" vertical="top"/>
    </xf>
    <xf numFmtId="9" fontId="6" fillId="0" borderId="8" xfId="3" applyFont="1" applyFill="1" applyBorder="1" applyAlignment="1">
      <alignment vertical="top"/>
    </xf>
    <xf numFmtId="0" fontId="2" fillId="0" borderId="9" xfId="0" applyFont="1" applyBorder="1" applyAlignment="1">
      <alignment vertical="top"/>
    </xf>
    <xf numFmtId="0" fontId="2" fillId="0" borderId="2" xfId="0" applyFont="1" applyBorder="1" applyAlignment="1">
      <alignment vertical="top"/>
    </xf>
    <xf numFmtId="0" fontId="2" fillId="0" borderId="10" xfId="0" applyFont="1" applyBorder="1" applyAlignment="1">
      <alignment vertical="top"/>
    </xf>
    <xf numFmtId="0" fontId="2" fillId="0" borderId="13" xfId="0" applyFont="1" applyBorder="1" applyAlignment="1">
      <alignment vertical="top"/>
    </xf>
    <xf numFmtId="0" fontId="6" fillId="0" borderId="11" xfId="0" applyFont="1" applyBorder="1" applyAlignment="1">
      <alignment vertical="top"/>
    </xf>
    <xf numFmtId="0" fontId="2" fillId="0" borderId="15" xfId="0" applyFont="1" applyBorder="1" applyAlignment="1">
      <alignment vertical="top"/>
    </xf>
    <xf numFmtId="0" fontId="2" fillId="0" borderId="14" xfId="0" applyFont="1" applyBorder="1" applyAlignment="1">
      <alignment vertical="top"/>
    </xf>
    <xf numFmtId="167" fontId="6" fillId="0" borderId="0" xfId="0" applyNumberFormat="1" applyFont="1" applyAlignment="1">
      <alignment horizontal="center" vertical="top"/>
    </xf>
    <xf numFmtId="167" fontId="2" fillId="0" borderId="0" xfId="0" applyNumberFormat="1" applyFont="1" applyAlignment="1">
      <alignment vertical="top"/>
    </xf>
    <xf numFmtId="164" fontId="2" fillId="0" borderId="0" xfId="0" applyNumberFormat="1" applyFont="1" applyAlignment="1">
      <alignment vertical="top"/>
    </xf>
    <xf numFmtId="0" fontId="2" fillId="0" borderId="0" xfId="0" applyFont="1"/>
    <xf numFmtId="0" fontId="8" fillId="0" borderId="0" xfId="0" applyFont="1" applyAlignment="1">
      <alignment horizontal="left" vertical="top"/>
    </xf>
    <xf numFmtId="167" fontId="6" fillId="3" borderId="2" xfId="0" applyNumberFormat="1" applyFont="1" applyFill="1" applyBorder="1" applyAlignment="1">
      <alignment horizontal="center" vertical="top"/>
    </xf>
    <xf numFmtId="9" fontId="6" fillId="3" borderId="13" xfId="3" applyFont="1" applyFill="1" applyBorder="1" applyAlignment="1">
      <alignment horizontal="center" vertical="top"/>
    </xf>
    <xf numFmtId="167" fontId="6" fillId="0" borderId="3" xfId="0" applyNumberFormat="1" applyFont="1" applyBorder="1" applyAlignment="1">
      <alignment horizontal="right" vertical="top"/>
    </xf>
    <xf numFmtId="167" fontId="6" fillId="3" borderId="1" xfId="0" applyNumberFormat="1" applyFont="1" applyFill="1" applyBorder="1" applyAlignment="1">
      <alignment horizontal="right" vertical="top"/>
    </xf>
    <xf numFmtId="9" fontId="6" fillId="3" borderId="8" xfId="3" applyFont="1" applyFill="1" applyBorder="1" applyAlignment="1">
      <alignment horizontal="right" vertical="top"/>
    </xf>
    <xf numFmtId="167" fontId="6" fillId="3" borderId="3" xfId="0" applyNumberFormat="1" applyFont="1" applyFill="1" applyBorder="1" applyAlignment="1">
      <alignment horizontal="right" vertical="top"/>
    </xf>
    <xf numFmtId="167" fontId="6" fillId="3" borderId="11" xfId="0" applyNumberFormat="1" applyFont="1" applyFill="1" applyBorder="1" applyAlignment="1">
      <alignment horizontal="right" vertical="top"/>
    </xf>
    <xf numFmtId="165" fontId="6" fillId="3" borderId="13" xfId="3" applyNumberFormat="1" applyFont="1" applyFill="1" applyBorder="1" applyAlignment="1">
      <alignment horizontal="center" vertical="top"/>
    </xf>
    <xf numFmtId="165" fontId="6" fillId="3" borderId="8" xfId="3" applyNumberFormat="1" applyFont="1" applyFill="1" applyBorder="1" applyAlignment="1">
      <alignment horizontal="right" vertical="top"/>
    </xf>
    <xf numFmtId="164" fontId="2" fillId="0" borderId="3" xfId="0" applyNumberFormat="1" applyFont="1" applyBorder="1" applyAlignment="1">
      <alignment horizontal="right" vertical="top"/>
    </xf>
    <xf numFmtId="0" fontId="6" fillId="0" borderId="17"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2" fillId="0" borderId="17" xfId="0" applyFont="1" applyBorder="1" applyAlignment="1">
      <alignment horizontal="center" vertical="top"/>
    </xf>
    <xf numFmtId="0" fontId="2" fillId="0" borderId="19" xfId="0" applyFont="1" applyBorder="1" applyAlignment="1">
      <alignment horizontal="center" vertical="top" wrapText="1"/>
    </xf>
    <xf numFmtId="0" fontId="6" fillId="0" borderId="20" xfId="0" applyFont="1" applyBorder="1" applyAlignment="1">
      <alignment vertical="top"/>
    </xf>
    <xf numFmtId="0" fontId="2" fillId="0" borderId="21" xfId="0" applyFont="1" applyBorder="1" applyAlignment="1">
      <alignment vertical="top"/>
    </xf>
    <xf numFmtId="0" fontId="2" fillId="0" borderId="22" xfId="0" applyFont="1" applyBorder="1" applyAlignment="1">
      <alignment vertical="top"/>
    </xf>
    <xf numFmtId="0" fontId="2" fillId="0" borderId="20" xfId="0" applyFont="1" applyBorder="1" applyAlignment="1">
      <alignment horizontal="center" vertical="top" wrapText="1"/>
    </xf>
    <xf numFmtId="0" fontId="2" fillId="0" borderId="22" xfId="0" applyFont="1" applyBorder="1" applyAlignment="1">
      <alignment horizontal="center" vertical="top" wrapText="1"/>
    </xf>
    <xf numFmtId="0" fontId="2" fillId="0" borderId="23" xfId="0" applyFont="1" applyBorder="1" applyAlignment="1">
      <alignment horizontal="center" vertical="top" wrapText="1"/>
    </xf>
    <xf numFmtId="167" fontId="2" fillId="6" borderId="3" xfId="0" applyNumberFormat="1" applyFont="1" applyFill="1" applyBorder="1" applyAlignment="1">
      <alignment horizontal="center" vertical="top" wrapText="1"/>
    </xf>
    <xf numFmtId="167" fontId="2" fillId="6" borderId="4" xfId="0" applyNumberFormat="1" applyFont="1" applyFill="1" applyBorder="1" applyAlignment="1">
      <alignment horizontal="center" vertical="top" wrapText="1"/>
    </xf>
    <xf numFmtId="0" fontId="2" fillId="6" borderId="4" xfId="0" applyFont="1" applyFill="1" applyBorder="1" applyAlignment="1">
      <alignment horizontal="center" vertical="top" wrapText="1"/>
    </xf>
    <xf numFmtId="167" fontId="2" fillId="6" borderId="4" xfId="0" applyNumberFormat="1" applyFont="1" applyFill="1" applyBorder="1" applyAlignment="1">
      <alignment horizontal="center" vertical="top"/>
    </xf>
    <xf numFmtId="6" fontId="2" fillId="6" borderId="3" xfId="0" applyNumberFormat="1" applyFont="1" applyFill="1" applyBorder="1" applyAlignment="1">
      <alignment horizontal="center" vertical="top" wrapText="1"/>
    </xf>
    <xf numFmtId="167" fontId="2" fillId="6" borderId="3" xfId="0" applyNumberFormat="1" applyFont="1" applyFill="1" applyBorder="1" applyAlignment="1">
      <alignment horizontal="center" vertical="top"/>
    </xf>
    <xf numFmtId="0" fontId="2" fillId="6" borderId="3" xfId="0" applyFont="1" applyFill="1" applyBorder="1" applyAlignment="1">
      <alignment horizontal="center" vertical="top"/>
    </xf>
    <xf numFmtId="0" fontId="2" fillId="6" borderId="20" xfId="0" applyFont="1" applyFill="1" applyBorder="1" applyAlignment="1">
      <alignment horizontal="center" vertical="top" wrapText="1"/>
    </xf>
    <xf numFmtId="10" fontId="2" fillId="0" borderId="0" xfId="0" applyNumberFormat="1" applyFont="1" applyAlignment="1">
      <alignment horizontal="center" vertical="top"/>
    </xf>
    <xf numFmtId="6" fontId="2" fillId="0" borderId="3" xfId="0" applyNumberFormat="1" applyFont="1" applyBorder="1" applyAlignment="1">
      <alignment horizontal="center" vertical="top" wrapText="1"/>
    </xf>
    <xf numFmtId="0" fontId="6" fillId="3" borderId="6" xfId="0" applyFont="1" applyFill="1" applyBorder="1" applyAlignment="1">
      <alignment horizontal="center" vertical="top"/>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4" xfId="0" applyFont="1" applyBorder="1" applyAlignment="1">
      <alignment horizontal="center" vertical="top"/>
    </xf>
    <xf numFmtId="167" fontId="2" fillId="0" borderId="4" xfId="0" applyNumberFormat="1" applyFont="1" applyBorder="1" applyAlignment="1">
      <alignment horizontal="center" vertical="top"/>
    </xf>
    <xf numFmtId="167" fontId="2" fillId="0" borderId="3" xfId="0" applyNumberFormat="1" applyFont="1" applyBorder="1" applyAlignment="1">
      <alignment horizontal="center" vertical="top"/>
    </xf>
    <xf numFmtId="167" fontId="6" fillId="3" borderId="4" xfId="0" applyNumberFormat="1" applyFont="1" applyFill="1" applyBorder="1" applyAlignment="1">
      <alignment horizontal="center" vertical="top"/>
    </xf>
    <xf numFmtId="0" fontId="2" fillId="0" borderId="0" xfId="0" applyFont="1" applyAlignment="1">
      <alignment horizontal="center" vertical="top"/>
    </xf>
    <xf numFmtId="9" fontId="2" fillId="0" borderId="3" xfId="0" applyNumberFormat="1" applyFont="1" applyBorder="1" applyAlignment="1">
      <alignment horizontal="center" vertical="top"/>
    </xf>
    <xf numFmtId="0" fontId="6" fillId="3" borderId="14" xfId="0" applyFont="1" applyFill="1" applyBorder="1" applyAlignment="1">
      <alignment horizontal="center" vertical="top"/>
    </xf>
    <xf numFmtId="167" fontId="6" fillId="3" borderId="14" xfId="0" applyNumberFormat="1" applyFont="1" applyFill="1" applyBorder="1" applyAlignment="1">
      <alignment horizontal="center" vertical="top"/>
    </xf>
    <xf numFmtId="9" fontId="2" fillId="0" borderId="0" xfId="0" applyNumberFormat="1" applyFont="1" applyAlignment="1">
      <alignment vertical="top"/>
    </xf>
    <xf numFmtId="167" fontId="2" fillId="7" borderId="3" xfId="0" applyNumberFormat="1" applyFont="1" applyFill="1" applyBorder="1" applyAlignment="1">
      <alignment horizontal="center" vertical="top" wrapText="1"/>
    </xf>
    <xf numFmtId="164" fontId="2" fillId="0" borderId="4" xfId="0" applyNumberFormat="1" applyFont="1" applyBorder="1" applyAlignment="1">
      <alignment horizontal="center" vertical="top" wrapText="1"/>
    </xf>
    <xf numFmtId="164" fontId="2" fillId="0" borderId="4" xfId="0" applyNumberFormat="1" applyFont="1" applyBorder="1" applyAlignment="1">
      <alignment horizontal="center" vertical="top"/>
    </xf>
    <xf numFmtId="164" fontId="2" fillId="6" borderId="3" xfId="0" applyNumberFormat="1" applyFont="1" applyFill="1" applyBorder="1" applyAlignment="1">
      <alignment horizontal="right" vertical="top" wrapText="1"/>
    </xf>
    <xf numFmtId="164" fontId="2" fillId="6" borderId="3" xfId="0" applyNumberFormat="1" applyFont="1" applyFill="1" applyBorder="1" applyAlignment="1">
      <alignment horizontal="right" vertical="top"/>
    </xf>
    <xf numFmtId="0" fontId="4" fillId="0" borderId="0" xfId="0" applyFont="1" applyAlignment="1">
      <alignment horizontal="center" vertical="top"/>
    </xf>
    <xf numFmtId="0" fontId="4" fillId="3" borderId="6" xfId="0" applyFont="1" applyFill="1" applyBorder="1" applyAlignment="1">
      <alignment horizontal="center" vertical="top"/>
    </xf>
    <xf numFmtId="0" fontId="4" fillId="0" borderId="5" xfId="0" applyFont="1" applyBorder="1" applyAlignment="1">
      <alignment vertical="top"/>
    </xf>
    <xf numFmtId="6" fontId="4" fillId="0" borderId="5" xfId="0" applyNumberFormat="1" applyFont="1" applyBorder="1" applyAlignment="1">
      <alignment vertical="top"/>
    </xf>
    <xf numFmtId="0" fontId="2" fillId="0" borderId="0" xfId="0" applyFont="1" applyAlignment="1">
      <alignment horizontal="left" vertical="top"/>
    </xf>
    <xf numFmtId="42" fontId="2" fillId="0" borderId="0" xfId="0" applyNumberFormat="1" applyFont="1" applyAlignment="1">
      <alignment vertical="top"/>
    </xf>
    <xf numFmtId="4" fontId="2" fillId="0" borderId="0" xfId="0" applyNumberFormat="1" applyFont="1" applyAlignment="1">
      <alignment vertical="top"/>
    </xf>
    <xf numFmtId="168" fontId="4" fillId="0" borderId="0" xfId="4" applyNumberFormat="1" applyFont="1" applyBorder="1" applyAlignment="1" applyProtection="1">
      <alignment horizontal="center" vertical="top"/>
    </xf>
    <xf numFmtId="168" fontId="4" fillId="0" borderId="0" xfId="4" applyNumberFormat="1" applyFont="1" applyFill="1" applyBorder="1" applyAlignment="1" applyProtection="1">
      <alignment horizontal="center" vertical="top"/>
    </xf>
    <xf numFmtId="0" fontId="9" fillId="0" borderId="0" xfId="0" applyFont="1" applyAlignment="1">
      <alignment vertical="top"/>
    </xf>
    <xf numFmtId="42" fontId="4" fillId="0" borderId="0" xfId="0" applyNumberFormat="1" applyFont="1" applyAlignment="1">
      <alignment horizontal="center" vertical="top"/>
    </xf>
    <xf numFmtId="37" fontId="2" fillId="0" borderId="0" xfId="0" applyNumberFormat="1" applyFont="1" applyAlignment="1">
      <alignment horizontal="center" vertical="top"/>
    </xf>
    <xf numFmtId="0" fontId="2" fillId="0" borderId="0" xfId="0" applyFont="1" applyAlignment="1">
      <alignment horizontal="right" vertical="top"/>
    </xf>
    <xf numFmtId="3" fontId="2" fillId="0" borderId="0" xfId="0" applyNumberFormat="1" applyFont="1" applyAlignment="1">
      <alignment horizontal="center" vertical="top"/>
    </xf>
    <xf numFmtId="165" fontId="2" fillId="0" borderId="0" xfId="0" applyNumberFormat="1" applyFont="1" applyAlignment="1">
      <alignment vertical="top"/>
    </xf>
    <xf numFmtId="165" fontId="2" fillId="0" borderId="0" xfId="0" applyNumberFormat="1" applyFont="1" applyAlignment="1">
      <alignment horizontal="center" vertical="top"/>
    </xf>
    <xf numFmtId="0" fontId="11" fillId="0" borderId="0" xfId="0" applyFont="1" applyAlignment="1">
      <alignment vertical="top"/>
    </xf>
    <xf numFmtId="0" fontId="11" fillId="0" borderId="0" xfId="0" applyFont="1" applyAlignment="1">
      <alignment horizontal="center" vertical="top"/>
    </xf>
    <xf numFmtId="3" fontId="11" fillId="0" borderId="0" xfId="0" applyNumberFormat="1" applyFont="1" applyAlignment="1">
      <alignment horizontal="center" vertical="top"/>
    </xf>
    <xf numFmtId="164" fontId="11" fillId="0" borderId="0" xfId="0" applyNumberFormat="1" applyFont="1" applyAlignment="1">
      <alignment vertical="top"/>
    </xf>
    <xf numFmtId="0" fontId="11" fillId="0" borderId="0" xfId="0" applyFont="1" applyAlignment="1">
      <alignment horizontal="right" vertical="top"/>
    </xf>
    <xf numFmtId="164" fontId="11" fillId="0" borderId="0" xfId="0" applyNumberFormat="1" applyFont="1" applyAlignment="1">
      <alignment horizontal="right" vertical="top"/>
    </xf>
    <xf numFmtId="164" fontId="11" fillId="0" borderId="0" xfId="0" applyNumberFormat="1" applyFont="1" applyAlignment="1">
      <alignment horizontal="center" vertical="top"/>
    </xf>
    <xf numFmtId="0" fontId="4" fillId="0" borderId="0" xfId="5" applyFont="1" applyAlignment="1">
      <alignment horizontal="left" vertical="top"/>
    </xf>
    <xf numFmtId="0" fontId="4" fillId="0" borderId="0" xfId="5" applyFont="1" applyAlignment="1">
      <alignment horizontal="left" vertical="top" wrapText="1"/>
    </xf>
    <xf numFmtId="0" fontId="4" fillId="0" borderId="0" xfId="5" applyFont="1" applyAlignment="1">
      <alignment horizontal="center" vertical="top"/>
    </xf>
    <xf numFmtId="171" fontId="4" fillId="0" borderId="0" xfId="5" applyNumberFormat="1" applyFont="1" applyAlignment="1">
      <alignment horizontal="center" vertical="top"/>
    </xf>
    <xf numFmtId="167" fontId="4" fillId="0" borderId="0" xfId="5" applyNumberFormat="1" applyFont="1" applyAlignment="1">
      <alignment horizontal="right" vertical="top"/>
    </xf>
    <xf numFmtId="169" fontId="4" fillId="0" borderId="0" xfId="5" applyNumberFormat="1" applyFont="1" applyAlignment="1">
      <alignment horizontal="center" vertical="top"/>
    </xf>
    <xf numFmtId="168" fontId="4" fillId="0" borderId="0" xfId="5" applyNumberFormat="1" applyFont="1" applyAlignment="1">
      <alignment horizontal="center" vertical="top"/>
    </xf>
    <xf numFmtId="4" fontId="4" fillId="0" borderId="0" xfId="5" applyNumberFormat="1" applyFont="1" applyAlignment="1">
      <alignment vertical="top"/>
    </xf>
    <xf numFmtId="164" fontId="4" fillId="0" borderId="0" xfId="5" applyNumberFormat="1" applyFont="1" applyAlignment="1">
      <alignment horizontal="center" vertical="top"/>
    </xf>
    <xf numFmtId="164" fontId="4" fillId="0" borderId="0" xfId="5" applyNumberFormat="1" applyFont="1" applyAlignment="1">
      <alignment vertical="top"/>
    </xf>
    <xf numFmtId="0" fontId="14" fillId="9" borderId="0" xfId="5" applyFont="1" applyFill="1" applyAlignment="1">
      <alignment horizontal="left" vertical="top"/>
    </xf>
    <xf numFmtId="0" fontId="14" fillId="9" borderId="0" xfId="5" applyFont="1" applyFill="1" applyAlignment="1">
      <alignment horizontal="left" vertical="top" wrapText="1"/>
    </xf>
    <xf numFmtId="0" fontId="14" fillId="9" borderId="0" xfId="5" applyFont="1" applyFill="1" applyAlignment="1">
      <alignment horizontal="center" vertical="top"/>
    </xf>
    <xf numFmtId="171" fontId="14" fillId="9" borderId="0" xfId="5" applyNumberFormat="1" applyFont="1" applyFill="1" applyAlignment="1">
      <alignment horizontal="center" vertical="top"/>
    </xf>
    <xf numFmtId="167" fontId="14" fillId="9" borderId="0" xfId="5" applyNumberFormat="1" applyFont="1" applyFill="1" applyAlignment="1">
      <alignment horizontal="right" vertical="top"/>
    </xf>
    <xf numFmtId="169" fontId="14" fillId="9" borderId="0" xfId="5" applyNumberFormat="1" applyFont="1" applyFill="1" applyAlignment="1">
      <alignment horizontal="center" vertical="top"/>
    </xf>
    <xf numFmtId="168" fontId="14" fillId="9" borderId="0" xfId="5" applyNumberFormat="1" applyFont="1" applyFill="1" applyAlignment="1">
      <alignment horizontal="center" vertical="top"/>
    </xf>
    <xf numFmtId="4" fontId="14" fillId="9" borderId="0" xfId="5" applyNumberFormat="1" applyFont="1" applyFill="1" applyAlignment="1">
      <alignment vertical="top"/>
    </xf>
    <xf numFmtId="164" fontId="14" fillId="9" borderId="0" xfId="5" applyNumberFormat="1" applyFont="1" applyFill="1" applyAlignment="1">
      <alignment horizontal="center" vertical="top"/>
    </xf>
    <xf numFmtId="164" fontId="14" fillId="9" borderId="0" xfId="5" applyNumberFormat="1" applyFont="1" applyFill="1" applyAlignment="1">
      <alignment vertical="top"/>
    </xf>
    <xf numFmtId="0" fontId="14" fillId="10" borderId="0" xfId="5" applyFont="1" applyFill="1" applyAlignment="1">
      <alignment horizontal="left" vertical="top"/>
    </xf>
    <xf numFmtId="0" fontId="14" fillId="10" borderId="0" xfId="5" applyFont="1" applyFill="1" applyAlignment="1">
      <alignment horizontal="left" vertical="top" wrapText="1"/>
    </xf>
    <xf numFmtId="0" fontId="14" fillId="10" borderId="0" xfId="5" applyFont="1" applyFill="1" applyAlignment="1">
      <alignment horizontal="center" vertical="top"/>
    </xf>
    <xf numFmtId="171" fontId="14" fillId="10" borderId="0" xfId="5" applyNumberFormat="1" applyFont="1" applyFill="1" applyAlignment="1">
      <alignment horizontal="center" vertical="top"/>
    </xf>
    <xf numFmtId="167" fontId="14" fillId="10" borderId="0" xfId="5" applyNumberFormat="1" applyFont="1" applyFill="1" applyAlignment="1">
      <alignment horizontal="right" vertical="top"/>
    </xf>
    <xf numFmtId="169" fontId="14" fillId="10" borderId="0" xfId="5" applyNumberFormat="1" applyFont="1" applyFill="1" applyAlignment="1">
      <alignment horizontal="center" vertical="top"/>
    </xf>
    <xf numFmtId="168" fontId="14" fillId="10" borderId="0" xfId="5" applyNumberFormat="1" applyFont="1" applyFill="1" applyAlignment="1">
      <alignment horizontal="center" vertical="top"/>
    </xf>
    <xf numFmtId="4" fontId="14" fillId="10" borderId="0" xfId="5" applyNumberFormat="1" applyFont="1" applyFill="1" applyAlignment="1">
      <alignment vertical="top"/>
    </xf>
    <xf numFmtId="164" fontId="14" fillId="10" borderId="0" xfId="5" applyNumberFormat="1" applyFont="1" applyFill="1" applyAlignment="1">
      <alignment vertical="top"/>
    </xf>
    <xf numFmtId="0" fontId="4" fillId="0" borderId="0" xfId="5" applyFont="1" applyAlignment="1">
      <alignment horizontal="center" vertical="top" wrapText="1"/>
    </xf>
    <xf numFmtId="171" fontId="4" fillId="0" borderId="0" xfId="5" applyNumberFormat="1" applyFont="1" applyAlignment="1">
      <alignment horizontal="center" vertical="top" wrapText="1"/>
    </xf>
    <xf numFmtId="168" fontId="4" fillId="0" borderId="0" xfId="5" applyNumberFormat="1" applyFont="1" applyAlignment="1">
      <alignment horizontal="center" vertical="top" wrapText="1"/>
    </xf>
    <xf numFmtId="3" fontId="6" fillId="0" borderId="7" xfId="0" applyNumberFormat="1" applyFont="1" applyBorder="1" applyAlignment="1">
      <alignment horizontal="center" vertical="top"/>
    </xf>
    <xf numFmtId="3" fontId="6" fillId="0" borderId="5" xfId="0" applyNumberFormat="1" applyFont="1" applyBorder="1" applyAlignment="1">
      <alignment horizontal="center" vertical="top"/>
    </xf>
    <xf numFmtId="0" fontId="11" fillId="0" borderId="16" xfId="5" applyFont="1" applyBorder="1" applyAlignment="1">
      <alignment horizontal="center" vertical="top" wrapText="1"/>
    </xf>
    <xf numFmtId="42" fontId="11" fillId="0" borderId="16" xfId="5" applyNumberFormat="1" applyFont="1" applyBorder="1" applyAlignment="1">
      <alignment horizontal="center" vertical="top" wrapText="1"/>
    </xf>
    <xf numFmtId="4" fontId="11" fillId="0" borderId="16" xfId="5" applyNumberFormat="1" applyFont="1" applyBorder="1" applyAlignment="1">
      <alignment horizontal="center" vertical="top" wrapText="1"/>
    </xf>
    <xf numFmtId="4" fontId="2" fillId="0" borderId="16" xfId="5" applyNumberFormat="1" applyFont="1" applyBorder="1" applyAlignment="1">
      <alignment horizontal="center" vertical="top" wrapText="1"/>
    </xf>
    <xf numFmtId="4" fontId="11" fillId="8" borderId="16" xfId="5" applyNumberFormat="1" applyFont="1" applyFill="1" applyBorder="1" applyAlignment="1">
      <alignment horizontal="center" vertical="top" wrapText="1"/>
    </xf>
    <xf numFmtId="0" fontId="2" fillId="0" borderId="3" xfId="0" applyFont="1" applyBorder="1" applyAlignment="1">
      <alignment horizontal="right" vertical="top"/>
    </xf>
    <xf numFmtId="164" fontId="4" fillId="4" borderId="0" xfId="5" applyNumberFormat="1" applyFont="1" applyFill="1" applyAlignment="1">
      <alignment vertical="top"/>
    </xf>
    <xf numFmtId="4" fontId="2" fillId="0" borderId="25" xfId="5" applyNumberFormat="1" applyFont="1" applyBorder="1" applyAlignment="1">
      <alignment horizontal="center" vertical="top" wrapText="1"/>
    </xf>
    <xf numFmtId="170" fontId="17" fillId="0" borderId="0" xfId="0" applyNumberFormat="1" applyFont="1" applyAlignment="1">
      <alignment horizontal="center" vertical="top"/>
    </xf>
    <xf numFmtId="42" fontId="17" fillId="0" borderId="16" xfId="5" applyNumberFormat="1" applyFont="1" applyBorder="1" applyAlignment="1">
      <alignment horizontal="center" vertical="top" wrapText="1"/>
    </xf>
    <xf numFmtId="164" fontId="14" fillId="5" borderId="0" xfId="5" applyNumberFormat="1" applyFont="1" applyFill="1" applyAlignment="1">
      <alignment vertical="top"/>
    </xf>
    <xf numFmtId="164" fontId="4" fillId="0" borderId="26" xfId="5" applyNumberFormat="1" applyFont="1" applyBorder="1" applyAlignment="1">
      <alignment vertical="top"/>
    </xf>
    <xf numFmtId="164" fontId="4" fillId="11" borderId="0" xfId="5" applyNumberFormat="1" applyFont="1" applyFill="1" applyAlignment="1">
      <alignment horizontal="center" vertical="top"/>
    </xf>
    <xf numFmtId="0" fontId="6" fillId="0" borderId="12" xfId="0" applyFont="1" applyBorder="1" applyAlignment="1">
      <alignment vertical="top"/>
    </xf>
    <xf numFmtId="164" fontId="6" fillId="0" borderId="8" xfId="0" applyNumberFormat="1" applyFont="1" applyBorder="1" applyAlignment="1">
      <alignment horizontal="center" vertical="top"/>
    </xf>
    <xf numFmtId="164" fontId="6" fillId="0" borderId="13" xfId="0" applyNumberFormat="1" applyFont="1" applyBorder="1" applyAlignment="1">
      <alignment horizontal="center" vertical="top"/>
    </xf>
    <xf numFmtId="0" fontId="2" fillId="0" borderId="0" xfId="0" applyFont="1" applyAlignment="1">
      <alignment vertical="top" wrapText="1"/>
    </xf>
    <xf numFmtId="3" fontId="2" fillId="0" borderId="0" xfId="0" applyNumberFormat="1" applyFont="1" applyAlignment="1">
      <alignment horizontal="left" vertical="top"/>
    </xf>
    <xf numFmtId="165" fontId="2" fillId="0" borderId="0" xfId="0" applyNumberFormat="1" applyFont="1" applyAlignment="1">
      <alignment horizontal="left" vertical="top"/>
    </xf>
    <xf numFmtId="0" fontId="14" fillId="0" borderId="0" xfId="2" applyFont="1" applyAlignment="1">
      <alignment horizontal="left" vertical="top"/>
    </xf>
    <xf numFmtId="0" fontId="4" fillId="0" borderId="0" xfId="0" applyFont="1" applyAlignment="1">
      <alignment horizontal="left" vertical="top"/>
    </xf>
    <xf numFmtId="0" fontId="14" fillId="0" borderId="0" xfId="0" applyFont="1" applyAlignment="1">
      <alignment horizontal="left" vertical="top"/>
    </xf>
    <xf numFmtId="0" fontId="14" fillId="0" borderId="0" xfId="0" applyFont="1" applyAlignment="1">
      <alignment vertical="top"/>
    </xf>
    <xf numFmtId="0" fontId="14" fillId="0" borderId="0" xfId="0" applyFont="1" applyAlignment="1">
      <alignment horizontal="center" vertical="top"/>
    </xf>
    <xf numFmtId="0" fontId="4" fillId="0" borderId="5" xfId="0" applyFont="1" applyBorder="1" applyAlignment="1">
      <alignment horizontal="left" vertical="top"/>
    </xf>
    <xf numFmtId="0" fontId="4" fillId="2" borderId="0" xfId="0" applyFont="1" applyFill="1" applyAlignment="1">
      <alignment vertical="top"/>
    </xf>
    <xf numFmtId="6" fontId="4" fillId="0" borderId="5" xfId="0" applyNumberFormat="1" applyFont="1" applyBorder="1" applyAlignment="1">
      <alignment vertical="top" wrapText="1"/>
    </xf>
    <xf numFmtId="6" fontId="14" fillId="0" borderId="5" xfId="0" applyNumberFormat="1" applyFont="1" applyBorder="1" applyAlignment="1">
      <alignment vertical="top"/>
    </xf>
    <xf numFmtId="0" fontId="14" fillId="0" borderId="5" xfId="0" applyFont="1" applyBorder="1"/>
    <xf numFmtId="8" fontId="4" fillId="0" borderId="0" xfId="0" applyNumberFormat="1" applyFont="1" applyAlignment="1">
      <alignment vertical="top"/>
    </xf>
    <xf numFmtId="6" fontId="11" fillId="0" borderId="5" xfId="0" applyNumberFormat="1" applyFont="1" applyBorder="1" applyAlignment="1">
      <alignment horizontal="center" vertical="top"/>
    </xf>
    <xf numFmtId="166" fontId="11" fillId="0" borderId="5" xfId="0" applyNumberFormat="1" applyFont="1" applyBorder="1" applyAlignment="1">
      <alignment horizontal="center" vertical="top"/>
    </xf>
    <xf numFmtId="3" fontId="11" fillId="0" borderId="5" xfId="0" applyNumberFormat="1" applyFont="1" applyBorder="1" applyAlignment="1">
      <alignment horizontal="center" vertical="top"/>
    </xf>
    <xf numFmtId="4" fontId="2" fillId="0" borderId="27" xfId="5" applyNumberFormat="1" applyFont="1" applyBorder="1" applyAlignment="1">
      <alignment horizontal="center" vertical="top" wrapText="1"/>
    </xf>
    <xf numFmtId="4" fontId="11" fillId="0" borderId="24" xfId="5" applyNumberFormat="1" applyFont="1" applyBorder="1" applyAlignment="1">
      <alignment horizontal="center" vertical="top" wrapText="1"/>
    </xf>
    <xf numFmtId="6" fontId="2" fillId="0" borderId="0" xfId="0" applyNumberFormat="1" applyFont="1" applyAlignment="1">
      <alignment vertical="top"/>
    </xf>
    <xf numFmtId="164" fontId="2" fillId="0" borderId="0" xfId="0" applyNumberFormat="1" applyFont="1" applyAlignment="1">
      <alignment horizontal="center" vertical="top"/>
    </xf>
    <xf numFmtId="6" fontId="2" fillId="0" borderId="0" xfId="0" applyNumberFormat="1" applyFont="1" applyAlignment="1">
      <alignment horizontal="center" vertical="top" wrapText="1"/>
    </xf>
    <xf numFmtId="167" fontId="2" fillId="0" borderId="0" xfId="0" applyNumberFormat="1" applyFont="1" applyAlignment="1">
      <alignment horizontal="center" vertical="top" wrapText="1"/>
    </xf>
    <xf numFmtId="9" fontId="2" fillId="0" borderId="0" xfId="0" applyNumberFormat="1" applyFont="1" applyAlignment="1">
      <alignment horizontal="center" vertical="top"/>
    </xf>
    <xf numFmtId="167" fontId="2" fillId="0" borderId="0" xfId="0" applyNumberFormat="1" applyFont="1" applyAlignment="1">
      <alignment horizontal="center" vertical="top"/>
    </xf>
    <xf numFmtId="9" fontId="2" fillId="0" borderId="0" xfId="0" applyNumberFormat="1" applyFont="1" applyAlignment="1">
      <alignment horizontal="center" vertical="top" wrapText="1"/>
    </xf>
    <xf numFmtId="164" fontId="6" fillId="0" borderId="0" xfId="0" applyNumberFormat="1" applyFont="1" applyAlignment="1">
      <alignment horizontal="center" vertical="top"/>
    </xf>
    <xf numFmtId="165" fontId="6" fillId="0" borderId="0" xfId="3" applyNumberFormat="1" applyFont="1" applyFill="1" applyBorder="1" applyAlignment="1">
      <alignment horizontal="center" vertical="top"/>
    </xf>
    <xf numFmtId="0" fontId="6" fillId="0" borderId="0" xfId="0" applyFont="1" applyAlignment="1">
      <alignment horizontal="center" vertical="top"/>
    </xf>
    <xf numFmtId="0" fontId="6" fillId="7" borderId="3" xfId="0" applyFont="1" applyFill="1" applyBorder="1" applyAlignment="1">
      <alignment vertical="top"/>
    </xf>
    <xf numFmtId="0" fontId="2" fillId="0" borderId="4" xfId="0" applyFont="1" applyBorder="1" applyAlignment="1">
      <alignment horizontal="right" vertical="top"/>
    </xf>
    <xf numFmtId="0" fontId="2" fillId="0" borderId="16" xfId="0" applyFont="1" applyBorder="1" applyAlignment="1">
      <alignment horizontal="center" vertical="top" wrapText="1"/>
    </xf>
    <xf numFmtId="0" fontId="4" fillId="12" borderId="0" xfId="5" applyFont="1" applyFill="1" applyAlignment="1">
      <alignment horizontal="left" vertical="top"/>
    </xf>
    <xf numFmtId="0" fontId="4" fillId="12" borderId="0" xfId="5" applyFont="1" applyFill="1" applyAlignment="1">
      <alignment horizontal="left" vertical="top" wrapText="1"/>
    </xf>
    <xf numFmtId="0" fontId="4" fillId="12" borderId="0" xfId="5" applyFont="1" applyFill="1" applyAlignment="1">
      <alignment horizontal="center" vertical="top"/>
    </xf>
    <xf numFmtId="171" fontId="4" fillId="12" borderId="0" xfId="5" applyNumberFormat="1" applyFont="1" applyFill="1" applyAlignment="1">
      <alignment horizontal="center" vertical="top"/>
    </xf>
    <xf numFmtId="167" fontId="4" fillId="12" borderId="0" xfId="5" applyNumberFormat="1" applyFont="1" applyFill="1" applyAlignment="1">
      <alignment horizontal="right" vertical="top"/>
    </xf>
    <xf numFmtId="168" fontId="4" fillId="12" borderId="0" xfId="5" applyNumberFormat="1" applyFont="1" applyFill="1" applyAlignment="1">
      <alignment horizontal="center" vertical="top"/>
    </xf>
    <xf numFmtId="169" fontId="4" fillId="12" borderId="0" xfId="5" applyNumberFormat="1" applyFont="1" applyFill="1" applyAlignment="1">
      <alignment horizontal="center" vertical="top"/>
    </xf>
    <xf numFmtId="4" fontId="4" fillId="12" borderId="0" xfId="5" applyNumberFormat="1" applyFont="1" applyFill="1" applyAlignment="1">
      <alignment vertical="top"/>
    </xf>
    <xf numFmtId="164" fontId="4" fillId="12" borderId="0" xfId="5" applyNumberFormat="1" applyFont="1" applyFill="1" applyAlignment="1">
      <alignment horizontal="center" vertical="top"/>
    </xf>
    <xf numFmtId="164" fontId="4" fillId="12" borderId="0" xfId="5" applyNumberFormat="1" applyFont="1" applyFill="1" applyAlignment="1">
      <alignment vertical="top"/>
    </xf>
    <xf numFmtId="164" fontId="14" fillId="12" borderId="0" xfId="5" applyNumberFormat="1" applyFont="1" applyFill="1" applyAlignment="1">
      <alignment vertical="top"/>
    </xf>
    <xf numFmtId="6" fontId="2" fillId="12" borderId="0" xfId="0" applyNumberFormat="1" applyFont="1" applyFill="1" applyAlignment="1">
      <alignment vertical="top"/>
    </xf>
    <xf numFmtId="164" fontId="14" fillId="0" borderId="0" xfId="5" applyNumberFormat="1" applyFont="1" applyAlignment="1">
      <alignment vertical="top"/>
    </xf>
    <xf numFmtId="4" fontId="11" fillId="0" borderId="28" xfId="5" applyNumberFormat="1" applyFont="1" applyBorder="1" applyAlignment="1">
      <alignment horizontal="center" vertical="top" wrapText="1"/>
    </xf>
    <xf numFmtId="164" fontId="4" fillId="0" borderId="0" xfId="5" applyNumberFormat="1" applyFont="1" applyAlignment="1">
      <alignment horizontal="right" vertical="top"/>
    </xf>
    <xf numFmtId="164" fontId="14" fillId="9" borderId="0" xfId="5" applyNumberFormat="1" applyFont="1" applyFill="1" applyAlignment="1">
      <alignment horizontal="right" vertical="top"/>
    </xf>
    <xf numFmtId="164" fontId="19" fillId="12" borderId="0" xfId="5" applyNumberFormat="1" applyFont="1" applyFill="1" applyAlignment="1">
      <alignment horizontal="right" vertical="top"/>
    </xf>
    <xf numFmtId="164" fontId="4" fillId="12" borderId="0" xfId="5" applyNumberFormat="1" applyFont="1" applyFill="1" applyAlignment="1">
      <alignment horizontal="right" vertical="top"/>
    </xf>
    <xf numFmtId="0" fontId="21" fillId="13" borderId="0" xfId="5" applyFont="1" applyFill="1" applyAlignment="1">
      <alignment horizontal="left" vertical="top"/>
    </xf>
    <xf numFmtId="0" fontId="21" fillId="13" borderId="0" xfId="5" applyFont="1" applyFill="1" applyAlignment="1">
      <alignment horizontal="left" vertical="top" wrapText="1"/>
    </xf>
    <xf numFmtId="0" fontId="21" fillId="13" borderId="0" xfId="5" applyFont="1" applyFill="1" applyAlignment="1">
      <alignment horizontal="center" vertical="top"/>
    </xf>
    <xf numFmtId="171" fontId="21" fillId="13" borderId="0" xfId="5" applyNumberFormat="1" applyFont="1" applyFill="1" applyAlignment="1">
      <alignment horizontal="center" vertical="top"/>
    </xf>
    <xf numFmtId="167" fontId="21" fillId="13" borderId="0" xfId="5" applyNumberFormat="1" applyFont="1" applyFill="1" applyAlignment="1">
      <alignment horizontal="right" vertical="top"/>
    </xf>
    <xf numFmtId="168" fontId="21" fillId="13" borderId="0" xfId="5" applyNumberFormat="1" applyFont="1" applyFill="1" applyAlignment="1">
      <alignment horizontal="center" vertical="top"/>
    </xf>
    <xf numFmtId="169" fontId="21" fillId="13" borderId="0" xfId="5" applyNumberFormat="1" applyFont="1" applyFill="1" applyAlignment="1">
      <alignment horizontal="center" vertical="top"/>
    </xf>
    <xf numFmtId="4" fontId="21" fillId="13" borderId="0" xfId="5" applyNumberFormat="1" applyFont="1" applyFill="1" applyAlignment="1">
      <alignment vertical="top"/>
    </xf>
    <xf numFmtId="164" fontId="21" fillId="13" borderId="0" xfId="5" applyNumberFormat="1" applyFont="1" applyFill="1" applyAlignment="1">
      <alignment horizontal="center" vertical="top"/>
    </xf>
    <xf numFmtId="164" fontId="21" fillId="13" borderId="0" xfId="5" applyNumberFormat="1" applyFont="1" applyFill="1" applyAlignment="1">
      <alignment horizontal="right" vertical="top"/>
    </xf>
    <xf numFmtId="164" fontId="21" fillId="13" borderId="0" xfId="5" applyNumberFormat="1" applyFont="1" applyFill="1" applyAlignment="1">
      <alignment vertical="top"/>
    </xf>
    <xf numFmtId="6" fontId="20" fillId="13" borderId="0" xfId="0" applyNumberFormat="1" applyFont="1" applyFill="1" applyAlignment="1">
      <alignment vertical="top"/>
    </xf>
    <xf numFmtId="0" fontId="20" fillId="13" borderId="0" xfId="0" applyFont="1" applyFill="1" applyAlignment="1">
      <alignment vertical="top"/>
    </xf>
    <xf numFmtId="0" fontId="20" fillId="13" borderId="0" xfId="0" applyFont="1" applyFill="1"/>
    <xf numFmtId="0" fontId="2" fillId="0" borderId="11" xfId="0" applyFont="1" applyBorder="1"/>
    <xf numFmtId="0" fontId="2" fillId="0" borderId="15" xfId="0" applyFont="1" applyBorder="1"/>
    <xf numFmtId="0" fontId="2" fillId="0" borderId="14" xfId="0" applyFont="1" applyBorder="1"/>
    <xf numFmtId="167" fontId="6" fillId="0" borderId="11" xfId="0" applyNumberFormat="1" applyFont="1" applyBorder="1"/>
    <xf numFmtId="167" fontId="11" fillId="0" borderId="0" xfId="0" applyNumberFormat="1" applyFont="1" applyAlignment="1">
      <alignment vertical="top"/>
    </xf>
    <xf numFmtId="164" fontId="2" fillId="0" borderId="3" xfId="0" applyNumberFormat="1" applyFont="1" applyBorder="1" applyAlignment="1">
      <alignment horizontal="right" vertical="top" wrapText="1"/>
    </xf>
    <xf numFmtId="164" fontId="2" fillId="0" borderId="4" xfId="0" applyNumberFormat="1" applyFont="1" applyBorder="1" applyAlignment="1">
      <alignment horizontal="right" vertical="top" wrapText="1"/>
    </xf>
    <xf numFmtId="164" fontId="2" fillId="0" borderId="4" xfId="0" applyNumberFormat="1" applyFont="1" applyBorder="1" applyAlignment="1">
      <alignment horizontal="right" vertical="top"/>
    </xf>
    <xf numFmtId="0" fontId="2" fillId="0" borderId="0" xfId="7" applyAlignment="1">
      <alignment horizontal="left" vertical="top"/>
    </xf>
    <xf numFmtId="0" fontId="2" fillId="0" borderId="0" xfId="6" applyAlignment="1">
      <alignment vertical="top"/>
    </xf>
    <xf numFmtId="0" fontId="5" fillId="0" borderId="0" xfId="4" applyBorder="1" applyAlignment="1" applyProtection="1">
      <alignment vertical="top"/>
    </xf>
    <xf numFmtId="0" fontId="6" fillId="9" borderId="0" xfId="6" applyFont="1" applyFill="1" applyAlignment="1">
      <alignment vertical="top"/>
    </xf>
    <xf numFmtId="0" fontId="2" fillId="0" borderId="0" xfId="7" applyAlignment="1">
      <alignment horizontal="center" vertical="top"/>
    </xf>
    <xf numFmtId="0" fontId="22" fillId="0" borderId="0" xfId="4" applyFont="1" applyFill="1" applyBorder="1" applyAlignment="1" applyProtection="1">
      <alignment vertical="top"/>
    </xf>
    <xf numFmtId="0" fontId="11" fillId="0" borderId="16" xfId="7" applyFont="1" applyBorder="1" applyAlignment="1">
      <alignment horizontal="center" vertical="top" wrapText="1"/>
    </xf>
    <xf numFmtId="167" fontId="4" fillId="0" borderId="0" xfId="7" applyNumberFormat="1" applyFont="1" applyAlignment="1">
      <alignment horizontal="right" vertical="top"/>
    </xf>
    <xf numFmtId="168" fontId="4" fillId="0" borderId="0" xfId="7" applyNumberFormat="1" applyFont="1" applyAlignment="1">
      <alignment horizontal="center" vertical="top"/>
    </xf>
    <xf numFmtId="0" fontId="4" fillId="0" borderId="0" xfId="7" applyFont="1" applyAlignment="1">
      <alignment horizontal="center" vertical="top"/>
    </xf>
    <xf numFmtId="0" fontId="4" fillId="0" borderId="0" xfId="7" applyFont="1" applyAlignment="1">
      <alignment horizontal="left" vertical="top"/>
    </xf>
    <xf numFmtId="168" fontId="14" fillId="9" borderId="0" xfId="4" applyNumberFormat="1" applyFont="1" applyFill="1" applyBorder="1" applyAlignment="1" applyProtection="1">
      <alignment horizontal="center" vertical="top"/>
    </xf>
    <xf numFmtId="168" fontId="14" fillId="10" borderId="0" xfId="4" applyNumberFormat="1" applyFont="1" applyFill="1" applyBorder="1" applyAlignment="1" applyProtection="1">
      <alignment horizontal="center" vertical="top"/>
    </xf>
    <xf numFmtId="168" fontId="4" fillId="12" borderId="0" xfId="4" applyNumberFormat="1" applyFont="1" applyFill="1" applyBorder="1" applyAlignment="1" applyProtection="1">
      <alignment horizontal="center" vertical="top"/>
    </xf>
    <xf numFmtId="0" fontId="5" fillId="13" borderId="0" xfId="4" applyFill="1" applyBorder="1" applyAlignment="1" applyProtection="1">
      <alignment vertical="top"/>
    </xf>
    <xf numFmtId="168" fontId="21" fillId="13" borderId="0" xfId="4" applyNumberFormat="1" applyFont="1" applyFill="1" applyBorder="1" applyAlignment="1" applyProtection="1">
      <alignment horizontal="center" vertical="top"/>
    </xf>
    <xf numFmtId="0" fontId="9" fillId="0" borderId="0" xfId="7" applyFont="1" applyAlignment="1">
      <alignment vertical="top"/>
    </xf>
    <xf numFmtId="0" fontId="2" fillId="0" borderId="0" xfId="7" applyAlignment="1">
      <alignment vertical="top"/>
    </xf>
    <xf numFmtId="0" fontId="2" fillId="0" borderId="0" xfId="7" applyAlignment="1">
      <alignment vertical="top" wrapText="1"/>
    </xf>
    <xf numFmtId="14" fontId="2" fillId="0" borderId="0" xfId="7" applyNumberFormat="1" applyAlignment="1">
      <alignment vertical="top"/>
    </xf>
    <xf numFmtId="0" fontId="4" fillId="0" borderId="0" xfId="7" applyFont="1" applyAlignment="1">
      <alignment vertical="top" wrapText="1"/>
    </xf>
    <xf numFmtId="0" fontId="4" fillId="0" borderId="0" xfId="7" applyFont="1" applyAlignment="1">
      <alignment vertical="top"/>
    </xf>
    <xf numFmtId="0" fontId="14" fillId="0" borderId="0" xfId="7" applyFont="1" applyAlignment="1">
      <alignment vertical="top"/>
    </xf>
    <xf numFmtId="0" fontId="4" fillId="0" borderId="0" xfId="7" applyFont="1" applyAlignment="1">
      <alignment vertical="center"/>
    </xf>
    <xf numFmtId="0" fontId="23" fillId="0" borderId="0" xfId="4" applyFont="1" applyBorder="1" applyAlignment="1" applyProtection="1">
      <alignment vertical="top"/>
    </xf>
    <xf numFmtId="0" fontId="23" fillId="0" borderId="0" xfId="4" applyFont="1" applyFill="1" applyBorder="1" applyAlignment="1" applyProtection="1">
      <alignment vertical="top"/>
    </xf>
    <xf numFmtId="0" fontId="20" fillId="0" borderId="0" xfId="0" applyFont="1" applyAlignment="1">
      <alignment vertical="top"/>
    </xf>
    <xf numFmtId="169" fontId="24" fillId="0" borderId="0" xfId="7" applyNumberFormat="1" applyFont="1" applyAlignment="1">
      <alignment horizontal="center" vertical="top"/>
    </xf>
    <xf numFmtId="0" fontId="6" fillId="0" borderId="8" xfId="0" applyFont="1" applyBorder="1" applyAlignment="1">
      <alignment vertical="top"/>
    </xf>
    <xf numFmtId="0" fontId="2" fillId="0" borderId="8" xfId="0" applyFont="1" applyBorder="1" applyAlignment="1">
      <alignment horizontal="center" vertical="top"/>
    </xf>
    <xf numFmtId="0" fontId="25" fillId="0" borderId="0" xfId="5" applyFont="1" applyAlignment="1">
      <alignment horizontal="left" vertical="top"/>
    </xf>
    <xf numFmtId="0" fontId="26" fillId="0" borderId="0" xfId="4" applyFont="1" applyBorder="1" applyAlignment="1" applyProtection="1">
      <alignment vertical="top"/>
    </xf>
    <xf numFmtId="0" fontId="25" fillId="0" borderId="0" xfId="5" applyFont="1" applyAlignment="1">
      <alignment horizontal="left" vertical="top" wrapText="1"/>
    </xf>
    <xf numFmtId="0" fontId="25" fillId="0" borderId="0" xfId="5" applyFont="1" applyAlignment="1">
      <alignment horizontal="center" vertical="top"/>
    </xf>
    <xf numFmtId="171" fontId="25" fillId="0" borderId="0" xfId="5" applyNumberFormat="1" applyFont="1" applyAlignment="1">
      <alignment horizontal="center" vertical="top"/>
    </xf>
    <xf numFmtId="167" fontId="25" fillId="0" borderId="0" xfId="5" applyNumberFormat="1" applyFont="1" applyAlignment="1">
      <alignment horizontal="right" vertical="top"/>
    </xf>
    <xf numFmtId="168" fontId="25" fillId="0" borderId="0" xfId="5" applyNumberFormat="1" applyFont="1" applyAlignment="1">
      <alignment horizontal="center" vertical="top"/>
    </xf>
    <xf numFmtId="168" fontId="25" fillId="0" borderId="0" xfId="4" applyNumberFormat="1" applyFont="1" applyBorder="1" applyAlignment="1" applyProtection="1">
      <alignment horizontal="center" vertical="top"/>
    </xf>
    <xf numFmtId="169" fontId="25" fillId="0" borderId="0" xfId="5" applyNumberFormat="1" applyFont="1" applyAlignment="1">
      <alignment horizontal="center" vertical="top"/>
    </xf>
    <xf numFmtId="4" fontId="25" fillId="0" borderId="0" xfId="5" applyNumberFormat="1" applyFont="1" applyAlignment="1">
      <alignment vertical="top"/>
    </xf>
    <xf numFmtId="164" fontId="25" fillId="0" borderId="0" xfId="5" applyNumberFormat="1" applyFont="1" applyAlignment="1">
      <alignment horizontal="center" vertical="top"/>
    </xf>
    <xf numFmtId="164" fontId="25" fillId="0" borderId="0" xfId="5" applyNumberFormat="1" applyFont="1" applyAlignment="1">
      <alignment horizontal="right" vertical="top"/>
    </xf>
    <xf numFmtId="164" fontId="25" fillId="0" borderId="0" xfId="5" applyNumberFormat="1" applyFont="1" applyAlignment="1">
      <alignment vertical="top"/>
    </xf>
    <xf numFmtId="164" fontId="25" fillId="4" borderId="0" xfId="5" applyNumberFormat="1" applyFont="1" applyFill="1" applyAlignment="1">
      <alignment vertical="top"/>
    </xf>
    <xf numFmtId="6" fontId="27" fillId="0" borderId="0" xfId="0" applyNumberFormat="1" applyFont="1" applyAlignment="1">
      <alignment vertical="top"/>
    </xf>
    <xf numFmtId="0" fontId="27" fillId="0" borderId="0" xfId="0" applyFont="1" applyAlignment="1">
      <alignment vertical="top"/>
    </xf>
    <xf numFmtId="1" fontId="11" fillId="0" borderId="5" xfId="0" applyNumberFormat="1" applyFont="1" applyBorder="1" applyAlignment="1">
      <alignment horizontal="center" vertical="top"/>
    </xf>
    <xf numFmtId="0" fontId="11" fillId="3" borderId="6" xfId="0" applyFont="1" applyFill="1" applyBorder="1" applyAlignment="1">
      <alignment horizontal="center" vertical="top"/>
    </xf>
    <xf numFmtId="0" fontId="11" fillId="3" borderId="11" xfId="0" applyFont="1" applyFill="1" applyBorder="1" applyAlignment="1">
      <alignment horizontal="left"/>
    </xf>
    <xf numFmtId="0" fontId="11" fillId="0" borderId="5" xfId="0" applyFont="1" applyBorder="1" applyAlignment="1">
      <alignment horizontal="center" vertical="top" wrapText="1"/>
    </xf>
    <xf numFmtId="167" fontId="11" fillId="0" borderId="5" xfId="0" applyNumberFormat="1" applyFont="1" applyBorder="1" applyAlignment="1">
      <alignment horizontal="center" vertical="top" wrapText="1"/>
    </xf>
    <xf numFmtId="9" fontId="11" fillId="0" borderId="5" xfId="0" applyNumberFormat="1" applyFont="1" applyBorder="1" applyAlignment="1">
      <alignment horizontal="center" vertical="top" wrapText="1"/>
    </xf>
    <xf numFmtId="6" fontId="11" fillId="0" borderId="5" xfId="0" applyNumberFormat="1" applyFont="1" applyBorder="1" applyAlignment="1">
      <alignment horizontal="center" vertical="top" wrapText="1"/>
    </xf>
    <xf numFmtId="1" fontId="11" fillId="0" borderId="5" xfId="0" applyNumberFormat="1" applyFont="1" applyBorder="1" applyAlignment="1">
      <alignment horizontal="center" vertical="top" wrapText="1"/>
    </xf>
    <xf numFmtId="0" fontId="4" fillId="3" borderId="1" xfId="0" applyFont="1" applyFill="1" applyBorder="1" applyAlignment="1">
      <alignment horizontal="left" vertical="top"/>
    </xf>
    <xf numFmtId="0" fontId="4" fillId="3" borderId="2" xfId="0" applyFont="1" applyFill="1" applyBorder="1" applyAlignment="1">
      <alignment horizontal="left" vertical="top"/>
    </xf>
    <xf numFmtId="0" fontId="4" fillId="3" borderId="3" xfId="0" applyFont="1" applyFill="1" applyBorder="1" applyAlignment="1">
      <alignment horizontal="left" vertical="top"/>
    </xf>
    <xf numFmtId="0" fontId="4" fillId="3" borderId="4" xfId="0" applyFont="1" applyFill="1" applyBorder="1" applyAlignment="1">
      <alignment horizontal="left" vertical="top"/>
    </xf>
    <xf numFmtId="0" fontId="4" fillId="3" borderId="8" xfId="0" applyFont="1" applyFill="1" applyBorder="1" applyAlignment="1">
      <alignment horizontal="left" vertical="top"/>
    </xf>
    <xf numFmtId="0" fontId="4" fillId="3" borderId="13" xfId="0" applyFont="1" applyFill="1" applyBorder="1" applyAlignment="1">
      <alignment horizontal="left" vertical="top"/>
    </xf>
    <xf numFmtId="0" fontId="4" fillId="3" borderId="14" xfId="0" applyFont="1" applyFill="1" applyBorder="1" applyAlignment="1">
      <alignment horizontal="center" vertical="top"/>
    </xf>
    <xf numFmtId="0" fontId="14" fillId="0" borderId="3" xfId="0" applyFont="1" applyBorder="1" applyAlignment="1">
      <alignment horizontal="left" vertical="top"/>
    </xf>
    <xf numFmtId="0" fontId="14" fillId="0" borderId="2" xfId="0" applyFont="1" applyBorder="1" applyAlignment="1">
      <alignment horizontal="left" vertical="top"/>
    </xf>
    <xf numFmtId="167" fontId="4" fillId="0" borderId="4" xfId="0" applyNumberFormat="1" applyFont="1" applyBorder="1" applyAlignment="1">
      <alignment horizontal="center" vertical="top"/>
    </xf>
    <xf numFmtId="0" fontId="14" fillId="0" borderId="4" xfId="0" applyFont="1" applyBorder="1" applyAlignment="1">
      <alignment horizontal="left" vertical="top"/>
    </xf>
    <xf numFmtId="0" fontId="4" fillId="0" borderId="3" xfId="0" applyFont="1" applyBorder="1" applyAlignment="1">
      <alignment horizontal="left" vertical="top"/>
    </xf>
    <xf numFmtId="0" fontId="4" fillId="0" borderId="0" xfId="0" applyFont="1" applyAlignment="1">
      <alignment horizontal="center" vertical="top" wrapText="1"/>
    </xf>
    <xf numFmtId="0" fontId="14" fillId="0" borderId="3" xfId="0" applyFont="1" applyBorder="1" applyAlignment="1">
      <alignment vertical="top"/>
    </xf>
    <xf numFmtId="0" fontId="4" fillId="0" borderId="3" xfId="0" applyFont="1" applyBorder="1" applyAlignment="1">
      <alignment horizontal="center" vertical="top" wrapText="1"/>
    </xf>
    <xf numFmtId="0" fontId="0" fillId="0" borderId="4" xfId="0" applyBorder="1" applyAlignment="1">
      <alignment vertical="top" wrapText="1"/>
    </xf>
    <xf numFmtId="0" fontId="4" fillId="0" borderId="3" xfId="0" applyFont="1" applyBorder="1" applyAlignment="1">
      <alignment horizontal="center" vertical="top"/>
    </xf>
    <xf numFmtId="0" fontId="4" fillId="0" borderId="4" xfId="0" applyFont="1" applyBorder="1" applyAlignment="1">
      <alignment horizontal="center" vertical="top"/>
    </xf>
    <xf numFmtId="0" fontId="14" fillId="0" borderId="13" xfId="0" applyFont="1" applyBorder="1" applyAlignment="1">
      <alignment horizontal="left" vertical="top"/>
    </xf>
    <xf numFmtId="0" fontId="4" fillId="0" borderId="3" xfId="0" applyFont="1" applyBorder="1" applyAlignment="1">
      <alignment vertical="top"/>
    </xf>
    <xf numFmtId="3" fontId="14" fillId="0" borderId="5" xfId="0" applyNumberFormat="1" applyFont="1" applyBorder="1" applyAlignment="1">
      <alignment horizontal="center" vertical="top"/>
    </xf>
    <xf numFmtId="164" fontId="4" fillId="0" borderId="3" xfId="0" applyNumberFormat="1" applyFont="1" applyBorder="1" applyAlignment="1">
      <alignment horizontal="right" vertical="top"/>
    </xf>
    <xf numFmtId="164" fontId="4" fillId="0" borderId="4" xfId="0" applyNumberFormat="1" applyFont="1" applyBorder="1" applyAlignment="1">
      <alignment horizontal="center" vertical="top"/>
    </xf>
    <xf numFmtId="0" fontId="14" fillId="0" borderId="5" xfId="0" applyFont="1" applyBorder="1" applyAlignment="1">
      <alignment vertical="top"/>
    </xf>
    <xf numFmtId="3" fontId="14" fillId="0" borderId="6" xfId="0" applyNumberFormat="1" applyFont="1" applyBorder="1" applyAlignment="1">
      <alignment horizontal="center" vertical="top"/>
    </xf>
    <xf numFmtId="0" fontId="4" fillId="0" borderId="3" xfId="0" applyFont="1" applyBorder="1" applyAlignment="1">
      <alignment horizontal="right" vertical="top"/>
    </xf>
    <xf numFmtId="0" fontId="4" fillId="0" borderId="4" xfId="0" applyFont="1" applyBorder="1" applyAlignment="1">
      <alignment horizontal="right" vertical="top"/>
    </xf>
    <xf numFmtId="0" fontId="4" fillId="0" borderId="2" xfId="0" applyFont="1" applyBorder="1" applyAlignment="1">
      <alignment horizontal="left" vertical="top"/>
    </xf>
    <xf numFmtId="0" fontId="4" fillId="0" borderId="4" xfId="0" applyFont="1" applyBorder="1" applyAlignment="1">
      <alignment vertical="top"/>
    </xf>
    <xf numFmtId="167" fontId="14" fillId="0" borderId="3" xfId="0" applyNumberFormat="1" applyFont="1" applyBorder="1" applyAlignment="1">
      <alignment horizontal="right" vertical="top"/>
    </xf>
    <xf numFmtId="167" fontId="14" fillId="0" borderId="4" xfId="0" applyNumberFormat="1" applyFont="1" applyBorder="1" applyAlignment="1">
      <alignment horizontal="right" vertical="top"/>
    </xf>
    <xf numFmtId="0" fontId="14" fillId="3" borderId="1" xfId="0" applyFont="1" applyFill="1" applyBorder="1" applyAlignment="1">
      <alignment vertical="top"/>
    </xf>
    <xf numFmtId="0" fontId="4" fillId="3" borderId="2" xfId="0" applyFont="1" applyFill="1" applyBorder="1" applyAlignment="1">
      <alignment vertical="top"/>
    </xf>
    <xf numFmtId="9" fontId="14" fillId="3" borderId="1" xfId="3" applyFont="1" applyFill="1" applyBorder="1" applyAlignment="1">
      <alignment horizontal="right" vertical="top"/>
    </xf>
    <xf numFmtId="9" fontId="14" fillId="3" borderId="2" xfId="3" applyFont="1" applyFill="1" applyBorder="1" applyAlignment="1">
      <alignment horizontal="right" vertical="top"/>
    </xf>
    <xf numFmtId="0" fontId="14" fillId="3" borderId="8" xfId="0" applyFont="1" applyFill="1" applyBorder="1" applyAlignment="1">
      <alignment vertical="top"/>
    </xf>
    <xf numFmtId="0" fontId="4" fillId="3" borderId="13" xfId="0" applyFont="1" applyFill="1" applyBorder="1" applyAlignment="1">
      <alignment vertical="top"/>
    </xf>
    <xf numFmtId="167" fontId="14" fillId="3" borderId="8" xfId="0" applyNumberFormat="1" applyFont="1" applyFill="1" applyBorder="1" applyAlignment="1">
      <alignment horizontal="right" vertical="top"/>
    </xf>
    <xf numFmtId="167" fontId="14" fillId="3" borderId="13" xfId="0" applyNumberFormat="1" applyFont="1" applyFill="1" applyBorder="1" applyAlignment="1">
      <alignment horizontal="right" vertical="top"/>
    </xf>
    <xf numFmtId="9" fontId="14" fillId="3" borderId="1" xfId="3" applyFont="1" applyFill="1" applyBorder="1" applyAlignment="1">
      <alignment vertical="top"/>
    </xf>
    <xf numFmtId="0" fontId="14" fillId="3" borderId="2" xfId="0" applyFont="1" applyFill="1" applyBorder="1" applyAlignment="1">
      <alignment vertical="top"/>
    </xf>
    <xf numFmtId="7" fontId="14" fillId="3" borderId="8" xfId="1" applyNumberFormat="1" applyFont="1" applyFill="1" applyBorder="1" applyAlignment="1">
      <alignment horizontal="right" vertical="top"/>
    </xf>
    <xf numFmtId="7" fontId="14" fillId="3" borderId="13" xfId="1" applyNumberFormat="1" applyFont="1" applyFill="1" applyBorder="1" applyAlignment="1">
      <alignment horizontal="right" vertical="top"/>
    </xf>
    <xf numFmtId="0" fontId="14" fillId="3" borderId="11" xfId="0" applyFont="1" applyFill="1" applyBorder="1" applyAlignment="1">
      <alignment vertical="top"/>
    </xf>
    <xf numFmtId="0" fontId="4" fillId="3" borderId="14" xfId="0" applyFont="1" applyFill="1" applyBorder="1" applyAlignment="1">
      <alignment vertical="top"/>
    </xf>
    <xf numFmtId="167" fontId="14" fillId="3" borderId="11" xfId="0" applyNumberFormat="1" applyFont="1" applyFill="1" applyBorder="1" applyAlignment="1">
      <alignment horizontal="right" vertical="top"/>
    </xf>
    <xf numFmtId="167" fontId="14" fillId="3" borderId="14" xfId="0" applyNumberFormat="1" applyFont="1" applyFill="1" applyBorder="1" applyAlignment="1">
      <alignment horizontal="right" vertical="top"/>
    </xf>
    <xf numFmtId="167" fontId="4" fillId="0" borderId="0" xfId="0" applyNumberFormat="1" applyFont="1" applyAlignment="1">
      <alignment vertical="top"/>
    </xf>
    <xf numFmtId="165" fontId="4" fillId="0" borderId="0" xfId="0" applyNumberFormat="1" applyFont="1" applyAlignment="1">
      <alignment horizontal="center" vertical="top"/>
    </xf>
    <xf numFmtId="164" fontId="4" fillId="0" borderId="0" xfId="0" applyNumberFormat="1" applyFont="1" applyAlignment="1">
      <alignment horizontal="left" vertical="top"/>
    </xf>
    <xf numFmtId="167" fontId="4" fillId="0" borderId="0" xfId="0" applyNumberFormat="1" applyFont="1" applyAlignment="1">
      <alignment horizontal="right" vertical="top"/>
    </xf>
    <xf numFmtId="167" fontId="29" fillId="0" borderId="0" xfId="0" applyNumberFormat="1" applyFont="1" applyAlignment="1">
      <alignment vertical="top"/>
    </xf>
    <xf numFmtId="0" fontId="0" fillId="0" borderId="0" xfId="0" applyAlignment="1">
      <alignment vertical="top" wrapText="1"/>
    </xf>
    <xf numFmtId="0" fontId="0" fillId="0" borderId="0" xfId="0" applyAlignment="1">
      <alignment horizontal="center" vertical="top" wrapText="1"/>
    </xf>
    <xf numFmtId="167" fontId="11" fillId="0" borderId="0" xfId="0" applyNumberFormat="1" applyFont="1" applyAlignment="1">
      <alignment horizontal="right" vertical="top"/>
    </xf>
    <xf numFmtId="0" fontId="2" fillId="0" borderId="3" xfId="0" applyFont="1" applyBorder="1" applyAlignment="1">
      <alignment vertical="top" wrapText="1"/>
    </xf>
    <xf numFmtId="0" fontId="2" fillId="0" borderId="4" xfId="0" applyFont="1" applyBorder="1" applyAlignment="1">
      <alignment vertical="top" wrapText="1"/>
    </xf>
    <xf numFmtId="167" fontId="2" fillId="0" borderId="0" xfId="0" applyNumberFormat="1" applyFont="1" applyAlignment="1">
      <alignment horizontal="right" vertical="top"/>
    </xf>
    <xf numFmtId="0" fontId="11" fillId="0" borderId="0" xfId="0" applyFont="1" applyAlignment="1">
      <alignment horizontal="center" vertical="top" wrapText="1"/>
    </xf>
    <xf numFmtId="0" fontId="0" fillId="0" borderId="0" xfId="0" applyAlignment="1">
      <alignment vertical="top"/>
    </xf>
    <xf numFmtId="0" fontId="11" fillId="0" borderId="0" xfId="0" applyFont="1" applyAlignment="1">
      <alignment vertical="top" wrapText="1"/>
    </xf>
    <xf numFmtId="165" fontId="30" fillId="3" borderId="8" xfId="3" applyNumberFormat="1" applyFont="1" applyFill="1" applyBorder="1" applyAlignment="1">
      <alignment horizontal="right" vertical="top"/>
    </xf>
    <xf numFmtId="0" fontId="11" fillId="0" borderId="0" xfId="0" applyFont="1" applyAlignment="1">
      <alignment horizontal="left" vertical="top"/>
    </xf>
    <xf numFmtId="0" fontId="0" fillId="0" borderId="29" xfId="0" applyBorder="1" applyAlignment="1">
      <alignment horizontal="center" vertical="top" wrapText="1"/>
    </xf>
    <xf numFmtId="164" fontId="11" fillId="0" borderId="29" xfId="0" applyNumberFormat="1" applyFont="1" applyBorder="1" applyAlignment="1">
      <alignment horizontal="right" vertical="top"/>
    </xf>
    <xf numFmtId="0" fontId="11" fillId="0" borderId="29" xfId="0" applyFont="1" applyBorder="1" applyAlignment="1">
      <alignment horizontal="center" vertical="top"/>
    </xf>
    <xf numFmtId="0" fontId="11" fillId="0" borderId="34" xfId="0" applyFont="1" applyBorder="1" applyAlignment="1">
      <alignment horizontal="center" vertical="top"/>
    </xf>
    <xf numFmtId="0" fontId="0" fillId="0" borderId="35" xfId="0" applyBorder="1" applyAlignment="1">
      <alignment horizontal="center" vertical="top" wrapText="1"/>
    </xf>
    <xf numFmtId="164" fontId="11" fillId="0" borderId="35" xfId="0" applyNumberFormat="1" applyFont="1" applyBorder="1" applyAlignment="1">
      <alignment horizontal="right" vertical="top"/>
    </xf>
    <xf numFmtId="0" fontId="11" fillId="0" borderId="35" xfId="0" applyFont="1" applyBorder="1" applyAlignment="1">
      <alignment vertical="top"/>
    </xf>
    <xf numFmtId="164" fontId="29" fillId="0" borderId="0" xfId="0" applyNumberFormat="1" applyFont="1" applyAlignment="1">
      <alignment horizontal="right" vertical="top"/>
    </xf>
    <xf numFmtId="167" fontId="31" fillId="3" borderId="3" xfId="0" applyNumberFormat="1" applyFont="1" applyFill="1" applyBorder="1" applyAlignment="1">
      <alignment horizontal="right" vertical="top"/>
    </xf>
    <xf numFmtId="165" fontId="31" fillId="3" borderId="8" xfId="3" applyNumberFormat="1" applyFont="1" applyFill="1" applyBorder="1" applyAlignment="1">
      <alignment horizontal="right" vertical="top"/>
    </xf>
    <xf numFmtId="165" fontId="11" fillId="0" borderId="29" xfId="0" applyNumberFormat="1" applyFont="1" applyBorder="1" applyAlignment="1">
      <alignment horizontal="right" vertical="top"/>
    </xf>
    <xf numFmtId="165" fontId="11" fillId="0" borderId="0" xfId="0" applyNumberFormat="1" applyFont="1" applyAlignment="1">
      <alignment horizontal="right" vertical="top"/>
    </xf>
    <xf numFmtId="165" fontId="11" fillId="0" borderId="35" xfId="0" applyNumberFormat="1" applyFont="1" applyBorder="1" applyAlignment="1">
      <alignment horizontal="right" vertical="top"/>
    </xf>
    <xf numFmtId="165" fontId="28" fillId="0" borderId="0" xfId="0" applyNumberFormat="1" applyFont="1" applyAlignment="1">
      <alignment horizontal="right" vertical="top"/>
    </xf>
    <xf numFmtId="167" fontId="30" fillId="3" borderId="3" xfId="0" applyNumberFormat="1" applyFont="1" applyFill="1" applyBorder="1" applyAlignment="1">
      <alignment horizontal="right" vertical="top"/>
    </xf>
    <xf numFmtId="0" fontId="3" fillId="0" borderId="3" xfId="0" applyFont="1" applyBorder="1" applyAlignment="1">
      <alignment horizontal="center" vertical="top"/>
    </xf>
    <xf numFmtId="0" fontId="3" fillId="0" borderId="3" xfId="0" applyFont="1" applyBorder="1" applyAlignment="1">
      <alignment horizontal="center" vertical="top" wrapText="1"/>
    </xf>
    <xf numFmtId="167" fontId="3" fillId="0" borderId="3" xfId="0" applyNumberFormat="1" applyFont="1" applyBorder="1" applyAlignment="1">
      <alignment horizontal="center" vertical="top" wrapText="1"/>
    </xf>
    <xf numFmtId="9" fontId="3" fillId="0" borderId="3" xfId="0" applyNumberFormat="1" applyFont="1" applyBorder="1" applyAlignment="1">
      <alignment horizontal="center" vertical="top"/>
    </xf>
    <xf numFmtId="167" fontId="3" fillId="0" borderId="3" xfId="0" applyNumberFormat="1" applyFont="1" applyBorder="1" applyAlignment="1">
      <alignment horizontal="center" vertical="top"/>
    </xf>
    <xf numFmtId="6" fontId="3" fillId="0" borderId="3" xfId="0" applyNumberFormat="1" applyFont="1" applyBorder="1" applyAlignment="1">
      <alignment horizontal="center" vertical="top" wrapText="1"/>
    </xf>
    <xf numFmtId="167" fontId="11" fillId="0" borderId="29" xfId="0" applyNumberFormat="1" applyFont="1" applyBorder="1" applyAlignment="1">
      <alignment horizontal="right" vertical="top"/>
    </xf>
    <xf numFmtId="167" fontId="11" fillId="0" borderId="35" xfId="0" applyNumberFormat="1" applyFont="1" applyBorder="1" applyAlignment="1">
      <alignment vertical="top"/>
    </xf>
    <xf numFmtId="165" fontId="11" fillId="0" borderId="35" xfId="0" applyNumberFormat="1" applyFont="1" applyBorder="1" applyAlignment="1">
      <alignment vertical="top"/>
    </xf>
    <xf numFmtId="0" fontId="14" fillId="0" borderId="3" xfId="0" applyFont="1" applyBorder="1" applyAlignment="1">
      <alignment horizontal="left"/>
    </xf>
    <xf numFmtId="0" fontId="14" fillId="0" borderId="12" xfId="0" applyFont="1" applyBorder="1"/>
    <xf numFmtId="6" fontId="11" fillId="0" borderId="12" xfId="0" applyNumberFormat="1" applyFont="1" applyBorder="1" applyAlignment="1">
      <alignment horizontal="center" vertical="top"/>
    </xf>
    <xf numFmtId="6" fontId="32" fillId="0" borderId="5" xfId="0" applyNumberFormat="1" applyFont="1" applyBorder="1" applyAlignment="1">
      <alignment horizontal="center" vertical="top"/>
    </xf>
    <xf numFmtId="8" fontId="32" fillId="0" borderId="5" xfId="0" applyNumberFormat="1" applyFont="1" applyBorder="1" applyAlignment="1">
      <alignment horizontal="center" vertical="top"/>
    </xf>
    <xf numFmtId="6" fontId="32" fillId="0" borderId="12" xfId="0" applyNumberFormat="1" applyFont="1" applyBorder="1" applyAlignment="1">
      <alignment horizontal="center" vertical="top"/>
    </xf>
    <xf numFmtId="167" fontId="32" fillId="0" borderId="5" xfId="0" applyNumberFormat="1" applyFont="1" applyBorder="1" applyAlignment="1">
      <alignment horizontal="center" vertical="top"/>
    </xf>
    <xf numFmtId="1" fontId="32" fillId="0" borderId="5" xfId="0" applyNumberFormat="1" applyFont="1" applyBorder="1" applyAlignment="1">
      <alignment horizontal="center" vertical="top"/>
    </xf>
    <xf numFmtId="166" fontId="4" fillId="0" borderId="0" xfId="0" applyNumberFormat="1" applyFont="1" applyAlignment="1">
      <alignment vertical="top"/>
    </xf>
    <xf numFmtId="9" fontId="35" fillId="0" borderId="41" xfId="3" applyFont="1" applyFill="1" applyBorder="1" applyAlignment="1">
      <alignment vertical="top"/>
    </xf>
    <xf numFmtId="165" fontId="35" fillId="3" borderId="37" xfId="3" applyNumberFormat="1" applyFont="1" applyFill="1" applyBorder="1" applyAlignment="1">
      <alignment horizontal="right" vertical="top"/>
    </xf>
    <xf numFmtId="165" fontId="35" fillId="3" borderId="42" xfId="3" applyNumberFormat="1" applyFont="1" applyFill="1" applyBorder="1" applyAlignment="1">
      <alignment horizontal="center" vertical="top"/>
    </xf>
    <xf numFmtId="9" fontId="35" fillId="0" borderId="43" xfId="3" applyFont="1" applyFill="1" applyBorder="1" applyAlignment="1">
      <alignment vertical="top"/>
    </xf>
    <xf numFmtId="0" fontId="36" fillId="0" borderId="0" xfId="0" applyFont="1" applyAlignment="1">
      <alignment vertical="top"/>
    </xf>
    <xf numFmtId="0" fontId="37" fillId="0" borderId="0" xfId="0" applyFont="1" applyAlignment="1">
      <alignment vertical="top"/>
    </xf>
    <xf numFmtId="0" fontId="38" fillId="0" borderId="0" xfId="0" applyFont="1" applyAlignment="1">
      <alignment vertical="top"/>
    </xf>
    <xf numFmtId="0" fontId="33" fillId="0" borderId="0" xfId="7" applyFont="1" applyAlignment="1">
      <alignment vertical="top"/>
    </xf>
    <xf numFmtId="0" fontId="35" fillId="0" borderId="0" xfId="7" applyFont="1" applyAlignment="1">
      <alignment vertical="top"/>
    </xf>
    <xf numFmtId="0" fontId="35" fillId="0" borderId="39" xfId="7" applyFont="1" applyBorder="1" applyAlignment="1">
      <alignment vertical="top"/>
    </xf>
    <xf numFmtId="167" fontId="35" fillId="3" borderId="3" xfId="7" applyNumberFormat="1" applyFont="1" applyFill="1" applyBorder="1" applyAlignment="1">
      <alignment horizontal="right" vertical="top"/>
    </xf>
    <xf numFmtId="167" fontId="35" fillId="3" borderId="40" xfId="7" applyNumberFormat="1" applyFont="1" applyFill="1" applyBorder="1" applyAlignment="1">
      <alignment horizontal="center" vertical="top"/>
    </xf>
    <xf numFmtId="165" fontId="35" fillId="14" borderId="0" xfId="3" applyNumberFormat="1" applyFont="1" applyFill="1" applyBorder="1" applyAlignment="1">
      <alignment horizontal="center" vertical="top"/>
    </xf>
    <xf numFmtId="9" fontId="35" fillId="14" borderId="0" xfId="3" applyFont="1" applyFill="1" applyBorder="1" applyAlignment="1">
      <alignment vertical="top"/>
    </xf>
    <xf numFmtId="0" fontId="42" fillId="0" borderId="48" xfId="0" applyFont="1" applyBorder="1" applyAlignment="1">
      <alignment horizontal="center" vertical="center"/>
    </xf>
    <xf numFmtId="0" fontId="42" fillId="0" borderId="61" xfId="0" applyFont="1" applyBorder="1" applyAlignment="1">
      <alignment horizontal="center" vertical="center"/>
    </xf>
    <xf numFmtId="0" fontId="42" fillId="0" borderId="60" xfId="0" applyFont="1" applyBorder="1" applyAlignment="1">
      <alignment horizontal="center" vertical="center"/>
    </xf>
    <xf numFmtId="0" fontId="42" fillId="0" borderId="54" xfId="0" applyFont="1" applyBorder="1" applyAlignment="1">
      <alignment horizontal="center" vertical="center"/>
    </xf>
    <xf numFmtId="0" fontId="38" fillId="15" borderId="51" xfId="0" applyFont="1" applyFill="1" applyBorder="1" applyAlignment="1">
      <alignment horizontal="center" vertical="top"/>
    </xf>
    <xf numFmtId="0" fontId="38" fillId="15" borderId="49" xfId="0" applyFont="1" applyFill="1" applyBorder="1" applyAlignment="1">
      <alignment vertical="top"/>
    </xf>
    <xf numFmtId="9" fontId="38" fillId="15" borderId="54" xfId="3" applyFont="1" applyFill="1" applyBorder="1" applyAlignment="1">
      <alignment vertical="top"/>
    </xf>
    <xf numFmtId="0" fontId="38" fillId="0" borderId="39" xfId="0" applyFont="1" applyBorder="1" applyAlignment="1">
      <alignment vertical="top"/>
    </xf>
    <xf numFmtId="167" fontId="38" fillId="3" borderId="3" xfId="0" applyNumberFormat="1" applyFont="1" applyFill="1" applyBorder="1" applyAlignment="1">
      <alignment horizontal="right" vertical="top"/>
    </xf>
    <xf numFmtId="167" fontId="38" fillId="3" borderId="40" xfId="0" applyNumberFormat="1" applyFont="1" applyFill="1" applyBorder="1" applyAlignment="1">
      <alignment horizontal="center" vertical="top"/>
    </xf>
    <xf numFmtId="167" fontId="38" fillId="3" borderId="0" xfId="0" applyNumberFormat="1" applyFont="1" applyFill="1" applyAlignment="1">
      <alignment horizontal="right" vertical="top"/>
    </xf>
    <xf numFmtId="167" fontId="38" fillId="3" borderId="4" xfId="0" applyNumberFormat="1" applyFont="1" applyFill="1" applyBorder="1" applyAlignment="1">
      <alignment horizontal="center" vertical="top"/>
    </xf>
    <xf numFmtId="9" fontId="38" fillId="0" borderId="41" xfId="3" applyFont="1" applyFill="1" applyBorder="1" applyAlignment="1">
      <alignment vertical="top"/>
    </xf>
    <xf numFmtId="9" fontId="38" fillId="0" borderId="43" xfId="3" applyFont="1" applyFill="1" applyBorder="1" applyAlignment="1">
      <alignment vertical="top"/>
    </xf>
    <xf numFmtId="165" fontId="38" fillId="3" borderId="37" xfId="3" applyNumberFormat="1" applyFont="1" applyFill="1" applyBorder="1" applyAlignment="1">
      <alignment horizontal="right" vertical="top"/>
    </xf>
    <xf numFmtId="165" fontId="38" fillId="3" borderId="42" xfId="3" applyNumberFormat="1" applyFont="1" applyFill="1" applyBorder="1" applyAlignment="1">
      <alignment horizontal="center" vertical="top"/>
    </xf>
    <xf numFmtId="165" fontId="38" fillId="3" borderId="43" xfId="3" applyNumberFormat="1" applyFont="1" applyFill="1" applyBorder="1" applyAlignment="1">
      <alignment horizontal="right" vertical="top"/>
    </xf>
    <xf numFmtId="165" fontId="38" fillId="3" borderId="38" xfId="3" applyNumberFormat="1" applyFont="1" applyFill="1" applyBorder="1" applyAlignment="1">
      <alignment horizontal="center" vertical="top"/>
    </xf>
    <xf numFmtId="0" fontId="41" fillId="0" borderId="0" xfId="0" applyFont="1" applyAlignment="1">
      <alignment vertical="top"/>
    </xf>
    <xf numFmtId="167" fontId="38" fillId="0" borderId="0" xfId="0" applyNumberFormat="1" applyFont="1" applyAlignment="1">
      <alignment horizontal="center" vertical="top"/>
    </xf>
    <xf numFmtId="0" fontId="43" fillId="0" borderId="0" xfId="0" applyFont="1" applyAlignment="1">
      <alignment vertical="top"/>
    </xf>
    <xf numFmtId="164" fontId="36" fillId="0" borderId="0" xfId="0" applyNumberFormat="1" applyFont="1" applyAlignment="1">
      <alignment vertical="top"/>
    </xf>
    <xf numFmtId="10" fontId="37" fillId="0" borderId="0" xfId="0" applyNumberFormat="1" applyFont="1" applyAlignment="1">
      <alignment vertical="top"/>
    </xf>
    <xf numFmtId="0" fontId="36" fillId="17" borderId="0" xfId="0" applyFont="1" applyFill="1" applyAlignment="1">
      <alignment vertical="top"/>
    </xf>
    <xf numFmtId="0" fontId="37" fillId="17" borderId="0" xfId="0" applyFont="1" applyFill="1" applyAlignment="1">
      <alignment vertical="top"/>
    </xf>
    <xf numFmtId="164" fontId="36" fillId="17" borderId="0" xfId="0" applyNumberFormat="1" applyFont="1" applyFill="1" applyAlignment="1">
      <alignment vertical="top"/>
    </xf>
    <xf numFmtId="10" fontId="37" fillId="17" borderId="0" xfId="0" applyNumberFormat="1" applyFont="1" applyFill="1" applyAlignment="1">
      <alignment vertical="top"/>
    </xf>
    <xf numFmtId="164" fontId="37" fillId="17" borderId="0" xfId="0" applyNumberFormat="1" applyFont="1" applyFill="1" applyAlignment="1">
      <alignment vertical="top"/>
    </xf>
    <xf numFmtId="10" fontId="36" fillId="0" borderId="0" xfId="0" applyNumberFormat="1" applyFont="1" applyAlignment="1">
      <alignment vertical="top"/>
    </xf>
    <xf numFmtId="0" fontId="44" fillId="0" borderId="0" xfId="0" applyFont="1" applyAlignment="1">
      <alignment vertical="top"/>
    </xf>
    <xf numFmtId="0" fontId="45" fillId="0" borderId="0" xfId="0" applyFont="1" applyAlignment="1">
      <alignment vertical="top"/>
    </xf>
    <xf numFmtId="0" fontId="36" fillId="0" borderId="0" xfId="0" applyFont="1" applyAlignment="1">
      <alignment horizontal="center" vertical="top" wrapText="1"/>
    </xf>
    <xf numFmtId="0" fontId="37" fillId="0" borderId="0" xfId="7" applyFont="1" applyAlignment="1">
      <alignment vertical="top"/>
    </xf>
    <xf numFmtId="0" fontId="38" fillId="0" borderId="0" xfId="7" applyFont="1" applyAlignment="1">
      <alignment vertical="top"/>
    </xf>
    <xf numFmtId="0" fontId="36" fillId="0" borderId="0" xfId="7" applyFont="1" applyAlignment="1">
      <alignment vertical="top"/>
    </xf>
    <xf numFmtId="0" fontId="42" fillId="0" borderId="48" xfId="7" applyFont="1" applyBorder="1" applyAlignment="1">
      <alignment horizontal="center" vertical="center"/>
    </xf>
    <xf numFmtId="0" fontId="46" fillId="0" borderId="0" xfId="7" applyFont="1" applyAlignment="1">
      <alignment vertical="top"/>
    </xf>
    <xf numFmtId="0" fontId="42" fillId="0" borderId="61" xfId="7" applyFont="1" applyBorder="1" applyAlignment="1">
      <alignment horizontal="center" vertical="center"/>
    </xf>
    <xf numFmtId="0" fontId="42" fillId="0" borderId="60" xfId="7" applyFont="1" applyBorder="1" applyAlignment="1">
      <alignment horizontal="center" vertical="center"/>
    </xf>
    <xf numFmtId="0" fontId="42" fillId="0" borderId="54" xfId="7" applyFont="1" applyBorder="1" applyAlignment="1">
      <alignment horizontal="center" vertical="center"/>
    </xf>
    <xf numFmtId="0" fontId="42" fillId="15" borderId="51" xfId="7" applyFont="1" applyFill="1" applyBorder="1" applyAlignment="1">
      <alignment horizontal="center" vertical="top"/>
    </xf>
    <xf numFmtId="0" fontId="42" fillId="15" borderId="49" xfId="7" applyFont="1" applyFill="1" applyBorder="1" applyAlignment="1">
      <alignment vertical="top"/>
    </xf>
    <xf numFmtId="9" fontId="42" fillId="15" borderId="54" xfId="3" applyFont="1" applyFill="1" applyBorder="1" applyAlignment="1">
      <alignment vertical="top"/>
    </xf>
    <xf numFmtId="0" fontId="38" fillId="0" borderId="39" xfId="7" applyFont="1" applyBorder="1" applyAlignment="1">
      <alignment vertical="top"/>
    </xf>
    <xf numFmtId="167" fontId="38" fillId="3" borderId="3" xfId="7" applyNumberFormat="1" applyFont="1" applyFill="1" applyBorder="1" applyAlignment="1">
      <alignment horizontal="right" vertical="top"/>
    </xf>
    <xf numFmtId="167" fontId="38" fillId="3" borderId="40" xfId="7" applyNumberFormat="1" applyFont="1" applyFill="1" applyBorder="1" applyAlignment="1">
      <alignment horizontal="center" vertical="top"/>
    </xf>
    <xf numFmtId="167" fontId="38" fillId="3" borderId="0" xfId="7" applyNumberFormat="1" applyFont="1" applyFill="1" applyAlignment="1">
      <alignment horizontal="right" vertical="top"/>
    </xf>
    <xf numFmtId="167" fontId="38" fillId="3" borderId="4" xfId="7" applyNumberFormat="1" applyFont="1" applyFill="1" applyBorder="1" applyAlignment="1">
      <alignment horizontal="center" vertical="top"/>
    </xf>
    <xf numFmtId="9" fontId="38" fillId="0" borderId="0" xfId="3" applyFont="1" applyFill="1" applyBorder="1" applyAlignment="1">
      <alignment vertical="top"/>
    </xf>
    <xf numFmtId="165" fontId="38" fillId="3" borderId="3" xfId="3" applyNumberFormat="1" applyFont="1" applyFill="1" applyBorder="1" applyAlignment="1">
      <alignment horizontal="right" vertical="top"/>
    </xf>
    <xf numFmtId="165" fontId="38" fillId="3" borderId="40" xfId="3" applyNumberFormat="1" applyFont="1" applyFill="1" applyBorder="1" applyAlignment="1">
      <alignment horizontal="center" vertical="top"/>
    </xf>
    <xf numFmtId="165" fontId="38" fillId="3" borderId="0" xfId="3" applyNumberFormat="1" applyFont="1" applyFill="1" applyBorder="1" applyAlignment="1">
      <alignment horizontal="right" vertical="top"/>
    </xf>
    <xf numFmtId="165" fontId="38" fillId="3" borderId="4" xfId="3" applyNumberFormat="1" applyFont="1" applyFill="1" applyBorder="1" applyAlignment="1">
      <alignment horizontal="center" vertical="top"/>
    </xf>
    <xf numFmtId="9" fontId="38" fillId="0" borderId="47" xfId="3" applyFont="1" applyFill="1" applyBorder="1" applyAlignment="1">
      <alignment vertical="top"/>
    </xf>
    <xf numFmtId="165" fontId="38" fillId="14" borderId="52" xfId="3" applyNumberFormat="1" applyFont="1" applyFill="1" applyBorder="1" applyAlignment="1">
      <alignment horizontal="center" vertical="top"/>
    </xf>
    <xf numFmtId="165" fontId="38" fillId="14" borderId="44" xfId="3" applyNumberFormat="1" applyFont="1" applyFill="1" applyBorder="1" applyAlignment="1">
      <alignment horizontal="center" vertical="top"/>
    </xf>
    <xf numFmtId="165" fontId="38" fillId="14" borderId="0" xfId="3" applyNumberFormat="1" applyFont="1" applyFill="1" applyBorder="1" applyAlignment="1">
      <alignment horizontal="center" vertical="top"/>
    </xf>
    <xf numFmtId="164" fontId="38" fillId="14" borderId="53" xfId="1" applyNumberFormat="1" applyFont="1" applyFill="1" applyBorder="1" applyAlignment="1">
      <alignment horizontal="center" vertical="top"/>
    </xf>
    <xf numFmtId="164" fontId="38" fillId="14" borderId="45" xfId="1" applyNumberFormat="1" applyFont="1" applyFill="1" applyBorder="1" applyAlignment="1">
      <alignment horizontal="center" vertical="top"/>
    </xf>
    <xf numFmtId="164" fontId="38" fillId="14" borderId="0" xfId="1" applyNumberFormat="1" applyFont="1" applyFill="1" applyBorder="1" applyAlignment="1">
      <alignment horizontal="center" vertical="top"/>
    </xf>
    <xf numFmtId="0" fontId="42" fillId="0" borderId="50" xfId="7" applyFont="1" applyBorder="1" applyAlignment="1">
      <alignment horizontal="center" vertical="center"/>
    </xf>
    <xf numFmtId="164" fontId="38" fillId="14" borderId="54" xfId="1" applyNumberFormat="1" applyFont="1" applyFill="1" applyBorder="1" applyAlignment="1">
      <alignment horizontal="center" vertical="top"/>
    </xf>
    <xf numFmtId="164" fontId="38" fillId="14" borderId="46" xfId="1" applyNumberFormat="1" applyFont="1" applyFill="1" applyBorder="1" applyAlignment="1">
      <alignment horizontal="center" vertical="top"/>
    </xf>
    <xf numFmtId="0" fontId="43" fillId="0" borderId="0" xfId="7" applyFont="1" applyAlignment="1">
      <alignment vertical="top"/>
    </xf>
    <xf numFmtId="0" fontId="41" fillId="0" borderId="0" xfId="7" applyFont="1" applyAlignment="1">
      <alignment vertical="top"/>
    </xf>
    <xf numFmtId="167" fontId="38" fillId="0" borderId="0" xfId="7" applyNumberFormat="1" applyFont="1" applyAlignment="1">
      <alignment horizontal="center" vertical="top"/>
    </xf>
    <xf numFmtId="9" fontId="38" fillId="0" borderId="52" xfId="3" applyFont="1" applyFill="1" applyBorder="1" applyAlignment="1">
      <alignment vertical="top"/>
    </xf>
    <xf numFmtId="0" fontId="42" fillId="0" borderId="53" xfId="7" applyFont="1" applyBorder="1" applyAlignment="1">
      <alignment horizontal="center" vertical="center"/>
    </xf>
    <xf numFmtId="0" fontId="37" fillId="0" borderId="73" xfId="7" applyFont="1" applyBorder="1" applyAlignment="1">
      <alignment vertical="top"/>
    </xf>
    <xf numFmtId="9" fontId="42" fillId="15" borderId="75" xfId="3" applyFont="1" applyFill="1" applyBorder="1" applyAlignment="1">
      <alignment vertical="top"/>
    </xf>
    <xf numFmtId="9" fontId="42" fillId="14" borderId="0" xfId="3" applyFont="1" applyFill="1" applyBorder="1" applyAlignment="1">
      <alignment vertical="top"/>
    </xf>
    <xf numFmtId="9" fontId="42" fillId="0" borderId="0" xfId="3" applyFont="1" applyFill="1" applyBorder="1" applyAlignment="1">
      <alignment horizontal="center" vertical="top"/>
    </xf>
    <xf numFmtId="165" fontId="42" fillId="14" borderId="0" xfId="3" applyNumberFormat="1" applyFont="1" applyFill="1" applyBorder="1" applyAlignment="1">
      <alignment horizontal="center" vertical="center"/>
    </xf>
    <xf numFmtId="165" fontId="42" fillId="14" borderId="73" xfId="3" applyNumberFormat="1" applyFont="1" applyFill="1" applyBorder="1" applyAlignment="1">
      <alignment horizontal="center" vertical="center"/>
    </xf>
    <xf numFmtId="10" fontId="42" fillId="14" borderId="0" xfId="3" applyNumberFormat="1" applyFont="1" applyFill="1" applyBorder="1" applyAlignment="1">
      <alignment horizontal="center" vertical="center"/>
    </xf>
    <xf numFmtId="9" fontId="38" fillId="14" borderId="0" xfId="3" applyFont="1" applyFill="1" applyBorder="1" applyAlignment="1">
      <alignment vertical="top"/>
    </xf>
    <xf numFmtId="9" fontId="38" fillId="0" borderId="0" xfId="3" applyFont="1" applyFill="1" applyBorder="1" applyAlignment="1">
      <alignment horizontal="center" vertical="top"/>
    </xf>
    <xf numFmtId="0" fontId="42" fillId="0" borderId="0" xfId="7" applyFont="1" applyAlignment="1">
      <alignment horizontal="center" vertical="center"/>
    </xf>
    <xf numFmtId="164" fontId="38" fillId="14" borderId="73" xfId="1" applyNumberFormat="1" applyFont="1" applyFill="1" applyBorder="1" applyAlignment="1">
      <alignment horizontal="center" vertical="top"/>
    </xf>
    <xf numFmtId="0" fontId="42" fillId="0" borderId="0" xfId="7" applyFont="1" applyAlignment="1">
      <alignment vertical="top"/>
    </xf>
    <xf numFmtId="164" fontId="42" fillId="0" borderId="0" xfId="7" applyNumberFormat="1" applyFont="1" applyAlignment="1">
      <alignment vertical="top"/>
    </xf>
    <xf numFmtId="10" fontId="37" fillId="0" borderId="0" xfId="7" applyNumberFormat="1" applyFont="1" applyAlignment="1">
      <alignment vertical="top"/>
    </xf>
    <xf numFmtId="10" fontId="42" fillId="0" borderId="0" xfId="7" applyNumberFormat="1" applyFont="1" applyAlignment="1">
      <alignment vertical="top"/>
    </xf>
    <xf numFmtId="0" fontId="44" fillId="0" borderId="0" xfId="7" applyFont="1" applyAlignment="1">
      <alignment vertical="top"/>
    </xf>
    <xf numFmtId="9" fontId="28" fillId="14" borderId="0" xfId="3" applyFont="1" applyFill="1" applyBorder="1" applyAlignment="1">
      <alignment vertical="top"/>
    </xf>
    <xf numFmtId="0" fontId="33" fillId="14" borderId="0" xfId="7" applyFont="1" applyFill="1" applyAlignment="1">
      <alignment vertical="top"/>
    </xf>
    <xf numFmtId="167" fontId="35" fillId="14" borderId="76" xfId="3" applyNumberFormat="1" applyFont="1" applyFill="1" applyBorder="1" applyAlignment="1">
      <alignment horizontal="center" vertical="center"/>
    </xf>
    <xf numFmtId="167" fontId="35" fillId="14" borderId="78" xfId="3" applyNumberFormat="1" applyFont="1" applyFill="1" applyBorder="1" applyAlignment="1">
      <alignment horizontal="center" vertical="center"/>
    </xf>
    <xf numFmtId="9" fontId="35" fillId="14" borderId="45" xfId="3" applyFont="1" applyFill="1" applyBorder="1" applyAlignment="1">
      <alignment horizontal="left" vertical="top"/>
    </xf>
    <xf numFmtId="9" fontId="35" fillId="14" borderId="0" xfId="3" applyFont="1" applyFill="1" applyBorder="1" applyAlignment="1">
      <alignment horizontal="left" vertical="top"/>
    </xf>
    <xf numFmtId="9" fontId="35" fillId="14" borderId="48" xfId="3" applyFont="1" applyFill="1" applyBorder="1" applyAlignment="1">
      <alignment horizontal="left" vertical="top"/>
    </xf>
    <xf numFmtId="167" fontId="35" fillId="14" borderId="79" xfId="3" applyNumberFormat="1" applyFont="1" applyFill="1" applyBorder="1" applyAlignment="1">
      <alignment vertical="top"/>
    </xf>
    <xf numFmtId="167" fontId="35" fillId="14" borderId="61" xfId="3" applyNumberFormat="1" applyFont="1" applyFill="1" applyBorder="1" applyAlignment="1">
      <alignment horizontal="center" vertical="center"/>
    </xf>
    <xf numFmtId="9" fontId="35" fillId="14" borderId="69" xfId="3" applyFont="1" applyFill="1" applyBorder="1" applyAlignment="1">
      <alignment horizontal="left" vertical="top"/>
    </xf>
    <xf numFmtId="9" fontId="35" fillId="14" borderId="15" xfId="3" applyFont="1" applyFill="1" applyBorder="1" applyAlignment="1">
      <alignment horizontal="left" vertical="top"/>
    </xf>
    <xf numFmtId="9" fontId="35" fillId="14" borderId="68" xfId="3" applyFont="1" applyFill="1" applyBorder="1" applyAlignment="1">
      <alignment horizontal="left" vertical="top"/>
    </xf>
    <xf numFmtId="167" fontId="35" fillId="14" borderId="80" xfId="1" applyNumberFormat="1" applyFont="1" applyFill="1" applyBorder="1" applyAlignment="1">
      <alignment horizontal="center" vertical="center"/>
    </xf>
    <xf numFmtId="165" fontId="35" fillId="18" borderId="73" xfId="3" applyNumberFormat="1" applyFont="1" applyFill="1" applyBorder="1" applyAlignment="1">
      <alignment horizontal="center" vertical="center"/>
    </xf>
    <xf numFmtId="165" fontId="35" fillId="18" borderId="47" xfId="3" applyNumberFormat="1" applyFont="1" applyFill="1" applyBorder="1" applyAlignment="1">
      <alignment horizontal="center" vertical="center"/>
    </xf>
    <xf numFmtId="165" fontId="35" fillId="14" borderId="0" xfId="3" applyNumberFormat="1" applyFont="1" applyFill="1" applyBorder="1" applyAlignment="1">
      <alignment horizontal="right" vertical="top"/>
    </xf>
    <xf numFmtId="167" fontId="35" fillId="14" borderId="69" xfId="3" applyNumberFormat="1" applyFont="1" applyFill="1" applyBorder="1" applyAlignment="1">
      <alignment horizontal="center" vertical="top"/>
    </xf>
    <xf numFmtId="167" fontId="35" fillId="14" borderId="68" xfId="3" applyNumberFormat="1" applyFont="1" applyFill="1" applyBorder="1" applyAlignment="1">
      <alignment horizontal="center" vertical="top"/>
    </xf>
    <xf numFmtId="167" fontId="35" fillId="14" borderId="69" xfId="3" applyNumberFormat="1" applyFont="1" applyFill="1" applyBorder="1" applyAlignment="1">
      <alignment vertical="top"/>
    </xf>
    <xf numFmtId="167" fontId="35" fillId="14" borderId="68" xfId="3" applyNumberFormat="1" applyFont="1" applyFill="1" applyBorder="1" applyAlignment="1">
      <alignment vertical="top"/>
    </xf>
    <xf numFmtId="167" fontId="35" fillId="14" borderId="67" xfId="1" applyNumberFormat="1" applyFont="1" applyFill="1" applyBorder="1" applyAlignment="1">
      <alignment vertical="top"/>
    </xf>
    <xf numFmtId="167" fontId="35" fillId="14" borderId="66" xfId="1" applyNumberFormat="1" applyFont="1" applyFill="1" applyBorder="1" applyAlignment="1">
      <alignment vertical="top"/>
    </xf>
    <xf numFmtId="167" fontId="35" fillId="14" borderId="15" xfId="3" applyNumberFormat="1" applyFont="1" applyFill="1" applyBorder="1" applyAlignment="1">
      <alignment horizontal="center" vertical="top"/>
    </xf>
    <xf numFmtId="9" fontId="35" fillId="14" borderId="0" xfId="3" applyFont="1" applyFill="1" applyBorder="1" applyAlignment="1">
      <alignment horizontal="center" vertical="center"/>
    </xf>
    <xf numFmtId="0" fontId="33" fillId="0" borderId="0" xfId="7" applyFont="1" applyAlignment="1">
      <alignment horizontal="center" vertical="center"/>
    </xf>
    <xf numFmtId="0" fontId="2" fillId="0" borderId="0" xfId="7"/>
    <xf numFmtId="0" fontId="2" fillId="0" borderId="0" xfId="8"/>
    <xf numFmtId="0" fontId="6" fillId="0" borderId="0" xfId="8" applyFont="1" applyAlignment="1">
      <alignment horizontal="left"/>
    </xf>
    <xf numFmtId="14" fontId="2" fillId="0" borderId="0" xfId="8" applyNumberFormat="1" applyAlignment="1">
      <alignment horizontal="left"/>
    </xf>
    <xf numFmtId="0" fontId="2" fillId="14" borderId="0" xfId="8" applyFill="1" applyAlignment="1">
      <alignment horizontal="left"/>
    </xf>
    <xf numFmtId="9" fontId="2" fillId="0" borderId="0" xfId="3" applyFont="1" applyBorder="1" applyAlignment="1" applyProtection="1">
      <alignment horizontal="left"/>
    </xf>
    <xf numFmtId="0" fontId="47" fillId="19" borderId="11" xfId="8" applyFont="1" applyFill="1" applyBorder="1" applyAlignment="1">
      <alignment horizontal="left"/>
    </xf>
    <xf numFmtId="0" fontId="47" fillId="19" borderId="6" xfId="8" applyFont="1" applyFill="1" applyBorder="1" applyAlignment="1">
      <alignment horizontal="left"/>
    </xf>
    <xf numFmtId="0" fontId="48" fillId="20" borderId="6" xfId="8" applyFont="1" applyFill="1" applyBorder="1" applyAlignment="1">
      <alignment horizontal="left" vertical="center"/>
    </xf>
    <xf numFmtId="0" fontId="48" fillId="20" borderId="80" xfId="8" applyFont="1" applyFill="1" applyBorder="1" applyAlignment="1">
      <alignment horizontal="center" vertical="center" wrapText="1"/>
    </xf>
    <xf numFmtId="0" fontId="48" fillId="20" borderId="6" xfId="8" applyFont="1" applyFill="1" applyBorder="1" applyAlignment="1">
      <alignment horizontal="center" vertical="center" wrapText="1"/>
    </xf>
    <xf numFmtId="0" fontId="48" fillId="20" borderId="6" xfId="8" applyFont="1" applyFill="1" applyBorder="1" applyAlignment="1">
      <alignment horizontal="center"/>
    </xf>
    <xf numFmtId="0" fontId="49" fillId="0" borderId="0" xfId="8" applyFont="1"/>
    <xf numFmtId="0" fontId="6" fillId="20" borderId="6" xfId="8" applyFont="1" applyFill="1" applyBorder="1" applyAlignment="1">
      <alignment horizontal="left"/>
    </xf>
    <xf numFmtId="7" fontId="6" fillId="20" borderId="61" xfId="8" applyNumberFormat="1" applyFont="1" applyFill="1" applyBorder="1" applyAlignment="1">
      <alignment horizontal="center"/>
    </xf>
    <xf numFmtId="7" fontId="6" fillId="20" borderId="6" xfId="8" applyNumberFormat="1" applyFont="1" applyFill="1" applyBorder="1" applyAlignment="1">
      <alignment horizontal="center"/>
    </xf>
    <xf numFmtId="0" fontId="6" fillId="20" borderId="6" xfId="8" applyFont="1" applyFill="1" applyBorder="1" applyAlignment="1">
      <alignment horizontal="center"/>
    </xf>
    <xf numFmtId="0" fontId="6" fillId="17" borderId="6" xfId="8" applyFont="1" applyFill="1" applyBorder="1" applyAlignment="1">
      <alignment horizontal="left"/>
    </xf>
    <xf numFmtId="0" fontId="6" fillId="17" borderId="61" xfId="8" applyFont="1" applyFill="1" applyBorder="1" applyAlignment="1">
      <alignment horizontal="center"/>
    </xf>
    <xf numFmtId="0" fontId="6" fillId="17" borderId="6" xfId="8" applyFont="1" applyFill="1" applyBorder="1" applyAlignment="1">
      <alignment horizontal="center"/>
    </xf>
    <xf numFmtId="0" fontId="2" fillId="17" borderId="0" xfId="8" applyFill="1" applyAlignment="1">
      <alignment horizontal="center"/>
    </xf>
    <xf numFmtId="0" fontId="2" fillId="17" borderId="0" xfId="8" applyFill="1"/>
    <xf numFmtId="0" fontId="6" fillId="7" borderId="6" xfId="0" applyFont="1" applyFill="1" applyBorder="1" applyAlignment="1">
      <alignment horizontal="left" vertical="top" wrapText="1"/>
    </xf>
    <xf numFmtId="167" fontId="0" fillId="14" borderId="61" xfId="0" applyNumberFormat="1" applyFill="1" applyBorder="1" applyAlignment="1">
      <alignment horizontal="center" vertical="top" wrapText="1"/>
    </xf>
    <xf numFmtId="167" fontId="2" fillId="14" borderId="6" xfId="3" applyNumberFormat="1" applyFont="1" applyFill="1" applyBorder="1" applyAlignment="1">
      <alignment horizontal="center" vertical="top" wrapText="1"/>
    </xf>
    <xf numFmtId="167" fontId="0" fillId="14" borderId="6" xfId="0" applyNumberFormat="1" applyFill="1" applyBorder="1" applyAlignment="1">
      <alignment horizontal="center" vertical="top" wrapText="1"/>
    </xf>
    <xf numFmtId="0" fontId="2" fillId="14" borderId="0" xfId="8" applyFill="1"/>
    <xf numFmtId="167" fontId="0" fillId="4" borderId="61" xfId="0" applyNumberFormat="1" applyFill="1" applyBorder="1" applyAlignment="1">
      <alignment horizontal="center" vertical="top" wrapText="1"/>
    </xf>
    <xf numFmtId="167" fontId="2" fillId="4" borderId="6" xfId="3" applyNumberFormat="1" applyFont="1" applyFill="1" applyBorder="1" applyAlignment="1">
      <alignment horizontal="center" vertical="top" wrapText="1"/>
    </xf>
    <xf numFmtId="167" fontId="0" fillId="4" borderId="6" xfId="0" applyNumberFormat="1" applyFill="1" applyBorder="1" applyAlignment="1">
      <alignment horizontal="center" vertical="top" wrapText="1"/>
    </xf>
    <xf numFmtId="167" fontId="0" fillId="14" borderId="6" xfId="3" applyNumberFormat="1" applyFont="1" applyFill="1" applyBorder="1" applyAlignment="1">
      <alignment horizontal="center" vertical="top" wrapText="1"/>
    </xf>
    <xf numFmtId="0" fontId="6" fillId="7" borderId="11" xfId="0" applyFont="1" applyFill="1" applyBorder="1" applyAlignment="1">
      <alignment horizontal="left" vertical="top" wrapText="1"/>
    </xf>
    <xf numFmtId="167" fontId="0" fillId="4" borderId="78" xfId="0" applyNumberFormat="1" applyFill="1" applyBorder="1" applyAlignment="1">
      <alignment horizontal="center" vertical="top" wrapText="1"/>
    </xf>
    <xf numFmtId="0" fontId="51" fillId="0" borderId="15" xfId="9" applyFont="1" applyBorder="1" applyAlignment="1">
      <alignment wrapText="1"/>
    </xf>
    <xf numFmtId="7" fontId="2" fillId="0" borderId="6" xfId="8" applyNumberFormat="1" applyBorder="1" applyAlignment="1">
      <alignment horizontal="center"/>
    </xf>
    <xf numFmtId="0" fontId="2" fillId="0" borderId="6" xfId="8" applyBorder="1" applyAlignment="1">
      <alignment horizontal="center"/>
    </xf>
    <xf numFmtId="7" fontId="47" fillId="19" borderId="6" xfId="8" applyNumberFormat="1" applyFont="1" applyFill="1" applyBorder="1" applyAlignment="1">
      <alignment horizontal="center"/>
    </xf>
    <xf numFmtId="0" fontId="47" fillId="19" borderId="6" xfId="8" applyFont="1" applyFill="1" applyBorder="1" applyAlignment="1">
      <alignment horizontal="center"/>
    </xf>
    <xf numFmtId="0" fontId="6" fillId="20" borderId="12" xfId="8" applyFont="1" applyFill="1" applyBorder="1" applyAlignment="1">
      <alignment horizontal="left"/>
    </xf>
    <xf numFmtId="7" fontId="6" fillId="20" borderId="80" xfId="8" applyNumberFormat="1" applyFont="1" applyFill="1" applyBorder="1" applyAlignment="1">
      <alignment horizontal="center"/>
    </xf>
    <xf numFmtId="164" fontId="52" fillId="14" borderId="61" xfId="0" applyNumberFormat="1" applyFont="1" applyFill="1" applyBorder="1" applyAlignment="1">
      <alignment horizontal="center" vertical="top" wrapText="1"/>
    </xf>
    <xf numFmtId="164" fontId="52" fillId="14" borderId="6" xfId="0" applyNumberFormat="1" applyFont="1" applyFill="1" applyBorder="1" applyAlignment="1">
      <alignment horizontal="center" vertical="top" wrapText="1"/>
    </xf>
    <xf numFmtId="7" fontId="0" fillId="14" borderId="6" xfId="0" applyNumberFormat="1" applyFill="1" applyBorder="1" applyAlignment="1">
      <alignment horizontal="center" vertical="top" wrapText="1"/>
    </xf>
    <xf numFmtId="164" fontId="0" fillId="4" borderId="61" xfId="0" applyNumberFormat="1" applyFill="1" applyBorder="1" applyAlignment="1">
      <alignment horizontal="center" vertical="top" wrapText="1"/>
    </xf>
    <xf numFmtId="164" fontId="0" fillId="4" borderId="6" xfId="0" applyNumberFormat="1" applyFill="1" applyBorder="1" applyAlignment="1">
      <alignment horizontal="center" vertical="top" wrapText="1"/>
    </xf>
    <xf numFmtId="7" fontId="0" fillId="4" borderId="6" xfId="0" applyNumberFormat="1" applyFill="1" applyBorder="1" applyAlignment="1">
      <alignment horizontal="center" vertical="top" wrapText="1"/>
    </xf>
    <xf numFmtId="164" fontId="52" fillId="14" borderId="78" xfId="0" applyNumberFormat="1" applyFont="1" applyFill="1" applyBorder="1" applyAlignment="1">
      <alignment horizontal="center" vertical="top" wrapText="1"/>
    </xf>
    <xf numFmtId="0" fontId="16" fillId="14" borderId="0" xfId="0" applyFont="1" applyFill="1" applyAlignment="1">
      <alignment horizontal="left" vertical="top" wrapText="1"/>
    </xf>
    <xf numFmtId="164" fontId="52" fillId="0" borderId="0" xfId="0" applyNumberFormat="1" applyFont="1" applyAlignment="1">
      <alignment horizontal="center" vertical="top" wrapText="1"/>
    </xf>
    <xf numFmtId="7" fontId="0" fillId="14" borderId="0" xfId="0" applyNumberFormat="1" applyFill="1" applyAlignment="1">
      <alignment horizontal="center" vertical="top" wrapText="1"/>
    </xf>
    <xf numFmtId="0" fontId="19" fillId="0" borderId="0" xfId="0" applyFont="1" applyAlignment="1">
      <alignment horizontal="center" wrapText="1"/>
    </xf>
    <xf numFmtId="0" fontId="19" fillId="0" borderId="0" xfId="0" applyFont="1" applyAlignment="1" applyProtection="1">
      <alignment horizontal="center" wrapText="1"/>
      <protection locked="0"/>
    </xf>
    <xf numFmtId="0" fontId="53" fillId="0" borderId="0" xfId="9" applyFont="1"/>
    <xf numFmtId="0" fontId="2" fillId="0" borderId="0" xfId="8" applyProtection="1">
      <protection locked="0"/>
    </xf>
    <xf numFmtId="0" fontId="40" fillId="0" borderId="0" xfId="9" applyFont="1" applyAlignment="1">
      <alignment wrapText="1"/>
    </xf>
    <xf numFmtId="0" fontId="40" fillId="0" borderId="0" xfId="9" applyFont="1" applyAlignment="1">
      <alignment horizontal="left" wrapText="1"/>
    </xf>
    <xf numFmtId="0" fontId="40" fillId="0" borderId="0" xfId="9" applyFont="1" applyAlignment="1" applyProtection="1">
      <alignment horizontal="left" wrapText="1"/>
      <protection locked="0"/>
    </xf>
    <xf numFmtId="0" fontId="2" fillId="0" borderId="0" xfId="9" applyFont="1" applyAlignment="1">
      <alignment horizontal="left" wrapText="1"/>
    </xf>
    <xf numFmtId="0" fontId="2" fillId="0" borderId="0" xfId="8" applyAlignment="1">
      <alignment horizontal="left" wrapText="1"/>
    </xf>
    <xf numFmtId="6" fontId="2" fillId="0" borderId="3" xfId="0" applyNumberFormat="1" applyFont="1" applyBorder="1" applyAlignment="1">
      <alignment horizontal="center" vertical="top" wrapText="1"/>
    </xf>
    <xf numFmtId="6" fontId="2" fillId="0" borderId="4" xfId="0" applyNumberFormat="1" applyFont="1" applyBorder="1" applyAlignment="1">
      <alignment horizontal="center" vertical="top" wrapText="1"/>
    </xf>
    <xf numFmtId="0" fontId="6" fillId="0" borderId="5" xfId="0" applyFont="1" applyBorder="1" applyAlignment="1">
      <alignment horizontal="right" vertical="top" textRotation="180" wrapText="1"/>
    </xf>
    <xf numFmtId="0" fontId="2" fillId="0" borderId="5" xfId="0" applyFont="1" applyBorder="1" applyAlignment="1">
      <alignment horizontal="right" vertical="top" wrapText="1"/>
    </xf>
    <xf numFmtId="0" fontId="2" fillId="0" borderId="12" xfId="0" applyFont="1" applyBorder="1" applyAlignment="1">
      <alignment horizontal="right" vertical="top" wrapText="1"/>
    </xf>
    <xf numFmtId="0" fontId="11" fillId="0" borderId="0" xfId="0" applyFont="1" applyAlignment="1">
      <alignment horizontal="center" vertical="top"/>
    </xf>
    <xf numFmtId="0" fontId="6" fillId="3" borderId="6" xfId="0" applyFont="1" applyFill="1" applyBorder="1" applyAlignment="1">
      <alignment horizontal="center" vertical="top"/>
    </xf>
    <xf numFmtId="0" fontId="6" fillId="3" borderId="11" xfId="0" applyFont="1" applyFill="1" applyBorder="1" applyAlignment="1">
      <alignment horizontal="left" vertical="top"/>
    </xf>
    <xf numFmtId="0" fontId="6" fillId="3" borderId="14" xfId="0" applyFont="1" applyFill="1" applyBorder="1" applyAlignment="1">
      <alignment horizontal="left" vertical="top"/>
    </xf>
    <xf numFmtId="0" fontId="2" fillId="0" borderId="3" xfId="0" applyFont="1" applyBorder="1" applyAlignment="1">
      <alignment horizontal="right" vertical="top"/>
    </xf>
    <xf numFmtId="0" fontId="0" fillId="0" borderId="4" xfId="0" applyBorder="1" applyAlignment="1">
      <alignment vertical="top"/>
    </xf>
    <xf numFmtId="0" fontId="11" fillId="0" borderId="10" xfId="0" applyFont="1" applyBorder="1" applyAlignment="1">
      <alignment horizontal="center" vertical="top"/>
    </xf>
    <xf numFmtId="167" fontId="2" fillId="0" borderId="3" xfId="0" applyNumberFormat="1" applyFont="1" applyBorder="1" applyAlignment="1">
      <alignment horizontal="center" vertical="top"/>
    </xf>
    <xf numFmtId="0" fontId="0" fillId="0" borderId="4" xfId="0" applyBorder="1" applyAlignment="1">
      <alignment horizontal="center" vertical="top"/>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top"/>
    </xf>
    <xf numFmtId="0" fontId="2" fillId="0" borderId="4" xfId="0" applyFont="1" applyBorder="1" applyAlignment="1">
      <alignment horizontal="center" vertical="top"/>
    </xf>
    <xf numFmtId="0" fontId="41" fillId="16" borderId="47" xfId="0" applyFont="1" applyFill="1" applyBorder="1" applyAlignment="1">
      <alignment horizontal="center" vertical="center" wrapText="1"/>
    </xf>
    <xf numFmtId="0" fontId="41" fillId="16" borderId="44" xfId="0" applyFont="1" applyFill="1" applyBorder="1" applyAlignment="1">
      <alignment horizontal="center" vertical="center" wrapText="1"/>
    </xf>
    <xf numFmtId="0" fontId="41" fillId="16" borderId="48" xfId="0" applyFont="1" applyFill="1" applyBorder="1" applyAlignment="1">
      <alignment horizontal="center" vertical="center" wrapText="1"/>
    </xf>
    <xf numFmtId="0" fontId="41" fillId="16" borderId="45" xfId="0" applyFont="1" applyFill="1" applyBorder="1" applyAlignment="1">
      <alignment horizontal="center" vertical="center" wrapText="1"/>
    </xf>
    <xf numFmtId="0" fontId="41" fillId="16" borderId="50" xfId="0" applyFont="1" applyFill="1" applyBorder="1" applyAlignment="1">
      <alignment horizontal="center" vertical="center" wrapText="1"/>
    </xf>
    <xf numFmtId="0" fontId="41" fillId="16" borderId="46" xfId="0" applyFont="1" applyFill="1" applyBorder="1" applyAlignment="1">
      <alignment horizontal="center" vertical="center" wrapText="1"/>
    </xf>
    <xf numFmtId="0" fontId="41" fillId="16" borderId="52" xfId="0" applyFont="1" applyFill="1" applyBorder="1" applyAlignment="1">
      <alignment horizontal="center" vertical="center"/>
    </xf>
    <xf numFmtId="0" fontId="41" fillId="16" borderId="53" xfId="0" applyFont="1" applyFill="1" applyBorder="1" applyAlignment="1">
      <alignment horizontal="center" vertical="center"/>
    </xf>
    <xf numFmtId="0" fontId="41" fillId="16" borderId="54" xfId="0" applyFont="1" applyFill="1" applyBorder="1" applyAlignment="1">
      <alignment horizontal="center" vertical="center"/>
    </xf>
    <xf numFmtId="0" fontId="41" fillId="16" borderId="47" xfId="0" applyFont="1" applyFill="1" applyBorder="1" applyAlignment="1">
      <alignment horizontal="center" vertical="center"/>
    </xf>
    <xf numFmtId="0" fontId="41" fillId="16" borderId="44" xfId="0" applyFont="1" applyFill="1" applyBorder="1" applyAlignment="1">
      <alignment horizontal="center" vertical="center"/>
    </xf>
    <xf numFmtId="0" fontId="41" fillId="16" borderId="48" xfId="0" applyFont="1" applyFill="1" applyBorder="1" applyAlignment="1">
      <alignment horizontal="center" vertical="center"/>
    </xf>
    <xf numFmtId="0" fontId="41" fillId="16" borderId="45" xfId="0" applyFont="1" applyFill="1" applyBorder="1" applyAlignment="1">
      <alignment horizontal="center" vertical="center"/>
    </xf>
    <xf numFmtId="0" fontId="41" fillId="16" borderId="50" xfId="0" applyFont="1" applyFill="1" applyBorder="1" applyAlignment="1">
      <alignment horizontal="center" vertical="center"/>
    </xf>
    <xf numFmtId="0" fontId="41" fillId="16" borderId="46" xfId="0" applyFont="1" applyFill="1" applyBorder="1" applyAlignment="1">
      <alignment horizontal="center" vertical="center"/>
    </xf>
    <xf numFmtId="0" fontId="42" fillId="0" borderId="68" xfId="0" applyFont="1" applyBorder="1" applyAlignment="1">
      <alignment horizontal="center" vertical="center"/>
    </xf>
    <xf numFmtId="0" fontId="42" fillId="0" borderId="69" xfId="0" applyFont="1" applyBorder="1" applyAlignment="1">
      <alignment horizontal="center" vertical="center"/>
    </xf>
    <xf numFmtId="164" fontId="37" fillId="0" borderId="62" xfId="0" applyNumberFormat="1" applyFont="1" applyBorder="1" applyAlignment="1">
      <alignment horizontal="center" vertical="center"/>
    </xf>
    <xf numFmtId="164" fontId="37" fillId="0" borderId="63" xfId="0" applyNumberFormat="1" applyFont="1" applyBorder="1" applyAlignment="1">
      <alignment horizontal="center" vertical="center"/>
    </xf>
    <xf numFmtId="164" fontId="37" fillId="0" borderId="48" xfId="0" applyNumberFormat="1" applyFont="1" applyBorder="1" applyAlignment="1">
      <alignment horizontal="center" vertical="center"/>
    </xf>
    <xf numFmtId="164" fontId="37" fillId="0" borderId="45" xfId="0" applyNumberFormat="1" applyFont="1" applyBorder="1" applyAlignment="1">
      <alignment horizontal="center" vertical="center"/>
    </xf>
    <xf numFmtId="164" fontId="37" fillId="0" borderId="68" xfId="1" applyNumberFormat="1" applyFont="1" applyBorder="1" applyAlignment="1">
      <alignment horizontal="center" vertical="center"/>
    </xf>
    <xf numFmtId="164" fontId="37" fillId="0" borderId="69" xfId="1" applyNumberFormat="1" applyFont="1" applyBorder="1" applyAlignment="1">
      <alignment horizontal="center" vertical="center"/>
    </xf>
    <xf numFmtId="0" fontId="42" fillId="0" borderId="66" xfId="0" applyFont="1" applyBorder="1" applyAlignment="1">
      <alignment horizontal="center" vertical="center"/>
    </xf>
    <xf numFmtId="0" fontId="42" fillId="0" borderId="67" xfId="0" applyFont="1" applyBorder="1" applyAlignment="1">
      <alignment horizontal="center" vertical="center"/>
    </xf>
    <xf numFmtId="164" fontId="37" fillId="0" borderId="66" xfId="0" applyNumberFormat="1" applyFont="1" applyBorder="1" applyAlignment="1">
      <alignment horizontal="center" vertical="center"/>
    </xf>
    <xf numFmtId="164" fontId="37" fillId="0" borderId="67" xfId="0" applyNumberFormat="1" applyFont="1" applyBorder="1" applyAlignment="1">
      <alignment horizontal="center" vertical="center"/>
    </xf>
    <xf numFmtId="164" fontId="37" fillId="0" borderId="48" xfId="1" applyNumberFormat="1" applyFont="1" applyBorder="1" applyAlignment="1">
      <alignment horizontal="center" vertical="center"/>
    </xf>
    <xf numFmtId="164" fontId="37" fillId="0" borderId="45" xfId="1" applyNumberFormat="1" applyFont="1" applyBorder="1" applyAlignment="1">
      <alignment horizontal="center" vertical="center"/>
    </xf>
    <xf numFmtId="0" fontId="42" fillId="0" borderId="64" xfId="0" applyFont="1" applyBorder="1" applyAlignment="1">
      <alignment horizontal="center" vertical="center"/>
    </xf>
    <xf numFmtId="0" fontId="42" fillId="0" borderId="65" xfId="0" applyFont="1" applyBorder="1" applyAlignment="1">
      <alignment horizontal="center" vertical="center"/>
    </xf>
    <xf numFmtId="164" fontId="37" fillId="0" borderId="64" xfId="0" applyNumberFormat="1" applyFont="1" applyBorder="1" applyAlignment="1">
      <alignment horizontal="center" vertical="center"/>
    </xf>
    <xf numFmtId="164" fontId="37" fillId="0" borderId="65" xfId="0" applyNumberFormat="1" applyFont="1" applyBorder="1" applyAlignment="1">
      <alignment horizontal="center" vertical="center"/>
    </xf>
    <xf numFmtId="164" fontId="37" fillId="0" borderId="64" xfId="1" applyNumberFormat="1" applyFont="1" applyBorder="1" applyAlignment="1">
      <alignment horizontal="center" vertical="center"/>
    </xf>
    <xf numFmtId="164" fontId="37" fillId="0" borderId="65" xfId="1" applyNumberFormat="1" applyFont="1" applyBorder="1" applyAlignment="1">
      <alignment horizontal="center" vertical="center"/>
    </xf>
    <xf numFmtId="0" fontId="38" fillId="0" borderId="66" xfId="0" applyFont="1" applyBorder="1" applyAlignment="1">
      <alignment horizontal="center" vertical="top"/>
    </xf>
    <xf numFmtId="0" fontId="38" fillId="0" borderId="67" xfId="0" applyFont="1" applyBorder="1" applyAlignment="1">
      <alignment horizontal="center" vertical="top"/>
    </xf>
    <xf numFmtId="164" fontId="42" fillId="14" borderId="66" xfId="1" applyNumberFormat="1" applyFont="1" applyFill="1" applyBorder="1" applyAlignment="1">
      <alignment horizontal="center" vertical="center"/>
    </xf>
    <xf numFmtId="164" fontId="42" fillId="14" borderId="67" xfId="1" applyNumberFormat="1" applyFont="1" applyFill="1" applyBorder="1" applyAlignment="1">
      <alignment horizontal="center" vertical="center"/>
    </xf>
    <xf numFmtId="0" fontId="42" fillId="0" borderId="58" xfId="0" applyFont="1" applyBorder="1" applyAlignment="1">
      <alignment horizontal="center" vertical="center"/>
    </xf>
    <xf numFmtId="0" fontId="42" fillId="0" borderId="59" xfId="0" applyFont="1" applyBorder="1" applyAlignment="1">
      <alignment horizontal="center" vertical="center"/>
    </xf>
    <xf numFmtId="164" fontId="42" fillId="0" borderId="58" xfId="0" applyNumberFormat="1" applyFont="1" applyBorder="1" applyAlignment="1">
      <alignment horizontal="center" vertical="center"/>
    </xf>
    <xf numFmtId="164" fontId="42" fillId="0" borderId="59" xfId="0" applyNumberFormat="1" applyFont="1" applyBorder="1" applyAlignment="1">
      <alignment horizontal="center" vertical="center"/>
    </xf>
    <xf numFmtId="0" fontId="38" fillId="0" borderId="71" xfId="0" applyFont="1" applyBorder="1" applyAlignment="1">
      <alignment horizontal="center" vertical="top"/>
    </xf>
    <xf numFmtId="0" fontId="38" fillId="0" borderId="72" xfId="0" applyFont="1" applyBorder="1" applyAlignment="1">
      <alignment horizontal="center" vertical="top"/>
    </xf>
    <xf numFmtId="164" fontId="42" fillId="14" borderId="55" xfId="0" applyNumberFormat="1" applyFont="1" applyFill="1" applyBorder="1" applyAlignment="1">
      <alignment horizontal="center" vertical="center"/>
    </xf>
    <xf numFmtId="164" fontId="42" fillId="14" borderId="70" xfId="0" applyNumberFormat="1" applyFont="1" applyFill="1" applyBorder="1" applyAlignment="1">
      <alignment horizontal="center" vertical="center"/>
    </xf>
    <xf numFmtId="164" fontId="42" fillId="14" borderId="71" xfId="0" applyNumberFormat="1" applyFont="1" applyFill="1" applyBorder="1" applyAlignment="1">
      <alignment horizontal="center" vertical="center"/>
    </xf>
    <xf numFmtId="164" fontId="42" fillId="14" borderId="72" xfId="0" applyNumberFormat="1" applyFont="1" applyFill="1" applyBorder="1" applyAlignment="1">
      <alignment horizontal="center" vertical="center"/>
    </xf>
    <xf numFmtId="9" fontId="38" fillId="0" borderId="56" xfId="3" applyFont="1" applyFill="1" applyBorder="1" applyAlignment="1">
      <alignment horizontal="center" vertical="top"/>
    </xf>
    <xf numFmtId="9" fontId="38" fillId="0" borderId="57" xfId="3" applyFont="1" applyFill="1" applyBorder="1" applyAlignment="1">
      <alignment horizontal="center" vertical="top"/>
    </xf>
    <xf numFmtId="165" fontId="42" fillId="14" borderId="50" xfId="3" applyNumberFormat="1" applyFont="1" applyFill="1" applyBorder="1" applyAlignment="1">
      <alignment horizontal="center" vertical="center"/>
    </xf>
    <xf numFmtId="165" fontId="42" fillId="14" borderId="46" xfId="3" applyNumberFormat="1" applyFont="1" applyFill="1" applyBorder="1" applyAlignment="1">
      <alignment horizontal="center" vertical="center"/>
    </xf>
    <xf numFmtId="10" fontId="42" fillId="14" borderId="50" xfId="3" applyNumberFormat="1" applyFont="1" applyFill="1" applyBorder="1" applyAlignment="1">
      <alignment horizontal="center" vertical="center"/>
    </xf>
    <xf numFmtId="10" fontId="42" fillId="14" borderId="46" xfId="3" applyNumberFormat="1" applyFont="1" applyFill="1" applyBorder="1" applyAlignment="1">
      <alignment horizontal="center" vertical="center"/>
    </xf>
    <xf numFmtId="164" fontId="37" fillId="14" borderId="68" xfId="0" applyNumberFormat="1" applyFont="1" applyFill="1" applyBorder="1" applyAlignment="1">
      <alignment horizontal="center" vertical="center"/>
    </xf>
    <xf numFmtId="164" fontId="37" fillId="14" borderId="69" xfId="0" applyNumberFormat="1" applyFont="1" applyFill="1" applyBorder="1" applyAlignment="1">
      <alignment horizontal="center" vertical="center"/>
    </xf>
    <xf numFmtId="164" fontId="37" fillId="14" borderId="68" xfId="1" applyNumberFormat="1" applyFont="1" applyFill="1" applyBorder="1" applyAlignment="1">
      <alignment horizontal="center" vertical="center"/>
    </xf>
    <xf numFmtId="164" fontId="37" fillId="14" borderId="69" xfId="1" applyNumberFormat="1" applyFont="1" applyFill="1" applyBorder="1" applyAlignment="1">
      <alignment horizontal="center" vertical="center"/>
    </xf>
    <xf numFmtId="164" fontId="37" fillId="14" borderId="66" xfId="0" applyNumberFormat="1" applyFont="1" applyFill="1" applyBorder="1" applyAlignment="1">
      <alignment horizontal="center" vertical="center"/>
    </xf>
    <xf numFmtId="164" fontId="37" fillId="14" borderId="67" xfId="0" applyNumberFormat="1" applyFont="1" applyFill="1" applyBorder="1" applyAlignment="1">
      <alignment horizontal="center" vertical="center"/>
    </xf>
    <xf numFmtId="164" fontId="37" fillId="14" borderId="66" xfId="1" applyNumberFormat="1" applyFont="1" applyFill="1" applyBorder="1" applyAlignment="1">
      <alignment horizontal="center" vertical="center"/>
    </xf>
    <xf numFmtId="164" fontId="37" fillId="14" borderId="67" xfId="1" applyNumberFormat="1" applyFont="1" applyFill="1" applyBorder="1" applyAlignment="1">
      <alignment horizontal="center" vertical="center"/>
    </xf>
    <xf numFmtId="164" fontId="37" fillId="14" borderId="64" xfId="0" applyNumberFormat="1" applyFont="1" applyFill="1" applyBorder="1" applyAlignment="1">
      <alignment horizontal="center" vertical="center"/>
    </xf>
    <xf numFmtId="164" fontId="37" fillId="14" borderId="65" xfId="0" applyNumberFormat="1" applyFont="1" applyFill="1" applyBorder="1" applyAlignment="1">
      <alignment horizontal="center" vertical="center"/>
    </xf>
    <xf numFmtId="164" fontId="37" fillId="14" borderId="64" xfId="1" applyNumberFormat="1" applyFont="1" applyFill="1" applyBorder="1" applyAlignment="1">
      <alignment horizontal="center" vertical="center"/>
    </xf>
    <xf numFmtId="164" fontId="37" fillId="14" borderId="65" xfId="1" applyNumberFormat="1" applyFont="1" applyFill="1" applyBorder="1" applyAlignment="1">
      <alignment horizontal="center" vertical="center"/>
    </xf>
    <xf numFmtId="164" fontId="42" fillId="14" borderId="58" xfId="0" applyNumberFormat="1" applyFont="1" applyFill="1" applyBorder="1" applyAlignment="1">
      <alignment horizontal="center" vertical="center"/>
    </xf>
    <xf numFmtId="164" fontId="42" fillId="14" borderId="59" xfId="0" applyNumberFormat="1" applyFont="1" applyFill="1" applyBorder="1" applyAlignment="1">
      <alignment horizontal="center" vertical="center"/>
    </xf>
    <xf numFmtId="165" fontId="42" fillId="14" borderId="56" xfId="3" applyNumberFormat="1" applyFont="1" applyFill="1" applyBorder="1" applyAlignment="1">
      <alignment horizontal="center" vertical="center"/>
    </xf>
    <xf numFmtId="165" fontId="42" fillId="14" borderId="57" xfId="3" applyNumberFormat="1" applyFont="1" applyFill="1" applyBorder="1" applyAlignment="1">
      <alignment horizontal="center" vertical="center"/>
    </xf>
    <xf numFmtId="10" fontId="42" fillId="14" borderId="56" xfId="3" applyNumberFormat="1" applyFont="1" applyFill="1" applyBorder="1" applyAlignment="1">
      <alignment horizontal="center" vertical="center"/>
    </xf>
    <xf numFmtId="10" fontId="42" fillId="14" borderId="57" xfId="3" applyNumberFormat="1" applyFont="1" applyFill="1" applyBorder="1" applyAlignment="1">
      <alignment horizontal="center" vertical="center"/>
    </xf>
    <xf numFmtId="0" fontId="41" fillId="16" borderId="52" xfId="7" applyFont="1" applyFill="1" applyBorder="1" applyAlignment="1">
      <alignment horizontal="center" vertical="center"/>
    </xf>
    <xf numFmtId="0" fontId="41" fillId="16" borderId="53" xfId="7" applyFont="1" applyFill="1" applyBorder="1" applyAlignment="1">
      <alignment horizontal="center" vertical="center"/>
    </xf>
    <xf numFmtId="0" fontId="41" fillId="16" borderId="54" xfId="7" applyFont="1" applyFill="1" applyBorder="1" applyAlignment="1">
      <alignment horizontal="center" vertical="center"/>
    </xf>
    <xf numFmtId="0" fontId="41" fillId="16" borderId="47" xfId="7" applyFont="1" applyFill="1" applyBorder="1" applyAlignment="1">
      <alignment horizontal="center" vertical="center"/>
    </xf>
    <xf numFmtId="0" fontId="41" fillId="16" borderId="44" xfId="7" applyFont="1" applyFill="1" applyBorder="1" applyAlignment="1">
      <alignment horizontal="center" vertical="center"/>
    </xf>
    <xf numFmtId="0" fontId="41" fillId="16" borderId="48" xfId="7" applyFont="1" applyFill="1" applyBorder="1" applyAlignment="1">
      <alignment horizontal="center" vertical="center"/>
    </xf>
    <xf numFmtId="0" fontId="41" fillId="16" borderId="45" xfId="7" applyFont="1" applyFill="1" applyBorder="1" applyAlignment="1">
      <alignment horizontal="center" vertical="center"/>
    </xf>
    <xf numFmtId="0" fontId="41" fillId="16" borderId="50" xfId="7" applyFont="1" applyFill="1" applyBorder="1" applyAlignment="1">
      <alignment horizontal="center" vertical="center"/>
    </xf>
    <xf numFmtId="0" fontId="41" fillId="16" borderId="46" xfId="7" applyFont="1" applyFill="1" applyBorder="1" applyAlignment="1">
      <alignment horizontal="center" vertical="center"/>
    </xf>
    <xf numFmtId="0" fontId="41" fillId="16" borderId="47" xfId="7" applyFont="1" applyFill="1" applyBorder="1" applyAlignment="1">
      <alignment horizontal="center" vertical="center" wrapText="1"/>
    </xf>
    <xf numFmtId="0" fontId="41" fillId="16" borderId="44" xfId="7" applyFont="1" applyFill="1" applyBorder="1" applyAlignment="1">
      <alignment horizontal="center" vertical="center" wrapText="1"/>
    </xf>
    <xf numFmtId="0" fontId="41" fillId="16" borderId="48" xfId="7" applyFont="1" applyFill="1" applyBorder="1" applyAlignment="1">
      <alignment horizontal="center" vertical="center" wrapText="1"/>
    </xf>
    <xf numFmtId="0" fontId="41" fillId="16" borderId="45" xfId="7" applyFont="1" applyFill="1" applyBorder="1" applyAlignment="1">
      <alignment horizontal="center" vertical="center" wrapText="1"/>
    </xf>
    <xf numFmtId="0" fontId="41" fillId="16" borderId="50" xfId="7" applyFont="1" applyFill="1" applyBorder="1" applyAlignment="1">
      <alignment horizontal="center" vertical="center" wrapText="1"/>
    </xf>
    <xf numFmtId="0" fontId="41" fillId="16" borderId="46" xfId="7" applyFont="1" applyFill="1" applyBorder="1" applyAlignment="1">
      <alignment horizontal="center" vertical="center" wrapText="1"/>
    </xf>
    <xf numFmtId="0" fontId="42" fillId="0" borderId="66" xfId="7" applyFont="1" applyBorder="1" applyAlignment="1">
      <alignment horizontal="center" vertical="center"/>
    </xf>
    <xf numFmtId="0" fontId="42" fillId="0" borderId="67" xfId="7" applyFont="1" applyBorder="1" applyAlignment="1">
      <alignment horizontal="center" vertical="center"/>
    </xf>
    <xf numFmtId="164" fontId="46" fillId="0" borderId="48" xfId="7" applyNumberFormat="1" applyFont="1" applyBorder="1" applyAlignment="1">
      <alignment horizontal="center" vertical="center"/>
    </xf>
    <xf numFmtId="164" fontId="46" fillId="0" borderId="45" xfId="7" applyNumberFormat="1" applyFont="1" applyBorder="1" applyAlignment="1">
      <alignment horizontal="center" vertical="center"/>
    </xf>
    <xf numFmtId="164" fontId="46" fillId="0" borderId="48" xfId="1" applyNumberFormat="1" applyFont="1" applyBorder="1" applyAlignment="1">
      <alignment horizontal="center" vertical="center"/>
    </xf>
    <xf numFmtId="164" fontId="46" fillId="0" borderId="45" xfId="1" applyNumberFormat="1" applyFont="1" applyBorder="1" applyAlignment="1">
      <alignment horizontal="center" vertical="center"/>
    </xf>
    <xf numFmtId="0" fontId="42" fillId="0" borderId="68" xfId="7" applyFont="1" applyBorder="1" applyAlignment="1">
      <alignment horizontal="center" vertical="center"/>
    </xf>
    <xf numFmtId="0" fontId="42" fillId="0" borderId="69" xfId="7" applyFont="1" applyBorder="1" applyAlignment="1">
      <alignment horizontal="center" vertical="center"/>
    </xf>
    <xf numFmtId="164" fontId="46" fillId="0" borderId="62" xfId="7" applyNumberFormat="1" applyFont="1" applyBorder="1" applyAlignment="1">
      <alignment horizontal="center" vertical="center"/>
    </xf>
    <xf numFmtId="164" fontId="46" fillId="0" borderId="63" xfId="7" applyNumberFormat="1" applyFont="1" applyBorder="1" applyAlignment="1">
      <alignment horizontal="center" vertical="center"/>
    </xf>
    <xf numFmtId="164" fontId="46" fillId="0" borderId="68" xfId="1" applyNumberFormat="1" applyFont="1" applyBorder="1" applyAlignment="1">
      <alignment horizontal="center" vertical="center"/>
    </xf>
    <xf numFmtId="164" fontId="46" fillId="0" borderId="69" xfId="1" applyNumberFormat="1" applyFont="1" applyBorder="1" applyAlignment="1">
      <alignment horizontal="center" vertical="center"/>
    </xf>
    <xf numFmtId="0" fontId="42" fillId="0" borderId="64" xfId="7" applyFont="1" applyBorder="1" applyAlignment="1">
      <alignment horizontal="center" vertical="center"/>
    </xf>
    <xf numFmtId="0" fontId="42" fillId="0" borderId="65" xfId="7" applyFont="1" applyBorder="1" applyAlignment="1">
      <alignment horizontal="center" vertical="center"/>
    </xf>
    <xf numFmtId="164" fontId="46" fillId="0" borderId="64" xfId="7" applyNumberFormat="1" applyFont="1" applyBorder="1" applyAlignment="1">
      <alignment horizontal="center" vertical="center"/>
    </xf>
    <xf numFmtId="164" fontId="46" fillId="0" borderId="65" xfId="7" applyNumberFormat="1" applyFont="1" applyBorder="1" applyAlignment="1">
      <alignment horizontal="center" vertical="center"/>
    </xf>
    <xf numFmtId="164" fontId="46" fillId="0" borderId="64" xfId="1" applyNumberFormat="1" applyFont="1" applyBorder="1" applyAlignment="1">
      <alignment horizontal="center" vertical="center"/>
    </xf>
    <xf numFmtId="164" fontId="46" fillId="0" borderId="65" xfId="1" applyNumberFormat="1" applyFont="1" applyBorder="1" applyAlignment="1">
      <alignment horizontal="center" vertical="center"/>
    </xf>
    <xf numFmtId="164" fontId="42" fillId="14" borderId="71" xfId="7" applyNumberFormat="1" applyFont="1" applyFill="1" applyBorder="1" applyAlignment="1">
      <alignment horizontal="center" vertical="center"/>
    </xf>
    <xf numFmtId="164" fontId="42" fillId="14" borderId="72" xfId="7" applyNumberFormat="1" applyFont="1" applyFill="1" applyBorder="1" applyAlignment="1">
      <alignment horizontal="center" vertical="center"/>
    </xf>
    <xf numFmtId="9" fontId="42" fillId="0" borderId="56" xfId="3" applyFont="1" applyFill="1" applyBorder="1" applyAlignment="1">
      <alignment horizontal="center" vertical="top"/>
    </xf>
    <xf numFmtId="9" fontId="42" fillId="0" borderId="57" xfId="3" applyFont="1" applyFill="1" applyBorder="1" applyAlignment="1">
      <alignment horizontal="center" vertical="top"/>
    </xf>
    <xf numFmtId="0" fontId="42" fillId="0" borderId="58" xfId="7" applyFont="1" applyBorder="1" applyAlignment="1">
      <alignment horizontal="center" vertical="center"/>
    </xf>
    <xf numFmtId="0" fontId="42" fillId="0" borderId="59" xfId="7" applyFont="1" applyBorder="1" applyAlignment="1">
      <alignment horizontal="center" vertical="center"/>
    </xf>
    <xf numFmtId="164" fontId="42" fillId="0" borderId="58" xfId="7" applyNumberFormat="1" applyFont="1" applyBorder="1" applyAlignment="1">
      <alignment horizontal="center" vertical="center"/>
    </xf>
    <xf numFmtId="164" fontId="42" fillId="0" borderId="59" xfId="7" applyNumberFormat="1" applyFont="1" applyBorder="1" applyAlignment="1">
      <alignment horizontal="center" vertical="center"/>
    </xf>
    <xf numFmtId="0" fontId="42" fillId="0" borderId="66" xfId="7" applyFont="1" applyBorder="1" applyAlignment="1">
      <alignment horizontal="center" vertical="top"/>
    </xf>
    <xf numFmtId="0" fontId="42" fillId="0" borderId="67" xfId="7" applyFont="1" applyBorder="1" applyAlignment="1">
      <alignment horizontal="center" vertical="top"/>
    </xf>
    <xf numFmtId="0" fontId="42" fillId="0" borderId="71" xfId="7" applyFont="1" applyBorder="1" applyAlignment="1">
      <alignment horizontal="center" vertical="top"/>
    </xf>
    <xf numFmtId="0" fontId="42" fillId="0" borderId="72" xfId="7" applyFont="1" applyBorder="1" applyAlignment="1">
      <alignment horizontal="center" vertical="top"/>
    </xf>
    <xf numFmtId="164" fontId="42" fillId="14" borderId="55" xfId="7" applyNumberFormat="1" applyFont="1" applyFill="1" applyBorder="1" applyAlignment="1">
      <alignment horizontal="center" vertical="center"/>
    </xf>
    <xf numFmtId="164" fontId="42" fillId="14" borderId="70" xfId="7" applyNumberFormat="1" applyFont="1" applyFill="1" applyBorder="1" applyAlignment="1">
      <alignment horizontal="center" vertical="center"/>
    </xf>
    <xf numFmtId="164" fontId="46" fillId="14" borderId="66" xfId="7" applyNumberFormat="1" applyFont="1" applyFill="1" applyBorder="1" applyAlignment="1">
      <alignment horizontal="center" vertical="center"/>
    </xf>
    <xf numFmtId="164" fontId="46" fillId="14" borderId="67" xfId="7" applyNumberFormat="1" applyFont="1" applyFill="1" applyBorder="1" applyAlignment="1">
      <alignment horizontal="center" vertical="center"/>
    </xf>
    <xf numFmtId="165" fontId="38" fillId="14" borderId="47" xfId="3" applyNumberFormat="1" applyFont="1" applyFill="1" applyBorder="1" applyAlignment="1">
      <alignment horizontal="center" vertical="top"/>
    </xf>
    <xf numFmtId="165" fontId="38" fillId="14" borderId="73" xfId="3" applyNumberFormat="1" applyFont="1" applyFill="1" applyBorder="1" applyAlignment="1">
      <alignment horizontal="center" vertical="top"/>
    </xf>
    <xf numFmtId="164" fontId="38" fillId="14" borderId="48" xfId="1" applyNumberFormat="1" applyFont="1" applyFill="1" applyBorder="1" applyAlignment="1">
      <alignment horizontal="center" vertical="top"/>
    </xf>
    <xf numFmtId="164" fontId="38" fillId="14" borderId="0" xfId="1" applyNumberFormat="1" applyFont="1" applyFill="1" applyBorder="1" applyAlignment="1">
      <alignment horizontal="center" vertical="top"/>
    </xf>
    <xf numFmtId="164" fontId="38" fillId="14" borderId="50" xfId="1" applyNumberFormat="1" applyFont="1" applyFill="1" applyBorder="1" applyAlignment="1">
      <alignment horizontal="center" vertical="top"/>
    </xf>
    <xf numFmtId="164" fontId="38" fillId="14" borderId="74" xfId="1" applyNumberFormat="1" applyFont="1" applyFill="1" applyBorder="1" applyAlignment="1">
      <alignment horizontal="center" vertical="top"/>
    </xf>
    <xf numFmtId="164" fontId="46" fillId="14" borderId="68" xfId="7" applyNumberFormat="1" applyFont="1" applyFill="1" applyBorder="1" applyAlignment="1">
      <alignment horizontal="center" vertical="center"/>
    </xf>
    <xf numFmtId="164" fontId="46" fillId="14" borderId="69" xfId="7" applyNumberFormat="1" applyFont="1" applyFill="1" applyBorder="1" applyAlignment="1">
      <alignment horizontal="center" vertical="center"/>
    </xf>
    <xf numFmtId="164" fontId="46" fillId="14" borderId="64" xfId="7" applyNumberFormat="1" applyFont="1" applyFill="1" applyBorder="1" applyAlignment="1">
      <alignment horizontal="center" vertical="center"/>
    </xf>
    <xf numFmtId="164" fontId="46" fillId="14" borderId="65" xfId="7" applyNumberFormat="1" applyFont="1" applyFill="1" applyBorder="1" applyAlignment="1">
      <alignment horizontal="center" vertical="center"/>
    </xf>
    <xf numFmtId="164" fontId="42" fillId="14" borderId="58" xfId="7" applyNumberFormat="1" applyFont="1" applyFill="1" applyBorder="1" applyAlignment="1">
      <alignment horizontal="center" vertical="center"/>
    </xf>
    <xf numFmtId="164" fontId="42" fillId="14" borderId="59" xfId="7" applyNumberFormat="1" applyFont="1" applyFill="1" applyBorder="1" applyAlignment="1">
      <alignment horizontal="center" vertical="center"/>
    </xf>
    <xf numFmtId="164" fontId="46" fillId="0" borderId="66" xfId="1" applyNumberFormat="1" applyFont="1" applyBorder="1" applyAlignment="1">
      <alignment horizontal="center" vertical="center"/>
    </xf>
    <xf numFmtId="164" fontId="46" fillId="0" borderId="67" xfId="1" applyNumberFormat="1" applyFont="1" applyBorder="1" applyAlignment="1">
      <alignment horizontal="center" vertical="center"/>
    </xf>
    <xf numFmtId="9" fontId="35" fillId="18" borderId="58" xfId="3" applyFont="1" applyFill="1" applyBorder="1" applyAlignment="1">
      <alignment horizontal="center" vertical="center"/>
    </xf>
    <xf numFmtId="9" fontId="35" fillId="18" borderId="81" xfId="3" applyFont="1" applyFill="1" applyBorder="1" applyAlignment="1">
      <alignment horizontal="center" vertical="center"/>
    </xf>
    <xf numFmtId="9" fontId="35" fillId="18" borderId="59" xfId="3" applyFont="1" applyFill="1" applyBorder="1" applyAlignment="1">
      <alignment horizontal="center" vertical="center"/>
    </xf>
    <xf numFmtId="165" fontId="35" fillId="18" borderId="58" xfId="3" applyNumberFormat="1" applyFont="1" applyFill="1" applyBorder="1" applyAlignment="1">
      <alignment horizontal="center" vertical="center"/>
    </xf>
    <xf numFmtId="165" fontId="35" fillId="18" borderId="81" xfId="3" applyNumberFormat="1" applyFont="1" applyFill="1" applyBorder="1" applyAlignment="1">
      <alignment horizontal="center" vertical="center"/>
    </xf>
    <xf numFmtId="165" fontId="35" fillId="18" borderId="59" xfId="3" applyNumberFormat="1" applyFont="1" applyFill="1" applyBorder="1" applyAlignment="1">
      <alignment horizontal="center" vertical="center"/>
    </xf>
    <xf numFmtId="9" fontId="35" fillId="14" borderId="66" xfId="3" applyFont="1" applyFill="1" applyBorder="1" applyAlignment="1">
      <alignment horizontal="left" vertical="top"/>
    </xf>
    <xf numFmtId="9" fontId="35" fillId="14" borderId="77" xfId="3" applyFont="1" applyFill="1" applyBorder="1" applyAlignment="1">
      <alignment horizontal="left" vertical="top"/>
    </xf>
    <xf numFmtId="9" fontId="35" fillId="14" borderId="67" xfId="3" applyFont="1" applyFill="1" applyBorder="1" applyAlignment="1">
      <alignment horizontal="left" vertical="top"/>
    </xf>
    <xf numFmtId="167" fontId="35" fillId="14" borderId="66" xfId="1" applyNumberFormat="1" applyFont="1" applyFill="1" applyBorder="1" applyAlignment="1">
      <alignment horizontal="center" vertical="top"/>
    </xf>
    <xf numFmtId="167" fontId="35" fillId="14" borderId="77" xfId="1" applyNumberFormat="1" applyFont="1" applyFill="1" applyBorder="1" applyAlignment="1">
      <alignment horizontal="center" vertical="top"/>
    </xf>
    <xf numFmtId="167" fontId="35" fillId="14" borderId="67" xfId="1" applyNumberFormat="1" applyFont="1" applyFill="1" applyBorder="1" applyAlignment="1">
      <alignment horizontal="center" vertical="top"/>
    </xf>
    <xf numFmtId="9" fontId="35" fillId="14" borderId="68" xfId="3" applyFont="1" applyFill="1" applyBorder="1" applyAlignment="1">
      <alignment horizontal="left" vertical="top"/>
    </xf>
    <xf numFmtId="9" fontId="35" fillId="14" borderId="15" xfId="3" applyFont="1" applyFill="1" applyBorder="1" applyAlignment="1">
      <alignment horizontal="left" vertical="top"/>
    </xf>
    <xf numFmtId="9" fontId="35" fillId="14" borderId="69" xfId="3" applyFont="1" applyFill="1" applyBorder="1" applyAlignment="1">
      <alignment horizontal="left" vertical="top"/>
    </xf>
    <xf numFmtId="167" fontId="35" fillId="14" borderId="68" xfId="3" applyNumberFormat="1" applyFont="1" applyFill="1" applyBorder="1" applyAlignment="1">
      <alignment horizontal="center" vertical="top"/>
    </xf>
    <xf numFmtId="167" fontId="35" fillId="14" borderId="15" xfId="3" applyNumberFormat="1" applyFont="1" applyFill="1" applyBorder="1" applyAlignment="1">
      <alignment horizontal="center" vertical="top"/>
    </xf>
    <xf numFmtId="167" fontId="35" fillId="14" borderId="69" xfId="3" applyNumberFormat="1" applyFont="1" applyFill="1" applyBorder="1" applyAlignment="1">
      <alignment horizontal="center" vertical="top"/>
    </xf>
    <xf numFmtId="0" fontId="35" fillId="16" borderId="47" xfId="7" applyFont="1" applyFill="1" applyBorder="1" applyAlignment="1">
      <alignment horizontal="center" vertical="center"/>
    </xf>
    <xf numFmtId="0" fontId="35" fillId="16" borderId="73" xfId="7" applyFont="1" applyFill="1" applyBorder="1" applyAlignment="1">
      <alignment horizontal="center" vertical="center"/>
    </xf>
    <xf numFmtId="0" fontId="35" fillId="16" borderId="44" xfId="7" applyFont="1" applyFill="1" applyBorder="1" applyAlignment="1">
      <alignment horizontal="center" vertical="center"/>
    </xf>
    <xf numFmtId="0" fontId="35" fillId="16" borderId="48" xfId="7" applyFont="1" applyFill="1" applyBorder="1" applyAlignment="1">
      <alignment horizontal="center" vertical="center"/>
    </xf>
    <xf numFmtId="0" fontId="35" fillId="16" borderId="0" xfId="7" applyFont="1" applyFill="1" applyAlignment="1">
      <alignment horizontal="center" vertical="center"/>
    </xf>
    <xf numFmtId="0" fontId="35" fillId="16" borderId="45" xfId="7" applyFont="1" applyFill="1" applyBorder="1" applyAlignment="1">
      <alignment horizontal="center" vertical="center"/>
    </xf>
    <xf numFmtId="0" fontId="35" fillId="16" borderId="50" xfId="7" applyFont="1" applyFill="1" applyBorder="1" applyAlignment="1">
      <alignment horizontal="center" vertical="center"/>
    </xf>
    <xf numFmtId="0" fontId="35" fillId="16" borderId="74" xfId="7" applyFont="1" applyFill="1" applyBorder="1" applyAlignment="1">
      <alignment horizontal="center" vertical="center"/>
    </xf>
    <xf numFmtId="0" fontId="35" fillId="16" borderId="46" xfId="7" applyFont="1" applyFill="1" applyBorder="1" applyAlignment="1">
      <alignment horizontal="center" vertical="center"/>
    </xf>
    <xf numFmtId="0" fontId="35" fillId="16" borderId="47" xfId="7" applyFont="1" applyFill="1" applyBorder="1" applyAlignment="1">
      <alignment horizontal="center" vertical="center" wrapText="1"/>
    </xf>
    <xf numFmtId="0" fontId="35" fillId="16" borderId="73" xfId="7" applyFont="1" applyFill="1" applyBorder="1" applyAlignment="1">
      <alignment horizontal="center" vertical="center" wrapText="1"/>
    </xf>
    <xf numFmtId="0" fontId="35" fillId="16" borderId="44" xfId="7" applyFont="1" applyFill="1" applyBorder="1" applyAlignment="1">
      <alignment horizontal="center" vertical="center" wrapText="1"/>
    </xf>
    <xf numFmtId="0" fontId="35" fillId="16" borderId="48" xfId="7" applyFont="1" applyFill="1" applyBorder="1" applyAlignment="1">
      <alignment horizontal="center" vertical="center" wrapText="1"/>
    </xf>
    <xf numFmtId="0" fontId="35" fillId="16" borderId="0" xfId="7" applyFont="1" applyFill="1" applyAlignment="1">
      <alignment horizontal="center" vertical="center" wrapText="1"/>
    </xf>
    <xf numFmtId="0" fontId="35" fillId="16" borderId="45" xfId="7" applyFont="1" applyFill="1" applyBorder="1" applyAlignment="1">
      <alignment horizontal="center" vertical="center" wrapText="1"/>
    </xf>
    <xf numFmtId="0" fontId="35" fillId="16" borderId="50" xfId="7" applyFont="1" applyFill="1" applyBorder="1" applyAlignment="1">
      <alignment horizontal="center" vertical="center" wrapText="1"/>
    </xf>
    <xf numFmtId="0" fontId="35" fillId="16" borderId="74" xfId="7" applyFont="1" applyFill="1" applyBorder="1" applyAlignment="1">
      <alignment horizontal="center" vertical="center" wrapText="1"/>
    </xf>
    <xf numFmtId="0" fontId="35" fillId="16" borderId="46" xfId="7" applyFont="1" applyFill="1" applyBorder="1" applyAlignment="1">
      <alignment horizontal="center" vertical="center" wrapText="1"/>
    </xf>
    <xf numFmtId="0" fontId="10" fillId="0" borderId="66" xfId="7" applyFont="1" applyBorder="1" applyAlignment="1">
      <alignment horizontal="center" vertical="center"/>
    </xf>
    <xf numFmtId="0" fontId="10" fillId="0" borderId="77" xfId="7" applyFont="1" applyBorder="1" applyAlignment="1">
      <alignment horizontal="center" vertical="center"/>
    </xf>
    <xf numFmtId="0" fontId="10" fillId="0" borderId="67" xfId="7" applyFont="1" applyBorder="1" applyAlignment="1">
      <alignment horizontal="center" vertical="center"/>
    </xf>
    <xf numFmtId="164" fontId="39" fillId="0" borderId="66" xfId="1" applyNumberFormat="1" applyFont="1" applyBorder="1" applyAlignment="1">
      <alignment horizontal="center" vertical="center"/>
    </xf>
    <xf numFmtId="164" fontId="39" fillId="0" borderId="77" xfId="1" applyNumberFormat="1" applyFont="1" applyBorder="1" applyAlignment="1">
      <alignment horizontal="center" vertical="center"/>
    </xf>
    <xf numFmtId="164" fontId="39" fillId="0" borderId="67" xfId="1" applyNumberFormat="1" applyFont="1" applyBorder="1" applyAlignment="1">
      <alignment horizontal="center" vertical="center"/>
    </xf>
    <xf numFmtId="0" fontId="10" fillId="0" borderId="68" xfId="7" applyFont="1" applyBorder="1" applyAlignment="1">
      <alignment horizontal="center" vertical="center"/>
    </xf>
    <xf numFmtId="0" fontId="10" fillId="0" borderId="15" xfId="7" applyFont="1" applyBorder="1" applyAlignment="1">
      <alignment horizontal="center" vertical="center"/>
    </xf>
    <xf numFmtId="0" fontId="10" fillId="0" borderId="69" xfId="7" applyFont="1" applyBorder="1" applyAlignment="1">
      <alignment horizontal="center" vertical="center"/>
    </xf>
    <xf numFmtId="164" fontId="39" fillId="0" borderId="68" xfId="1" applyNumberFormat="1" applyFont="1" applyBorder="1" applyAlignment="1">
      <alignment horizontal="center" vertical="center"/>
    </xf>
    <xf numFmtId="164" fontId="39" fillId="0" borderId="15" xfId="1" applyNumberFormat="1" applyFont="1" applyBorder="1" applyAlignment="1">
      <alignment horizontal="center" vertical="center"/>
    </xf>
    <xf numFmtId="164" fontId="39" fillId="0" borderId="69" xfId="1" applyNumberFormat="1" applyFont="1" applyBorder="1" applyAlignment="1">
      <alignment horizontal="center" vertical="center"/>
    </xf>
    <xf numFmtId="0" fontId="10" fillId="0" borderId="64" xfId="7" applyFont="1" applyBorder="1" applyAlignment="1">
      <alignment horizontal="center" vertical="center"/>
    </xf>
    <xf numFmtId="0" fontId="10" fillId="0" borderId="76" xfId="7" applyFont="1" applyBorder="1" applyAlignment="1">
      <alignment horizontal="center" vertical="center"/>
    </xf>
    <xf numFmtId="0" fontId="10" fillId="0" borderId="65" xfId="7" applyFont="1" applyBorder="1" applyAlignment="1">
      <alignment horizontal="center" vertical="center"/>
    </xf>
    <xf numFmtId="164" fontId="39" fillId="0" borderId="64" xfId="1" applyNumberFormat="1" applyFont="1" applyBorder="1" applyAlignment="1">
      <alignment horizontal="center" vertical="center"/>
    </xf>
    <xf numFmtId="164" fontId="39" fillId="0" borderId="76" xfId="1" applyNumberFormat="1" applyFont="1" applyBorder="1" applyAlignment="1">
      <alignment horizontal="center" vertical="center"/>
    </xf>
    <xf numFmtId="164" fontId="39" fillId="0" borderId="65" xfId="1" applyNumberFormat="1" applyFont="1" applyBorder="1" applyAlignment="1">
      <alignment horizontal="center" vertical="center"/>
    </xf>
    <xf numFmtId="9" fontId="35" fillId="18" borderId="47" xfId="3" applyFont="1" applyFill="1" applyBorder="1" applyAlignment="1">
      <alignment horizontal="center" vertical="center"/>
    </xf>
    <xf numFmtId="9" fontId="35" fillId="18" borderId="73" xfId="3" applyFont="1" applyFill="1" applyBorder="1" applyAlignment="1">
      <alignment horizontal="center" vertical="center"/>
    </xf>
    <xf numFmtId="9" fontId="35" fillId="18" borderId="44" xfId="3" applyFont="1" applyFill="1" applyBorder="1" applyAlignment="1">
      <alignment horizontal="center" vertical="center"/>
    </xf>
    <xf numFmtId="9" fontId="35" fillId="18" borderId="50" xfId="3" applyFont="1" applyFill="1" applyBorder="1" applyAlignment="1">
      <alignment horizontal="center" vertical="center"/>
    </xf>
    <xf numFmtId="9" fontId="35" fillId="18" borderId="74" xfId="3" applyFont="1" applyFill="1" applyBorder="1" applyAlignment="1">
      <alignment horizontal="center" vertical="center"/>
    </xf>
    <xf numFmtId="9" fontId="35" fillId="18" borderId="46" xfId="3" applyFont="1" applyFill="1" applyBorder="1" applyAlignment="1">
      <alignment horizontal="center" vertical="center"/>
    </xf>
    <xf numFmtId="167" fontId="35" fillId="14" borderId="68" xfId="3" applyNumberFormat="1" applyFont="1" applyFill="1" applyBorder="1" applyAlignment="1">
      <alignment horizontal="center" vertical="top" wrapText="1"/>
    </xf>
    <xf numFmtId="167" fontId="35" fillId="14" borderId="69" xfId="3" applyNumberFormat="1" applyFont="1" applyFill="1" applyBorder="1" applyAlignment="1">
      <alignment horizontal="center" vertical="top" wrapText="1"/>
    </xf>
    <xf numFmtId="167" fontId="35" fillId="14" borderId="62" xfId="3" applyNumberFormat="1" applyFont="1" applyFill="1" applyBorder="1" applyAlignment="1">
      <alignment horizontal="center" vertical="top"/>
    </xf>
    <xf numFmtId="167" fontId="35" fillId="14" borderId="63" xfId="3" applyNumberFormat="1" applyFont="1" applyFill="1" applyBorder="1" applyAlignment="1">
      <alignment horizontal="center" vertical="top"/>
    </xf>
    <xf numFmtId="167" fontId="35" fillId="14" borderId="64" xfId="3" applyNumberFormat="1" applyFont="1" applyFill="1" applyBorder="1" applyAlignment="1">
      <alignment horizontal="center" vertical="top"/>
    </xf>
    <xf numFmtId="167" fontId="35" fillId="14" borderId="76" xfId="3" applyNumberFormat="1" applyFont="1" applyFill="1" applyBorder="1" applyAlignment="1">
      <alignment horizontal="center" vertical="top"/>
    </xf>
    <xf numFmtId="167" fontId="35" fillId="14" borderId="65" xfId="3" applyNumberFormat="1" applyFont="1" applyFill="1" applyBorder="1" applyAlignment="1">
      <alignment horizontal="center" vertical="top"/>
    </xf>
    <xf numFmtId="0" fontId="34" fillId="16" borderId="47" xfId="7" applyFont="1" applyFill="1" applyBorder="1" applyAlignment="1">
      <alignment horizontal="center" vertical="center"/>
    </xf>
    <xf numFmtId="0" fontId="34" fillId="16" borderId="73" xfId="7" applyFont="1" applyFill="1" applyBorder="1" applyAlignment="1">
      <alignment horizontal="center" vertical="center"/>
    </xf>
    <xf numFmtId="0" fontId="34" fillId="16" borderId="44" xfId="7" applyFont="1" applyFill="1" applyBorder="1" applyAlignment="1">
      <alignment horizontal="center" vertical="center"/>
    </xf>
    <xf numFmtId="0" fontId="34" fillId="16" borderId="48" xfId="7" applyFont="1" applyFill="1" applyBorder="1" applyAlignment="1">
      <alignment horizontal="center" vertical="center"/>
    </xf>
    <xf numFmtId="0" fontId="34" fillId="16" borderId="0" xfId="7" applyFont="1" applyFill="1" applyAlignment="1">
      <alignment horizontal="center" vertical="center"/>
    </xf>
    <xf numFmtId="0" fontId="34" fillId="16" borderId="45" xfId="7" applyFont="1" applyFill="1" applyBorder="1" applyAlignment="1">
      <alignment horizontal="center" vertical="center"/>
    </xf>
    <xf numFmtId="0" fontId="34" fillId="16" borderId="50" xfId="7" applyFont="1" applyFill="1" applyBorder="1" applyAlignment="1">
      <alignment horizontal="center" vertical="center"/>
    </xf>
    <xf numFmtId="0" fontId="34" fillId="16" borderId="74" xfId="7" applyFont="1" applyFill="1" applyBorder="1" applyAlignment="1">
      <alignment horizontal="center" vertical="center"/>
    </xf>
    <xf numFmtId="0" fontId="34" fillId="16" borderId="46" xfId="7" applyFont="1" applyFill="1" applyBorder="1" applyAlignment="1">
      <alignment horizontal="center" vertical="center"/>
    </xf>
    <xf numFmtId="0" fontId="34" fillId="16" borderId="47" xfId="7" applyFont="1" applyFill="1" applyBorder="1" applyAlignment="1">
      <alignment horizontal="center" vertical="center" wrapText="1"/>
    </xf>
    <xf numFmtId="0" fontId="34" fillId="16" borderId="73" xfId="7" applyFont="1" applyFill="1" applyBorder="1" applyAlignment="1">
      <alignment horizontal="center" vertical="center" wrapText="1"/>
    </xf>
    <xf numFmtId="0" fontId="34" fillId="16" borderId="44" xfId="7" applyFont="1" applyFill="1" applyBorder="1" applyAlignment="1">
      <alignment horizontal="center" vertical="center" wrapText="1"/>
    </xf>
    <xf numFmtId="0" fontId="34" fillId="16" borderId="48" xfId="7" applyFont="1" applyFill="1" applyBorder="1" applyAlignment="1">
      <alignment horizontal="center" vertical="center" wrapText="1"/>
    </xf>
    <xf numFmtId="0" fontId="34" fillId="16" borderId="0" xfId="7" applyFont="1" applyFill="1" applyAlignment="1">
      <alignment horizontal="center" vertical="center" wrapText="1"/>
    </xf>
    <xf numFmtId="0" fontId="34" fillId="16" borderId="45" xfId="7" applyFont="1" applyFill="1" applyBorder="1" applyAlignment="1">
      <alignment horizontal="center" vertical="center" wrapText="1"/>
    </xf>
    <xf numFmtId="0" fontId="34" fillId="16" borderId="50" xfId="7" applyFont="1" applyFill="1" applyBorder="1" applyAlignment="1">
      <alignment horizontal="center" vertical="center" wrapText="1"/>
    </xf>
    <xf numFmtId="0" fontId="34" fillId="16" borderId="74" xfId="7" applyFont="1" applyFill="1" applyBorder="1" applyAlignment="1">
      <alignment horizontal="center" vertical="center" wrapText="1"/>
    </xf>
    <xf numFmtId="0" fontId="34" fillId="16" borderId="46" xfId="7" applyFont="1" applyFill="1" applyBorder="1" applyAlignment="1">
      <alignment horizontal="center" vertical="center" wrapText="1"/>
    </xf>
    <xf numFmtId="164" fontId="33" fillId="14" borderId="66" xfId="1" applyNumberFormat="1" applyFont="1" applyFill="1" applyBorder="1" applyAlignment="1">
      <alignment horizontal="center" vertical="center"/>
    </xf>
    <xf numFmtId="164" fontId="33" fillId="14" borderId="77" xfId="1" applyNumberFormat="1" applyFont="1" applyFill="1" applyBorder="1" applyAlignment="1">
      <alignment horizontal="center" vertical="center"/>
    </xf>
    <xf numFmtId="164" fontId="33" fillId="14" borderId="67" xfId="1" applyNumberFormat="1" applyFont="1" applyFill="1" applyBorder="1" applyAlignment="1">
      <alignment horizontal="center" vertical="center"/>
    </xf>
    <xf numFmtId="164" fontId="33" fillId="14" borderId="68" xfId="1" applyNumberFormat="1" applyFont="1" applyFill="1" applyBorder="1" applyAlignment="1">
      <alignment horizontal="center" vertical="center"/>
    </xf>
    <xf numFmtId="164" fontId="33" fillId="14" borderId="15" xfId="1" applyNumberFormat="1" applyFont="1" applyFill="1" applyBorder="1" applyAlignment="1">
      <alignment horizontal="center" vertical="center"/>
    </xf>
    <xf numFmtId="164" fontId="33" fillId="14" borderId="69" xfId="1" applyNumberFormat="1" applyFont="1" applyFill="1" applyBorder="1" applyAlignment="1">
      <alignment horizontal="center" vertical="center"/>
    </xf>
    <xf numFmtId="164" fontId="33" fillId="14" borderId="64" xfId="1" applyNumberFormat="1" applyFont="1" applyFill="1" applyBorder="1" applyAlignment="1">
      <alignment horizontal="center" vertical="center"/>
    </xf>
    <xf numFmtId="164" fontId="33" fillId="14" borderId="76" xfId="1" applyNumberFormat="1" applyFont="1" applyFill="1" applyBorder="1" applyAlignment="1">
      <alignment horizontal="center" vertical="center"/>
    </xf>
    <xf numFmtId="164" fontId="33" fillId="14" borderId="65" xfId="1" applyNumberFormat="1" applyFont="1" applyFill="1" applyBorder="1" applyAlignment="1">
      <alignment horizontal="center" vertical="center"/>
    </xf>
    <xf numFmtId="167" fontId="35" fillId="14" borderId="66" xfId="1" applyNumberFormat="1" applyFont="1" applyFill="1" applyBorder="1" applyAlignment="1">
      <alignment horizontal="center" vertical="center"/>
    </xf>
    <xf numFmtId="167" fontId="35" fillId="14" borderId="67" xfId="1" applyNumberFormat="1" applyFont="1" applyFill="1" applyBorder="1" applyAlignment="1">
      <alignment horizontal="center" vertical="center"/>
    </xf>
    <xf numFmtId="167" fontId="35" fillId="14" borderId="68" xfId="3" applyNumberFormat="1" applyFont="1" applyFill="1" applyBorder="1" applyAlignment="1">
      <alignment horizontal="center" vertical="center"/>
    </xf>
    <xf numFmtId="167" fontId="35" fillId="14" borderId="69" xfId="3" applyNumberFormat="1" applyFont="1" applyFill="1" applyBorder="1" applyAlignment="1">
      <alignment horizontal="center" vertical="center"/>
    </xf>
    <xf numFmtId="167" fontId="35" fillId="14" borderId="62" xfId="3" applyNumberFormat="1" applyFont="1" applyFill="1" applyBorder="1" applyAlignment="1">
      <alignment horizontal="center" vertical="center"/>
    </xf>
    <xf numFmtId="167" fontId="35" fillId="14" borderId="63" xfId="3" applyNumberFormat="1" applyFont="1" applyFill="1" applyBorder="1" applyAlignment="1">
      <alignment horizontal="center" vertical="center"/>
    </xf>
    <xf numFmtId="167" fontId="35" fillId="14" borderId="64" xfId="3" applyNumberFormat="1" applyFont="1" applyFill="1" applyBorder="1" applyAlignment="1">
      <alignment horizontal="center" vertical="center"/>
    </xf>
    <xf numFmtId="167" fontId="35" fillId="14" borderId="65" xfId="3" applyNumberFormat="1" applyFont="1" applyFill="1" applyBorder="1" applyAlignment="1">
      <alignment horizontal="center" vertical="center"/>
    </xf>
    <xf numFmtId="0" fontId="16" fillId="0" borderId="7" xfId="0" applyFont="1" applyBorder="1" applyAlignment="1">
      <alignment horizontal="right" vertical="top" textRotation="180" wrapText="1"/>
    </xf>
    <xf numFmtId="0" fontId="17" fillId="0" borderId="5" xfId="0" applyFont="1" applyBorder="1" applyAlignment="1">
      <alignment horizontal="right" vertical="top" wrapText="1"/>
    </xf>
    <xf numFmtId="0" fontId="17" fillId="0" borderId="12" xfId="0" applyFont="1" applyBorder="1" applyAlignment="1">
      <alignment horizontal="right" vertical="top" wrapText="1"/>
    </xf>
    <xf numFmtId="0" fontId="11" fillId="0" borderId="32" xfId="0" applyFont="1" applyBorder="1" applyAlignment="1">
      <alignment horizontal="center" vertical="top"/>
    </xf>
    <xf numFmtId="0" fontId="0" fillId="0" borderId="33" xfId="0" applyBorder="1" applyAlignment="1">
      <alignment vertical="top"/>
    </xf>
    <xf numFmtId="0" fontId="11" fillId="0" borderId="0" xfId="0" applyFont="1" applyAlignment="1">
      <alignment vertical="top" wrapText="1"/>
    </xf>
    <xf numFmtId="0" fontId="0" fillId="0" borderId="0" xfId="0" applyAlignment="1">
      <alignment vertical="top" wrapText="1"/>
    </xf>
    <xf numFmtId="0" fontId="11" fillId="0" borderId="29" xfId="0" applyFont="1" applyBorder="1" applyAlignment="1">
      <alignment horizontal="center" vertical="top" wrapText="1"/>
    </xf>
    <xf numFmtId="0" fontId="0" fillId="0" borderId="29" xfId="0" applyBorder="1" applyAlignment="1">
      <alignment horizontal="center" vertical="top" wrapText="1"/>
    </xf>
    <xf numFmtId="3" fontId="11" fillId="0" borderId="0" xfId="0" applyNumberFormat="1" applyFont="1" applyAlignment="1">
      <alignment horizontal="center" vertical="top" wrapText="1"/>
    </xf>
    <xf numFmtId="0" fontId="0" fillId="0" borderId="0" xfId="0" applyAlignment="1">
      <alignment horizontal="center" vertical="top" wrapText="1"/>
    </xf>
    <xf numFmtId="164" fontId="11" fillId="0" borderId="0" xfId="0" applyNumberFormat="1" applyFont="1" applyAlignment="1">
      <alignment horizontal="center" vertical="top" wrapText="1"/>
    </xf>
    <xf numFmtId="0" fontId="11" fillId="0" borderId="0" xfId="0" applyFont="1" applyAlignment="1">
      <alignment horizontal="center" vertical="top" wrapText="1"/>
    </xf>
    <xf numFmtId="0" fontId="2" fillId="0" borderId="29" xfId="0" applyFont="1" applyBorder="1" applyAlignment="1">
      <alignment horizontal="center" vertical="top" wrapText="1"/>
    </xf>
    <xf numFmtId="0" fontId="0" fillId="0" borderId="30" xfId="0" applyBorder="1" applyAlignment="1">
      <alignment horizontal="center" vertical="top" wrapText="1"/>
    </xf>
    <xf numFmtId="0" fontId="2" fillId="0" borderId="0" xfId="0" applyFont="1" applyAlignment="1">
      <alignment horizontal="center" vertical="top" wrapText="1"/>
    </xf>
    <xf numFmtId="0" fontId="0" fillId="0" borderId="31" xfId="0" applyBorder="1" applyAlignment="1">
      <alignment horizontal="center" vertical="top" wrapText="1"/>
    </xf>
    <xf numFmtId="0" fontId="0" fillId="0" borderId="31" xfId="0" applyBorder="1" applyAlignment="1">
      <alignment vertical="top" wrapText="1"/>
    </xf>
    <xf numFmtId="0" fontId="2" fillId="0" borderId="35" xfId="0" applyFont="1" applyBorder="1" applyAlignment="1">
      <alignment horizontal="center" vertical="top" wrapText="1"/>
    </xf>
    <xf numFmtId="0" fontId="0" fillId="0" borderId="35" xfId="0" applyBorder="1" applyAlignment="1">
      <alignment horizontal="center" vertical="top" wrapText="1"/>
    </xf>
    <xf numFmtId="0" fontId="0" fillId="0" borderId="36" xfId="0" applyBorder="1" applyAlignment="1">
      <alignment horizontal="center" vertical="top" wrapText="1"/>
    </xf>
    <xf numFmtId="0" fontId="11" fillId="0" borderId="35" xfId="0" applyFont="1" applyBorder="1" applyAlignment="1">
      <alignment horizontal="center" vertical="top" wrapText="1"/>
    </xf>
    <xf numFmtId="0" fontId="4" fillId="0" borderId="0" xfId="0" applyFont="1" applyAlignment="1">
      <alignment horizontal="center" vertical="top"/>
    </xf>
    <xf numFmtId="0" fontId="4" fillId="0" borderId="4" xfId="0" applyFont="1" applyBorder="1" applyAlignment="1">
      <alignment horizontal="center" vertical="top"/>
    </xf>
    <xf numFmtId="9" fontId="4" fillId="0" borderId="3" xfId="0" applyNumberFormat="1" applyFont="1" applyBorder="1" applyAlignment="1">
      <alignment horizontal="center" vertical="top"/>
    </xf>
    <xf numFmtId="0" fontId="4" fillId="0" borderId="10" xfId="0" applyFont="1" applyBorder="1" applyAlignment="1">
      <alignment horizontal="center" vertical="top"/>
    </xf>
    <xf numFmtId="0" fontId="4" fillId="3" borderId="14" xfId="0" applyFont="1" applyFill="1" applyBorder="1" applyAlignment="1">
      <alignment horizontal="center" vertical="top" wrapText="1"/>
    </xf>
    <xf numFmtId="0" fontId="4" fillId="3" borderId="6" xfId="0" applyFont="1" applyFill="1" applyBorder="1" applyAlignment="1">
      <alignment horizontal="center" vertical="top"/>
    </xf>
    <xf numFmtId="0" fontId="4" fillId="3" borderId="1" xfId="0" applyFont="1" applyFill="1" applyBorder="1" applyAlignment="1">
      <alignment horizontal="left" vertical="top"/>
    </xf>
    <xf numFmtId="0" fontId="4" fillId="3" borderId="2" xfId="0" applyFont="1" applyFill="1" applyBorder="1" applyAlignment="1">
      <alignment horizontal="left" vertical="top"/>
    </xf>
    <xf numFmtId="0" fontId="4" fillId="0" borderId="3" xfId="0" applyFont="1" applyBorder="1" applyAlignment="1">
      <alignment horizontal="center" vertical="top"/>
    </xf>
    <xf numFmtId="0" fontId="0" fillId="0" borderId="0" xfId="0" applyNumberFormat="1"/>
    <xf numFmtId="0" fontId="40" fillId="14" borderId="0" xfId="0" applyFont="1" applyFill="1"/>
    <xf numFmtId="164" fontId="0" fillId="0" borderId="0" xfId="0" applyNumberFormat="1"/>
    <xf numFmtId="164" fontId="2" fillId="0" borderId="0" xfId="0" applyNumberFormat="1" applyFont="1"/>
    <xf numFmtId="0" fontId="54" fillId="0" borderId="0" xfId="7" applyFont="1" applyBorder="1" applyAlignment="1">
      <alignment horizontal="center" vertical="center"/>
    </xf>
    <xf numFmtId="0" fontId="54" fillId="0" borderId="69" xfId="7" applyFont="1" applyBorder="1" applyAlignment="1">
      <alignment horizontal="center" vertical="center"/>
    </xf>
    <xf numFmtId="0" fontId="54" fillId="0" borderId="82" xfId="7" applyFont="1" applyBorder="1" applyAlignment="1">
      <alignment horizontal="center" vertical="center"/>
    </xf>
    <xf numFmtId="0" fontId="54" fillId="0" borderId="46" xfId="7" applyFont="1" applyBorder="1" applyAlignment="1">
      <alignment horizontal="center" vertical="center"/>
    </xf>
    <xf numFmtId="0" fontId="1" fillId="14" borderId="44" xfId="7" applyFont="1" applyFill="1" applyBorder="1" applyAlignment="1">
      <alignment horizontal="center" vertical="center"/>
    </xf>
    <xf numFmtId="0" fontId="1" fillId="14" borderId="47" xfId="7" applyFont="1" applyFill="1" applyBorder="1" applyAlignment="1">
      <alignment horizontal="center" vertical="center"/>
    </xf>
    <xf numFmtId="0" fontId="1" fillId="14" borderId="47" xfId="7" applyFont="1" applyFill="1" applyBorder="1" applyAlignment="1">
      <alignment horizontal="center" vertical="center" wrapText="1"/>
    </xf>
    <xf numFmtId="0" fontId="1" fillId="14" borderId="0" xfId="0" applyFont="1" applyFill="1" applyAlignment="1">
      <alignment horizontal="center"/>
    </xf>
    <xf numFmtId="0" fontId="1" fillId="14" borderId="0" xfId="0" applyFont="1" applyFill="1" applyBorder="1" applyAlignment="1">
      <alignment horizontal="center"/>
    </xf>
    <xf numFmtId="0" fontId="54" fillId="0" borderId="66" xfId="7" applyFont="1" applyBorder="1" applyAlignment="1">
      <alignment horizontal="center" vertical="center"/>
    </xf>
    <xf numFmtId="164" fontId="54" fillId="0" borderId="48" xfId="7" applyNumberFormat="1" applyFont="1" applyBorder="1" applyAlignment="1">
      <alignment horizontal="center" vertical="center"/>
    </xf>
    <xf numFmtId="164" fontId="54" fillId="0" borderId="66" xfId="1" applyNumberFormat="1" applyFont="1" applyBorder="1" applyAlignment="1">
      <alignment horizontal="center" vertical="center"/>
    </xf>
    <xf numFmtId="0" fontId="54" fillId="0" borderId="0" xfId="0" applyFont="1" applyAlignment="1">
      <alignment horizontal="center"/>
    </xf>
    <xf numFmtId="164" fontId="54" fillId="0" borderId="0" xfId="0" applyNumberFormat="1" applyFont="1" applyAlignment="1">
      <alignment horizontal="center"/>
    </xf>
    <xf numFmtId="0" fontId="54" fillId="0" borderId="68" xfId="7" applyFont="1" applyBorder="1" applyAlignment="1">
      <alignment horizontal="center" vertical="center"/>
    </xf>
    <xf numFmtId="164" fontId="54" fillId="0" borderId="62" xfId="7" applyNumberFormat="1" applyFont="1" applyBorder="1" applyAlignment="1">
      <alignment horizontal="center" vertical="center"/>
    </xf>
    <xf numFmtId="164" fontId="54" fillId="0" borderId="68" xfId="1" applyNumberFormat="1" applyFont="1" applyBorder="1" applyAlignment="1">
      <alignment horizontal="center" vertical="center"/>
    </xf>
    <xf numFmtId="0" fontId="54" fillId="0" borderId="64" xfId="7" applyFont="1" applyBorder="1" applyAlignment="1">
      <alignment horizontal="center" vertical="center"/>
    </xf>
    <xf numFmtId="164" fontId="54" fillId="0" borderId="64" xfId="7" applyNumberFormat="1" applyFont="1" applyBorder="1" applyAlignment="1">
      <alignment horizontal="center" vertical="center"/>
    </xf>
    <xf numFmtId="164" fontId="54" fillId="0" borderId="64" xfId="1" applyNumberFormat="1" applyFont="1" applyBorder="1" applyAlignment="1">
      <alignment horizontal="center" vertical="center"/>
    </xf>
    <xf numFmtId="0" fontId="54" fillId="0" borderId="58" xfId="7" applyFont="1" applyBorder="1" applyAlignment="1">
      <alignment horizontal="center" vertical="center"/>
    </xf>
    <xf numFmtId="164" fontId="54" fillId="0" borderId="58" xfId="7" applyNumberFormat="1" applyFont="1" applyBorder="1" applyAlignment="1">
      <alignment horizontal="center" vertical="center"/>
    </xf>
    <xf numFmtId="0" fontId="54" fillId="0" borderId="77" xfId="7" applyFont="1" applyBorder="1" applyAlignment="1">
      <alignment horizontal="center" vertical="top"/>
    </xf>
    <xf numFmtId="0" fontId="54" fillId="0" borderId="67" xfId="7" applyFont="1" applyBorder="1" applyAlignment="1">
      <alignment horizontal="center" vertical="top"/>
    </xf>
    <xf numFmtId="164" fontId="54" fillId="14" borderId="66" xfId="1" applyNumberFormat="1" applyFont="1" applyFill="1" applyBorder="1" applyAlignment="1">
      <alignment horizontal="center" vertical="center"/>
    </xf>
    <xf numFmtId="0" fontId="54" fillId="0" borderId="83" xfId="7" applyFont="1" applyBorder="1" applyAlignment="1">
      <alignment horizontal="center" vertical="top"/>
    </xf>
    <xf numFmtId="0" fontId="54" fillId="0" borderId="72" xfId="7" applyFont="1" applyBorder="1" applyAlignment="1">
      <alignment horizontal="center" vertical="top"/>
    </xf>
    <xf numFmtId="164" fontId="54" fillId="14" borderId="55" xfId="7" applyNumberFormat="1" applyFont="1" applyFill="1" applyBorder="1" applyAlignment="1">
      <alignment horizontal="center" vertical="center"/>
    </xf>
    <xf numFmtId="164" fontId="54" fillId="14" borderId="71" xfId="7" applyNumberFormat="1" applyFont="1" applyFill="1" applyBorder="1" applyAlignment="1">
      <alignment horizontal="center" vertical="center"/>
    </xf>
    <xf numFmtId="9" fontId="54" fillId="0" borderId="84" xfId="3" applyFont="1" applyFill="1" applyBorder="1" applyAlignment="1">
      <alignment horizontal="center" vertical="top"/>
    </xf>
    <xf numFmtId="9" fontId="54" fillId="0" borderId="57" xfId="3" applyFont="1" applyFill="1" applyBorder="1" applyAlignment="1">
      <alignment horizontal="center" vertical="top"/>
    </xf>
    <xf numFmtId="165" fontId="54" fillId="14" borderId="50" xfId="3" applyNumberFormat="1" applyFont="1" applyFill="1" applyBorder="1" applyAlignment="1">
      <alignment horizontal="center" vertical="center"/>
    </xf>
    <xf numFmtId="10" fontId="54" fillId="14" borderId="50" xfId="3" applyNumberFormat="1" applyFont="1" applyFill="1" applyBorder="1" applyAlignment="1">
      <alignment horizontal="center" vertical="center"/>
    </xf>
    <xf numFmtId="10" fontId="54" fillId="14" borderId="56" xfId="3" applyNumberFormat="1" applyFont="1" applyFill="1" applyBorder="1" applyAlignment="1">
      <alignment horizontal="center" vertical="center"/>
    </xf>
    <xf numFmtId="0" fontId="54" fillId="0" borderId="0" xfId="0" applyFont="1" applyBorder="1" applyAlignment="1">
      <alignment horizontal="center"/>
    </xf>
    <xf numFmtId="164" fontId="54" fillId="14" borderId="66" xfId="7" applyNumberFormat="1" applyFont="1" applyFill="1" applyBorder="1" applyAlignment="1">
      <alignment horizontal="center" vertical="center"/>
    </xf>
    <xf numFmtId="164" fontId="54" fillId="0" borderId="48" xfId="1" applyNumberFormat="1" applyFont="1" applyBorder="1" applyAlignment="1">
      <alignment horizontal="center" vertical="center"/>
    </xf>
    <xf numFmtId="166" fontId="54" fillId="0" borderId="0" xfId="0" applyNumberFormat="1" applyFont="1" applyBorder="1" applyAlignment="1">
      <alignment horizontal="center"/>
    </xf>
    <xf numFmtId="164" fontId="54" fillId="0" borderId="0" xfId="0" applyNumberFormat="1" applyFont="1" applyBorder="1" applyAlignment="1">
      <alignment horizontal="center"/>
    </xf>
    <xf numFmtId="164" fontId="54" fillId="14" borderId="68" xfId="7" applyNumberFormat="1" applyFont="1" applyFill="1" applyBorder="1" applyAlignment="1">
      <alignment horizontal="center" vertical="center"/>
    </xf>
    <xf numFmtId="173" fontId="54" fillId="0" borderId="0" xfId="0" applyNumberFormat="1" applyFont="1" applyBorder="1" applyAlignment="1">
      <alignment horizontal="center"/>
    </xf>
    <xf numFmtId="164" fontId="54" fillId="14" borderId="64" xfId="7" applyNumberFormat="1" applyFont="1" applyFill="1" applyBorder="1" applyAlignment="1">
      <alignment horizontal="center" vertical="center"/>
    </xf>
    <xf numFmtId="9" fontId="54" fillId="0" borderId="85" xfId="3" applyFont="1" applyFill="1" applyBorder="1" applyAlignment="1">
      <alignment horizontal="center" vertical="top"/>
    </xf>
    <xf numFmtId="10" fontId="54" fillId="0" borderId="0" xfId="0" applyNumberFormat="1" applyFont="1" applyBorder="1" applyAlignment="1">
      <alignment horizontal="center"/>
    </xf>
    <xf numFmtId="172" fontId="54" fillId="0" borderId="0" xfId="0" applyNumberFormat="1" applyFont="1" applyBorder="1" applyAlignment="1">
      <alignment horizontal="center"/>
    </xf>
    <xf numFmtId="0" fontId="0" fillId="0" borderId="0" xfId="0" pivotButton="1"/>
    <xf numFmtId="0" fontId="0" fillId="0" borderId="0" xfId="0" applyAlignment="1">
      <alignment horizontal="left"/>
    </xf>
    <xf numFmtId="0" fontId="55" fillId="21" borderId="0" xfId="0" applyFont="1" applyFill="1"/>
    <xf numFmtId="10" fontId="0" fillId="0" borderId="0" xfId="0" applyNumberFormat="1"/>
    <xf numFmtId="0" fontId="56" fillId="22" borderId="0" xfId="0" applyFont="1" applyFill="1" applyAlignment="1">
      <alignment horizontal="center"/>
    </xf>
    <xf numFmtId="9" fontId="0" fillId="0" borderId="0" xfId="0" applyNumberFormat="1"/>
    <xf numFmtId="0" fontId="58" fillId="23" borderId="0" xfId="0" applyFont="1" applyFill="1" applyAlignment="1">
      <alignment horizontal="center"/>
    </xf>
    <xf numFmtId="164" fontId="59" fillId="23" borderId="0" xfId="0" applyNumberFormat="1" applyFont="1" applyFill="1" applyAlignment="1">
      <alignment horizontal="center"/>
    </xf>
    <xf numFmtId="164" fontId="58" fillId="23" borderId="0" xfId="1" applyNumberFormat="1" applyFont="1" applyFill="1" applyAlignment="1">
      <alignment horizontal="center"/>
    </xf>
    <xf numFmtId="164" fontId="57" fillId="23" borderId="0" xfId="1" applyNumberFormat="1" applyFont="1" applyFill="1" applyAlignment="1">
      <alignment horizontal="center"/>
    </xf>
    <xf numFmtId="164" fontId="57" fillId="23" borderId="0" xfId="0" applyNumberFormat="1" applyFont="1" applyFill="1" applyAlignment="1">
      <alignment horizontal="center"/>
    </xf>
    <xf numFmtId="164" fontId="58" fillId="23" borderId="0" xfId="0" applyNumberFormat="1" applyFont="1" applyFill="1" applyAlignment="1">
      <alignment horizontal="center"/>
    </xf>
  </cellXfs>
  <cellStyles count="10">
    <cellStyle name="Currency" xfId="1" builtinId="4"/>
    <cellStyle name="Hyperlink" xfId="4" builtinId="8"/>
    <cellStyle name="Normal" xfId="0" builtinId="0"/>
    <cellStyle name="Normal 10 2" xfId="8" xr:uid="{10550CAA-3394-4784-A93C-DF9FB17C0173}"/>
    <cellStyle name="Normal 2" xfId="5" xr:uid="{00000000-0005-0000-0000-000003000000}"/>
    <cellStyle name="Normal 2 2" xfId="7" xr:uid="{00000000-0005-0000-0000-000004000000}"/>
    <cellStyle name="Normal 3" xfId="6" xr:uid="{00000000-0005-0000-0000-000005000000}"/>
    <cellStyle name="Normal 5 2" xfId="9" xr:uid="{56C1D9CE-C763-4796-B51C-9D03B6AAD2A1}"/>
    <cellStyle name="Normal_Sheet2" xfId="2" xr:uid="{00000000-0005-0000-0000-000006000000}"/>
    <cellStyle name="Percent" xfId="3" builtinId="5"/>
  </cellStyles>
  <dxfs count="21">
    <dxf>
      <numFmt numFmtId="164" formatCode="&quot;$&quot;#,##0.00"/>
    </dxf>
    <dxf>
      <font>
        <b val="0"/>
        <i val="0"/>
        <strike val="0"/>
        <condense val="0"/>
        <extend val="0"/>
        <outline val="0"/>
        <shadow val="0"/>
        <u val="none"/>
        <vertAlign val="baseline"/>
        <sz val="10"/>
        <color auto="1"/>
        <name val="Arial"/>
        <family val="2"/>
        <scheme val="none"/>
      </font>
    </dxf>
    <dxf>
      <numFmt numFmtId="164" formatCode="&quot;$&quot;#,##0.00"/>
    </dxf>
    <dxf>
      <font>
        <b val="0"/>
        <i val="0"/>
        <strike val="0"/>
        <condense val="0"/>
        <extend val="0"/>
        <outline val="0"/>
        <shadow val="0"/>
        <u val="none"/>
        <vertAlign val="baseline"/>
        <sz val="10"/>
        <color auto="1"/>
        <name val="Arial"/>
        <family val="2"/>
        <scheme val="none"/>
      </font>
    </dxf>
    <dxf>
      <font>
        <b val="0"/>
        <strike val="0"/>
        <outline val="0"/>
        <shadow val="0"/>
        <u val="none"/>
        <vertAlign val="baseline"/>
        <sz val="11"/>
        <color auto="1"/>
        <name val="Calibri"/>
        <family val="2"/>
        <scheme val="minor"/>
      </font>
      <alignment horizont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font>
        <b val="0"/>
        <strike val="0"/>
        <outline val="0"/>
        <shadow val="0"/>
        <u val="none"/>
        <vertAlign val="baseline"/>
        <sz val="11"/>
        <color auto="1"/>
        <name val="Calibri"/>
        <family val="2"/>
        <scheme val="minor"/>
      </font>
      <alignment horizontal="center" textRotation="0" indent="0" justifyLastLine="0" shrinkToFit="0" readingOrder="0"/>
    </dxf>
    <dxf>
      <numFmt numFmtId="0" formatCode="General"/>
    </dxf>
    <dxf>
      <border outline="0">
        <left style="thick">
          <color indexed="64"/>
        </left>
      </border>
    </dxf>
  </dxfs>
  <tableStyles count="2" defaultTableStyle="TableStyleMedium2" defaultPivotStyle="PivotStyleLight16">
    <tableStyle name="Slicer Style 1" pivot="0" table="0" count="0" xr9:uid="{8FF2361F-9B96-4462-A0E2-F2ACDCA80D9F}"/>
    <tableStyle name="Slicer Style 2" pivot="0" table="0" count="0" xr9:uid="{13F4D3A6-2781-4F51-B356-D0F2F837FAF8}"/>
  </tableStyles>
  <colors>
    <mruColors>
      <color rgb="FFBD0303"/>
      <color rgb="FF7C0202"/>
      <color rgb="FF000080"/>
      <color rgb="FF001B50"/>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1.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[Mohsin_client_11_August_Proposed_File_01.xlsx]Projected Sales!PivotTable10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'Projected Sales'!$B$3</c:f>
              <c:strCache>
                <c:ptCount val="1"/>
                <c:pt idx="0">
                  <c:v>Total</c:v>
                </c:pt>
              </c:strCache>
            </c:strRef>
          </c:tx>
          <c:spPr>
            <a:solidFill>
              <a:schemeClr val="accent1"/>
            </a:solidFill>
            <a:ln>
              <a:noFill/>
            </a:ln>
            <a:effectLst/>
          </c:spPr>
          <c:invertIfNegative val="0"/>
          <c:cat>
            <c:strRef>
              <c:f>'Projected Sales'!$A$4:$A$7</c:f>
              <c:strCache>
                <c:ptCount val="3"/>
                <c:pt idx="0">
                  <c:v>2020 Premium</c:v>
                </c:pt>
                <c:pt idx="1">
                  <c:v>2021 Premium</c:v>
                </c:pt>
                <c:pt idx="2">
                  <c:v>2022 Premium</c:v>
                </c:pt>
              </c:strCache>
            </c:strRef>
          </c:cat>
          <c:val>
            <c:numRef>
              <c:f>'Projected Sales'!$B$4:$B$7</c:f>
              <c:numCache>
                <c:formatCode>General</c:formatCode>
                <c:ptCount val="3"/>
                <c:pt idx="0">
                  <c:v>1745466.36</c:v>
                </c:pt>
                <c:pt idx="1">
                  <c:v>1920012.9960000003</c:v>
                </c:pt>
                <c:pt idx="2">
                  <c:v>2112014.2956000003</c:v>
                </c:pt>
              </c:numCache>
            </c:numRef>
          </c:val>
          <c:extLst>
            <c:ext xmlns:c16="http://schemas.microsoft.com/office/drawing/2014/chart" uri="{C3380CC4-5D6E-409C-BE32-E72D297353CC}">
              <c16:uniqueId val="{00000000-3D9E-4468-B11D-94DBC560FBD3}"/>
            </c:ext>
          </c:extLst>
        </c:ser>
        <c:dLbls>
          <c:showLegendKey val="0"/>
          <c:showVal val="0"/>
          <c:showCatName val="0"/>
          <c:showSerName val="0"/>
          <c:showPercent val="0"/>
          <c:showBubbleSize val="0"/>
        </c:dLbls>
        <c:gapWidth val="182"/>
        <c:axId val="477526255"/>
        <c:axId val="476994159"/>
      </c:barChart>
      <c:catAx>
        <c:axId val="47752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94159"/>
        <c:crosses val="autoZero"/>
        <c:auto val="1"/>
        <c:lblAlgn val="ctr"/>
        <c:lblOffset val="100"/>
        <c:noMultiLvlLbl val="0"/>
      </c:catAx>
      <c:valAx>
        <c:axId val="476994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52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[Mohsin_client_11_August_Proposed_File_01.xlsx]Emoloyeer Name Renewal!PivotTable6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Employee</a:t>
            </a:r>
            <a:r>
              <a:rPr lang="en-US" sz="1200" baseline="0"/>
              <a:t> &amp; Employer Rate Renewal</a:t>
            </a:r>
            <a:endParaRPr lang="en-US" sz="1200"/>
          </a:p>
        </c:rich>
      </c:tx>
      <c:layout>
        <c:manualLayout>
          <c:xMode val="edge"/>
          <c:yMode val="edge"/>
          <c:x val="0.16029633865599202"/>
          <c:y val="4.33705080545229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8055885939687747"/>
          <c:y val="0.2047872340425532"/>
          <c:w val="0.34470574065431114"/>
          <c:h val="0.76566193853427911"/>
        </c:manualLayout>
      </c:layout>
      <c:barChart>
        <c:barDir val="bar"/>
        <c:grouping val="clustered"/>
        <c:varyColors val="0"/>
        <c:ser>
          <c:idx val="0"/>
          <c:order val="0"/>
          <c:tx>
            <c:strRef>
              <c:f>'Emoloyeer Name Renewal'!$B$3</c:f>
              <c:strCache>
                <c:ptCount val="1"/>
                <c:pt idx="0">
                  <c:v>Sum of Employeer Plan Name Renewal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'Emoloyeer Name Renewal'!$A$4:$A$8</c:f>
              <c:strCache>
                <c:ptCount val="4"/>
                <c:pt idx="0">
                  <c:v>Family</c:v>
                </c:pt>
                <c:pt idx="1">
                  <c:v>Subcriber Child(ren)</c:v>
                </c:pt>
                <c:pt idx="2">
                  <c:v>Subcriber Only </c:v>
                </c:pt>
                <c:pt idx="3">
                  <c:v>Subcriber&amp; Spouse</c:v>
                </c:pt>
              </c:strCache>
            </c:strRef>
          </c:cat>
          <c:val>
            <c:numRef>
              <c:f>'Emoloyeer Name Renewal'!$B$4:$B$8</c:f>
              <c:numCache>
                <c:formatCode>General</c:formatCode>
                <c:ptCount val="4"/>
                <c:pt idx="0">
                  <c:v>4358.6171525</c:v>
                </c:pt>
                <c:pt idx="1">
                  <c:v>2804.9707749999998</c:v>
                </c:pt>
                <c:pt idx="2">
                  <c:v>1613.8367719999999</c:v>
                </c:pt>
                <c:pt idx="3">
                  <c:v>3008.8437925000003</c:v>
                </c:pt>
              </c:numCache>
            </c:numRef>
          </c:val>
          <c:extLst>
            <c:ext xmlns:c16="http://schemas.microsoft.com/office/drawing/2014/chart" uri="{C3380CC4-5D6E-409C-BE32-E72D297353CC}">
              <c16:uniqueId val="{00000000-CAD4-4847-9C92-686F1FE6837D}"/>
            </c:ext>
          </c:extLst>
        </c:ser>
        <c:ser>
          <c:idx val="1"/>
          <c:order val="1"/>
          <c:tx>
            <c:strRef>
              <c:f>'Emoloyeer Name Renewal'!$C$3</c:f>
              <c:strCache>
                <c:ptCount val="1"/>
                <c:pt idx="0">
                  <c:v>Sum of Employee Plan Name Renewal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'Emoloyeer Name Renewal'!$A$4:$A$8</c:f>
              <c:strCache>
                <c:ptCount val="4"/>
                <c:pt idx="0">
                  <c:v>Family</c:v>
                </c:pt>
                <c:pt idx="1">
                  <c:v>Subcriber Child(ren)</c:v>
                </c:pt>
                <c:pt idx="2">
                  <c:v>Subcriber Only </c:v>
                </c:pt>
                <c:pt idx="3">
                  <c:v>Subcriber&amp; Spouse</c:v>
                </c:pt>
              </c:strCache>
            </c:strRef>
          </c:cat>
          <c:val>
            <c:numRef>
              <c:f>'Emoloyeer Name Renewal'!$C$4:$C$8</c:f>
              <c:numCache>
                <c:formatCode>General</c:formatCode>
                <c:ptCount val="4"/>
                <c:pt idx="0">
                  <c:v>2908.7728474999999</c:v>
                </c:pt>
                <c:pt idx="1">
                  <c:v>1871.9292249999999</c:v>
                </c:pt>
                <c:pt idx="2">
                  <c:v>730.49322800000004</c:v>
                </c:pt>
                <c:pt idx="3">
                  <c:v>2007.9862075000001</c:v>
                </c:pt>
              </c:numCache>
            </c:numRef>
          </c:val>
          <c:extLst>
            <c:ext xmlns:c16="http://schemas.microsoft.com/office/drawing/2014/chart" uri="{C3380CC4-5D6E-409C-BE32-E72D297353CC}">
              <c16:uniqueId val="{00000001-CAD4-4847-9C92-686F1FE6837D}"/>
            </c:ext>
          </c:extLst>
        </c:ser>
        <c:dLbls>
          <c:dLblPos val="inEnd"/>
          <c:showLegendKey val="0"/>
          <c:showVal val="1"/>
          <c:showCatName val="0"/>
          <c:showSerName val="0"/>
          <c:showPercent val="0"/>
          <c:showBubbleSize val="0"/>
        </c:dLbls>
        <c:gapWidth val="115"/>
        <c:overlap val="-20"/>
        <c:axId val="1942196320"/>
        <c:axId val="434137247"/>
      </c:barChart>
      <c:catAx>
        <c:axId val="1942196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137247"/>
        <c:crosses val="autoZero"/>
        <c:auto val="1"/>
        <c:lblAlgn val="ctr"/>
        <c:lblOffset val="100"/>
        <c:noMultiLvlLbl val="0"/>
      </c:catAx>
      <c:valAx>
        <c:axId val="434137247"/>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4219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[Mohsin_client_11_August_Proposed_File_01.xlsx]Emoloyeer Name Renewal!PivotTable9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Tier</a:t>
            </a:r>
            <a:r>
              <a:rPr lang="en-US" sz="1200" baseline="0"/>
              <a:t> Wise Enrollment</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8000"/>
                  <a:shade val="51000"/>
                  <a:satMod val="130000"/>
                </a:schemeClr>
              </a:gs>
              <a:gs pos="80000">
                <a:schemeClr val="accent2">
                  <a:shade val="58000"/>
                  <a:shade val="93000"/>
                  <a:satMod val="130000"/>
                </a:schemeClr>
              </a:gs>
              <a:gs pos="100000">
                <a:schemeClr val="accent2">
                  <a:shade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shade val="86000"/>
                  <a:shade val="51000"/>
                  <a:satMod val="130000"/>
                </a:schemeClr>
              </a:gs>
              <a:gs pos="80000">
                <a:schemeClr val="accent2">
                  <a:shade val="86000"/>
                  <a:shade val="93000"/>
                  <a:satMod val="130000"/>
                </a:schemeClr>
              </a:gs>
              <a:gs pos="100000">
                <a:schemeClr val="accent2">
                  <a:shade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gradFill rotWithShape="1">
            <a:gsLst>
              <a:gs pos="0">
                <a:schemeClr val="accent2">
                  <a:tint val="86000"/>
                  <a:shade val="51000"/>
                  <a:satMod val="130000"/>
                </a:schemeClr>
              </a:gs>
              <a:gs pos="80000">
                <a:schemeClr val="accent2">
                  <a:tint val="86000"/>
                  <a:shade val="93000"/>
                  <a:satMod val="130000"/>
                </a:schemeClr>
              </a:gs>
              <a:gs pos="100000">
                <a:schemeClr val="accent2">
                  <a:tint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2">
                  <a:tint val="58000"/>
                  <a:shade val="51000"/>
                  <a:satMod val="130000"/>
                </a:schemeClr>
              </a:gs>
              <a:gs pos="80000">
                <a:schemeClr val="accent2">
                  <a:tint val="58000"/>
                  <a:shade val="93000"/>
                  <a:satMod val="130000"/>
                </a:schemeClr>
              </a:gs>
              <a:gs pos="100000">
                <a:schemeClr val="accent2">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'Emoloyeer Name Renewal'!$B$17</c:f>
              <c:strCache>
                <c:ptCount val="1"/>
                <c:pt idx="0">
                  <c:v>Total</c:v>
                </c:pt>
              </c:strCache>
            </c:strRef>
          </c:tx>
          <c:explosion val="21"/>
          <c:dPt>
            <c:idx val="0"/>
            <c:bubble3D val="0"/>
            <c:spPr>
              <a:gradFill rotWithShape="1">
                <a:gsLst>
                  <a:gs pos="0">
                    <a:schemeClr val="accent2">
                      <a:shade val="58000"/>
                      <a:shade val="51000"/>
                      <a:satMod val="130000"/>
                    </a:schemeClr>
                  </a:gs>
                  <a:gs pos="80000">
                    <a:schemeClr val="accent2">
                      <a:shade val="58000"/>
                      <a:shade val="93000"/>
                      <a:satMod val="130000"/>
                    </a:schemeClr>
                  </a:gs>
                  <a:gs pos="100000">
                    <a:schemeClr val="accent2">
                      <a:shade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546-4E77-B258-ABAA9A5628A2}"/>
              </c:ext>
            </c:extLst>
          </c:dPt>
          <c:dPt>
            <c:idx val="1"/>
            <c:bubble3D val="0"/>
            <c:spPr>
              <a:gradFill rotWithShape="1">
                <a:gsLst>
                  <a:gs pos="0">
                    <a:schemeClr val="accent2">
                      <a:shade val="86000"/>
                      <a:shade val="51000"/>
                      <a:satMod val="130000"/>
                    </a:schemeClr>
                  </a:gs>
                  <a:gs pos="80000">
                    <a:schemeClr val="accent2">
                      <a:shade val="86000"/>
                      <a:shade val="93000"/>
                      <a:satMod val="130000"/>
                    </a:schemeClr>
                  </a:gs>
                  <a:gs pos="100000">
                    <a:schemeClr val="accent2">
                      <a:shade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546-4E77-B258-ABAA9A5628A2}"/>
              </c:ext>
            </c:extLst>
          </c:dPt>
          <c:dPt>
            <c:idx val="2"/>
            <c:bubble3D val="0"/>
            <c:spPr>
              <a:gradFill rotWithShape="1">
                <a:gsLst>
                  <a:gs pos="0">
                    <a:schemeClr val="accent2">
                      <a:tint val="86000"/>
                      <a:shade val="51000"/>
                      <a:satMod val="130000"/>
                    </a:schemeClr>
                  </a:gs>
                  <a:gs pos="80000">
                    <a:schemeClr val="accent2">
                      <a:tint val="86000"/>
                      <a:shade val="93000"/>
                      <a:satMod val="130000"/>
                    </a:schemeClr>
                  </a:gs>
                  <a:gs pos="100000">
                    <a:schemeClr val="accent2">
                      <a:tint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546-4E77-B258-ABAA9A5628A2}"/>
              </c:ext>
            </c:extLst>
          </c:dPt>
          <c:dPt>
            <c:idx val="3"/>
            <c:bubble3D val="0"/>
            <c:spPr>
              <a:gradFill rotWithShape="1">
                <a:gsLst>
                  <a:gs pos="0">
                    <a:schemeClr val="accent2">
                      <a:tint val="58000"/>
                      <a:shade val="51000"/>
                      <a:satMod val="130000"/>
                    </a:schemeClr>
                  </a:gs>
                  <a:gs pos="80000">
                    <a:schemeClr val="accent2">
                      <a:tint val="58000"/>
                      <a:shade val="93000"/>
                      <a:satMod val="130000"/>
                    </a:schemeClr>
                  </a:gs>
                  <a:gs pos="100000">
                    <a:schemeClr val="accent2">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546-4E77-B258-ABAA9A5628A2}"/>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D546-4E77-B258-ABAA9A5628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'Emoloyeer Name Renewal'!$A$18:$A$22</c:f>
              <c:strCache>
                <c:ptCount val="4"/>
                <c:pt idx="0">
                  <c:v>Family</c:v>
                </c:pt>
                <c:pt idx="1">
                  <c:v>Subcriber Child(ren)</c:v>
                </c:pt>
                <c:pt idx="2">
                  <c:v>Subcriber Only </c:v>
                </c:pt>
                <c:pt idx="3">
                  <c:v>Subcriber&amp; Spouse</c:v>
                </c:pt>
              </c:strCache>
            </c:strRef>
          </c:cat>
          <c:val>
            <c:numRef>
              <c:f>'Emoloyeer Name Renewal'!$B$18:$B$22</c:f>
              <c:numCache>
                <c:formatCode>General</c:formatCode>
                <c:ptCount val="4"/>
                <c:pt idx="0">
                  <c:v>11</c:v>
                </c:pt>
                <c:pt idx="1">
                  <c:v>19</c:v>
                </c:pt>
                <c:pt idx="2">
                  <c:v>102</c:v>
                </c:pt>
                <c:pt idx="3">
                  <c:v>22</c:v>
                </c:pt>
              </c:numCache>
            </c:numRef>
          </c:val>
          <c:extLst>
            <c:ext xmlns:c16="http://schemas.microsoft.com/office/drawing/2014/chart" uri="{C3380CC4-5D6E-409C-BE32-E72D297353CC}">
              <c16:uniqueId val="{00000008-D546-4E77-B258-ABAA9A5628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[Mohsin_client_11_August_Proposed_File_01.xlsx]Projected Sales!PivotTable10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Projected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'Projected Sales'!$B$3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'Projected Sales'!$A$4:$A$7</c:f>
              <c:strCache>
                <c:ptCount val="3"/>
                <c:pt idx="0">
                  <c:v>2020 Premium</c:v>
                </c:pt>
                <c:pt idx="1">
                  <c:v>2021 Premium</c:v>
                </c:pt>
                <c:pt idx="2">
                  <c:v>2022 Premium</c:v>
                </c:pt>
              </c:strCache>
            </c:strRef>
          </c:cat>
          <c:val>
            <c:numRef>
              <c:f>'Projected Sales'!$B$4:$B$7</c:f>
              <c:numCache>
                <c:formatCode>General</c:formatCode>
                <c:ptCount val="3"/>
                <c:pt idx="0">
                  <c:v>1745466.36</c:v>
                </c:pt>
                <c:pt idx="1">
                  <c:v>1920012.9960000003</c:v>
                </c:pt>
                <c:pt idx="2">
                  <c:v>2112014.2956000003</c:v>
                </c:pt>
              </c:numCache>
            </c:numRef>
          </c:val>
          <c:extLst>
            <c:ext xmlns:c16="http://schemas.microsoft.com/office/drawing/2014/chart" uri="{C3380CC4-5D6E-409C-BE32-E72D297353CC}">
              <c16:uniqueId val="{00000000-6476-4ABC-9C6D-14167C0AE4DC}"/>
            </c:ext>
          </c:extLst>
        </c:ser>
        <c:dLbls>
          <c:showLegendKey val="0"/>
          <c:showVal val="0"/>
          <c:showCatName val="0"/>
          <c:showSerName val="0"/>
          <c:showPercent val="0"/>
          <c:showBubbleSize val="0"/>
        </c:dLbls>
        <c:gapWidth val="115"/>
        <c:overlap val="-20"/>
        <c:axId val="477526255"/>
        <c:axId val="476994159"/>
      </c:barChart>
      <c:catAx>
        <c:axId val="477526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6994159"/>
        <c:crosses val="autoZero"/>
        <c:auto val="1"/>
        <c:lblAlgn val="ctr"/>
        <c:lblOffset val="100"/>
        <c:noMultiLvlLbl val="0"/>
      </c:catAx>
      <c:valAx>
        <c:axId val="4769941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52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[Mohsin_client_11_August_Proposed_File_01.xlsx]Tier Wise Plan Name Current!PivotTable3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'Tier Wise Plan Name Current'!$B$3</c:f>
              <c:strCache>
                <c:ptCount val="1"/>
                <c:pt idx="0">
                  <c:v>Total</c:v>
                </c:pt>
              </c:strCache>
            </c:strRef>
          </c:tx>
          <c:spPr>
            <a:solidFill>
              <a:schemeClr val="accent1"/>
            </a:solidFill>
            <a:ln>
              <a:noFill/>
            </a:ln>
            <a:effectLst/>
          </c:spPr>
          <c:invertIfNegative val="0"/>
          <c:cat>
            <c:strRef>
              <c:f>'Tier Wise Plan Name Current'!$A$4:$A$8</c:f>
              <c:strCache>
                <c:ptCount val="4"/>
                <c:pt idx="0">
                  <c:v>Family</c:v>
                </c:pt>
                <c:pt idx="1">
                  <c:v>Subcriber Child(ren)</c:v>
                </c:pt>
                <c:pt idx="2">
                  <c:v>Subcriber Only </c:v>
                </c:pt>
                <c:pt idx="3">
                  <c:v>Subcriber&amp; Spouse</c:v>
                </c:pt>
              </c:strCache>
            </c:strRef>
          </c:cat>
          <c:val>
            <c:numRef>
              <c:f>'Tier Wise Plan Name Current'!$B$4:$B$8</c:f>
              <c:numCache>
                <c:formatCode>General</c:formatCode>
                <c:ptCount val="4"/>
                <c:pt idx="0">
                  <c:v>1515</c:v>
                </c:pt>
                <c:pt idx="1">
                  <c:v>974</c:v>
                </c:pt>
                <c:pt idx="2">
                  <c:v>489</c:v>
                </c:pt>
                <c:pt idx="3">
                  <c:v>1046</c:v>
                </c:pt>
              </c:numCache>
            </c:numRef>
          </c:val>
          <c:extLst>
            <c:ext xmlns:c16="http://schemas.microsoft.com/office/drawing/2014/chart" uri="{C3380CC4-5D6E-409C-BE32-E72D297353CC}">
              <c16:uniqueId val="{00000000-D78E-4776-8060-09589439618F}"/>
            </c:ext>
          </c:extLst>
        </c:ser>
        <c:dLbls>
          <c:showLegendKey val="0"/>
          <c:showVal val="0"/>
          <c:showCatName val="0"/>
          <c:showSerName val="0"/>
          <c:showPercent val="0"/>
          <c:showBubbleSize val="0"/>
        </c:dLbls>
        <c:gapWidth val="219"/>
        <c:overlap val="-27"/>
        <c:axId val="478843951"/>
        <c:axId val="1941941616"/>
      </c:barChart>
      <c:catAx>
        <c:axId val="47884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941616"/>
        <c:crosses val="autoZero"/>
        <c:auto val="1"/>
        <c:lblAlgn val="ctr"/>
        <c:lblOffset val="100"/>
        <c:noMultiLvlLbl val="0"/>
      </c:catAx>
      <c:valAx>
        <c:axId val="19419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4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[Mohsin_client_11_August_Proposed_File_01.xlsx]Tier Wise Plan Name Renewal!PivotTable4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'Tier Wise Plan Name Renewal'!$B$3</c:f>
              <c:strCache>
                <c:ptCount val="1"/>
                <c:pt idx="0">
                  <c:v>Total</c:v>
                </c:pt>
              </c:strCache>
            </c:strRef>
          </c:tx>
          <c:spPr>
            <a:solidFill>
              <a:schemeClr val="accent1"/>
            </a:solidFill>
            <a:ln>
              <a:noFill/>
            </a:ln>
            <a:effectLst/>
          </c:spPr>
          <c:invertIfNegative val="0"/>
          <c:cat>
            <c:strRef>
              <c:f>'Tier Wise Plan Name Renewal'!$A$4:$A$8</c:f>
              <c:strCache>
                <c:ptCount val="4"/>
                <c:pt idx="0">
                  <c:v>Family</c:v>
                </c:pt>
                <c:pt idx="1">
                  <c:v>Subcriber Child(ren)</c:v>
                </c:pt>
                <c:pt idx="2">
                  <c:v>Subcriber Only </c:v>
                </c:pt>
                <c:pt idx="3">
                  <c:v>Subcriber&amp; Spouse</c:v>
                </c:pt>
              </c:strCache>
            </c:strRef>
          </c:cat>
          <c:val>
            <c:numRef>
              <c:f>'Tier Wise Plan Name Renewal'!$B$4:$B$8</c:f>
              <c:numCache>
                <c:formatCode>General</c:formatCode>
                <c:ptCount val="4"/>
                <c:pt idx="0">
                  <c:v>7267.39</c:v>
                </c:pt>
                <c:pt idx="1">
                  <c:v>4676.8999999999996</c:v>
                </c:pt>
                <c:pt idx="2">
                  <c:v>2344.33</c:v>
                </c:pt>
                <c:pt idx="3">
                  <c:v>5016.83</c:v>
                </c:pt>
              </c:numCache>
            </c:numRef>
          </c:val>
          <c:extLst>
            <c:ext xmlns:c16="http://schemas.microsoft.com/office/drawing/2014/chart" uri="{C3380CC4-5D6E-409C-BE32-E72D297353CC}">
              <c16:uniqueId val="{00000000-4ECE-426E-B79B-7687F561EF96}"/>
            </c:ext>
          </c:extLst>
        </c:ser>
        <c:dLbls>
          <c:showLegendKey val="0"/>
          <c:showVal val="0"/>
          <c:showCatName val="0"/>
          <c:showSerName val="0"/>
          <c:showPercent val="0"/>
          <c:showBubbleSize val="0"/>
        </c:dLbls>
        <c:gapWidth val="219"/>
        <c:overlap val="-27"/>
        <c:axId val="478845807"/>
        <c:axId val="1742114480"/>
      </c:barChart>
      <c:catAx>
        <c:axId val="47884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14480"/>
        <c:crosses val="autoZero"/>
        <c:auto val="1"/>
        <c:lblAlgn val="ctr"/>
        <c:lblOffset val="100"/>
        <c:noMultiLvlLbl val="0"/>
      </c:catAx>
      <c:valAx>
        <c:axId val="174211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4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[Mohsin_client_11_August_Proposed_File_01.xlsx]Sheet7!PivotTable5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Employeer Plan Name Current</c:v>
                </c:pt>
              </c:strCache>
            </c:strRef>
          </c:tx>
          <c:spPr>
            <a:solidFill>
              <a:schemeClr val="accent1"/>
            </a:solidFill>
            <a:ln>
              <a:noFill/>
            </a:ln>
            <a:effectLst/>
          </c:spPr>
          <c:invertIfNegative val="0"/>
          <c:cat>
            <c:strRef>
              <c:f>Sheet7!$A$4:$A$8</c:f>
              <c:strCache>
                <c:ptCount val="4"/>
                <c:pt idx="0">
                  <c:v>Family</c:v>
                </c:pt>
                <c:pt idx="1">
                  <c:v>Subcriber Child(ren)</c:v>
                </c:pt>
                <c:pt idx="2">
                  <c:v>Subcriber Only </c:v>
                </c:pt>
                <c:pt idx="3">
                  <c:v>Subcriber&amp; Spouse</c:v>
                </c:pt>
              </c:strCache>
            </c:strRef>
          </c:cat>
          <c:val>
            <c:numRef>
              <c:f>Sheet7!$B$4:$B$8</c:f>
              <c:numCache>
                <c:formatCode>General</c:formatCode>
                <c:ptCount val="4"/>
                <c:pt idx="0">
                  <c:v>908.24250000000006</c:v>
                </c:pt>
                <c:pt idx="1">
                  <c:v>583.91300000000001</c:v>
                </c:pt>
                <c:pt idx="2">
                  <c:v>336.62760000000003</c:v>
                </c:pt>
                <c:pt idx="3">
                  <c:v>627.077</c:v>
                </c:pt>
              </c:numCache>
            </c:numRef>
          </c:val>
          <c:extLst>
            <c:ext xmlns:c16="http://schemas.microsoft.com/office/drawing/2014/chart" uri="{C3380CC4-5D6E-409C-BE32-E72D297353CC}">
              <c16:uniqueId val="{00000000-0704-4FD8-B2B2-25C966793057}"/>
            </c:ext>
          </c:extLst>
        </c:ser>
        <c:ser>
          <c:idx val="1"/>
          <c:order val="1"/>
          <c:tx>
            <c:strRef>
              <c:f>Sheet7!$C$3</c:f>
              <c:strCache>
                <c:ptCount val="1"/>
                <c:pt idx="0">
                  <c:v>Sum of Employee Plan Name Current </c:v>
                </c:pt>
              </c:strCache>
            </c:strRef>
          </c:tx>
          <c:spPr>
            <a:solidFill>
              <a:schemeClr val="accent2"/>
            </a:solidFill>
            <a:ln>
              <a:noFill/>
            </a:ln>
            <a:effectLst/>
          </c:spPr>
          <c:invertIfNegative val="0"/>
          <c:cat>
            <c:strRef>
              <c:f>Sheet7!$A$4:$A$8</c:f>
              <c:strCache>
                <c:ptCount val="4"/>
                <c:pt idx="0">
                  <c:v>Family</c:v>
                </c:pt>
                <c:pt idx="1">
                  <c:v>Subcriber Child(ren)</c:v>
                </c:pt>
                <c:pt idx="2">
                  <c:v>Subcriber Only </c:v>
                </c:pt>
                <c:pt idx="3">
                  <c:v>Subcriber&amp; Spouse</c:v>
                </c:pt>
              </c:strCache>
            </c:strRef>
          </c:cat>
          <c:val>
            <c:numRef>
              <c:f>Sheet7!$C$4:$C$8</c:f>
              <c:numCache>
                <c:formatCode>General</c:formatCode>
                <c:ptCount val="4"/>
                <c:pt idx="0">
                  <c:v>606.75749999999994</c:v>
                </c:pt>
                <c:pt idx="1">
                  <c:v>390.08699999999999</c:v>
                </c:pt>
                <c:pt idx="2">
                  <c:v>152.37239999999997</c:v>
                </c:pt>
                <c:pt idx="3">
                  <c:v>418.923</c:v>
                </c:pt>
              </c:numCache>
            </c:numRef>
          </c:val>
          <c:extLst>
            <c:ext xmlns:c16="http://schemas.microsoft.com/office/drawing/2014/chart" uri="{C3380CC4-5D6E-409C-BE32-E72D297353CC}">
              <c16:uniqueId val="{00000001-0704-4FD8-B2B2-25C966793057}"/>
            </c:ext>
          </c:extLst>
        </c:ser>
        <c:dLbls>
          <c:showLegendKey val="0"/>
          <c:showVal val="0"/>
          <c:showCatName val="0"/>
          <c:showSerName val="0"/>
          <c:showPercent val="0"/>
          <c:showBubbleSize val="0"/>
        </c:dLbls>
        <c:gapWidth val="219"/>
        <c:overlap val="-27"/>
        <c:axId val="1938590368"/>
        <c:axId val="908174096"/>
      </c:barChart>
      <c:catAx>
        <c:axId val="193859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174096"/>
        <c:crosses val="autoZero"/>
        <c:auto val="1"/>
        <c:lblAlgn val="ctr"/>
        <c:lblOffset val="100"/>
        <c:noMultiLvlLbl val="0"/>
      </c:catAx>
      <c:valAx>
        <c:axId val="90817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59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[Mohsin_client_11_August_Proposed_File_01.xlsx]Emoloyeer Name Renewal!PivotTable6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'Emoloyeer Name Renewal'!$B$3</c:f>
              <c:strCache>
                <c:ptCount val="1"/>
                <c:pt idx="0">
                  <c:v>Sum of Employeer Plan Name Renewal</c:v>
                </c:pt>
              </c:strCache>
            </c:strRef>
          </c:tx>
          <c:spPr>
            <a:solidFill>
              <a:schemeClr val="accent1"/>
            </a:solidFill>
            <a:ln>
              <a:noFill/>
            </a:ln>
            <a:effectLst/>
          </c:spPr>
          <c:invertIfNegative val="0"/>
          <c:cat>
            <c:strRef>
              <c:f>'Emoloyeer Name Renewal'!$A$4:$A$8</c:f>
              <c:strCache>
                <c:ptCount val="4"/>
                <c:pt idx="0">
                  <c:v>Family</c:v>
                </c:pt>
                <c:pt idx="1">
                  <c:v>Subcriber Child(ren)</c:v>
                </c:pt>
                <c:pt idx="2">
                  <c:v>Subcriber Only </c:v>
                </c:pt>
                <c:pt idx="3">
                  <c:v>Subcriber&amp; Spouse</c:v>
                </c:pt>
              </c:strCache>
            </c:strRef>
          </c:cat>
          <c:val>
            <c:numRef>
              <c:f>'Emoloyeer Name Renewal'!$B$4:$B$8</c:f>
              <c:numCache>
                <c:formatCode>General</c:formatCode>
                <c:ptCount val="4"/>
                <c:pt idx="0">
                  <c:v>4358.6171525</c:v>
                </c:pt>
                <c:pt idx="1">
                  <c:v>2804.9707749999998</c:v>
                </c:pt>
                <c:pt idx="2">
                  <c:v>1613.8367719999999</c:v>
                </c:pt>
                <c:pt idx="3">
                  <c:v>3008.8437925000003</c:v>
                </c:pt>
              </c:numCache>
            </c:numRef>
          </c:val>
          <c:extLst>
            <c:ext xmlns:c16="http://schemas.microsoft.com/office/drawing/2014/chart" uri="{C3380CC4-5D6E-409C-BE32-E72D297353CC}">
              <c16:uniqueId val="{00000000-FF20-4FC2-9FFD-9303030551AF}"/>
            </c:ext>
          </c:extLst>
        </c:ser>
        <c:ser>
          <c:idx val="1"/>
          <c:order val="1"/>
          <c:tx>
            <c:strRef>
              <c:f>'Emoloyeer Name Renewal'!$C$3</c:f>
              <c:strCache>
                <c:ptCount val="1"/>
                <c:pt idx="0">
                  <c:v>Sum of Employee Plan Name Renewal </c:v>
                </c:pt>
              </c:strCache>
            </c:strRef>
          </c:tx>
          <c:spPr>
            <a:solidFill>
              <a:schemeClr val="accent2"/>
            </a:solidFill>
            <a:ln>
              <a:noFill/>
            </a:ln>
            <a:effectLst/>
          </c:spPr>
          <c:invertIfNegative val="0"/>
          <c:cat>
            <c:strRef>
              <c:f>'Emoloyeer Name Renewal'!$A$4:$A$8</c:f>
              <c:strCache>
                <c:ptCount val="4"/>
                <c:pt idx="0">
                  <c:v>Family</c:v>
                </c:pt>
                <c:pt idx="1">
                  <c:v>Subcriber Child(ren)</c:v>
                </c:pt>
                <c:pt idx="2">
                  <c:v>Subcriber Only </c:v>
                </c:pt>
                <c:pt idx="3">
                  <c:v>Subcriber&amp; Spouse</c:v>
                </c:pt>
              </c:strCache>
            </c:strRef>
          </c:cat>
          <c:val>
            <c:numRef>
              <c:f>'Emoloyeer Name Renewal'!$C$4:$C$8</c:f>
              <c:numCache>
                <c:formatCode>General</c:formatCode>
                <c:ptCount val="4"/>
                <c:pt idx="0">
                  <c:v>2908.7728474999999</c:v>
                </c:pt>
                <c:pt idx="1">
                  <c:v>1871.9292249999999</c:v>
                </c:pt>
                <c:pt idx="2">
                  <c:v>730.49322800000004</c:v>
                </c:pt>
                <c:pt idx="3">
                  <c:v>2007.9862075000001</c:v>
                </c:pt>
              </c:numCache>
            </c:numRef>
          </c:val>
          <c:extLst>
            <c:ext xmlns:c16="http://schemas.microsoft.com/office/drawing/2014/chart" uri="{C3380CC4-5D6E-409C-BE32-E72D297353CC}">
              <c16:uniqueId val="{00000001-FF20-4FC2-9FFD-9303030551AF}"/>
            </c:ext>
          </c:extLst>
        </c:ser>
        <c:dLbls>
          <c:showLegendKey val="0"/>
          <c:showVal val="0"/>
          <c:showCatName val="0"/>
          <c:showSerName val="0"/>
          <c:showPercent val="0"/>
          <c:showBubbleSize val="0"/>
        </c:dLbls>
        <c:gapWidth val="219"/>
        <c:overlap val="-27"/>
        <c:axId val="1942196320"/>
        <c:axId val="434137247"/>
      </c:barChart>
      <c:catAx>
        <c:axId val="194219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37247"/>
        <c:crosses val="autoZero"/>
        <c:auto val="1"/>
        <c:lblAlgn val="ctr"/>
        <c:lblOffset val="100"/>
        <c:noMultiLvlLbl val="0"/>
      </c:catAx>
      <c:valAx>
        <c:axId val="43413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19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[Mohsin_client_11_August_Proposed_File_01.xlsx]Emoloyeer Name Renewal!PivotTable9</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'Emoloyeer Name Renewal'!$B$17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'Emoloyeer Name Renewal'!$A$18:$A$22</c:f>
              <c:strCache>
                <c:ptCount val="4"/>
                <c:pt idx="0">
                  <c:v>Family</c:v>
                </c:pt>
                <c:pt idx="1">
                  <c:v>Subcriber Child(ren)</c:v>
                </c:pt>
                <c:pt idx="2">
                  <c:v>Subcriber Only </c:v>
                </c:pt>
                <c:pt idx="3">
                  <c:v>Subcriber&amp; Spouse</c:v>
                </c:pt>
              </c:strCache>
            </c:strRef>
          </c:cat>
          <c:val>
            <c:numRef>
              <c:f>'Emoloyeer Name Renewal'!$B$18:$B$22</c:f>
              <c:numCache>
                <c:formatCode>General</c:formatCode>
                <c:ptCount val="4"/>
                <c:pt idx="0">
                  <c:v>11</c:v>
                </c:pt>
                <c:pt idx="1">
                  <c:v>19</c:v>
                </c:pt>
                <c:pt idx="2">
                  <c:v>102</c:v>
                </c:pt>
                <c:pt idx="3">
                  <c:v>22</c:v>
                </c:pt>
              </c:numCache>
            </c:numRef>
          </c:val>
          <c:extLst>
            <c:ext xmlns:c16="http://schemas.microsoft.com/office/drawing/2014/chart" uri="{C3380CC4-5D6E-409C-BE32-E72D297353CC}">
              <c16:uniqueId val="{00000000-D5E7-4827-8BF7-6301C0F4997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[Mohsin_client_11_August_Proposed_File_01.xlsx]Tier Wise Plan Name Current!PivotTable3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Tier Wise Current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'Tier Wise Plan Name Current'!$B$3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'Tier Wise Plan Name Current'!$A$4:$A$8</c:f>
              <c:strCache>
                <c:ptCount val="4"/>
                <c:pt idx="0">
                  <c:v>Family</c:v>
                </c:pt>
                <c:pt idx="1">
                  <c:v>Subcriber Child(ren)</c:v>
                </c:pt>
                <c:pt idx="2">
                  <c:v>Subcriber Only </c:v>
                </c:pt>
                <c:pt idx="3">
                  <c:v>Subcriber&amp; Spouse</c:v>
                </c:pt>
              </c:strCache>
            </c:strRef>
          </c:cat>
          <c:val>
            <c:numRef>
              <c:f>'Tier Wise Plan Name Current'!$B$4:$B$8</c:f>
              <c:numCache>
                <c:formatCode>General</c:formatCode>
                <c:ptCount val="4"/>
                <c:pt idx="0">
                  <c:v>1515</c:v>
                </c:pt>
                <c:pt idx="1">
                  <c:v>974</c:v>
                </c:pt>
                <c:pt idx="2">
                  <c:v>489</c:v>
                </c:pt>
                <c:pt idx="3">
                  <c:v>1046</c:v>
                </c:pt>
              </c:numCache>
            </c:numRef>
          </c:val>
          <c:extLst>
            <c:ext xmlns:c16="http://schemas.microsoft.com/office/drawing/2014/chart" uri="{C3380CC4-5D6E-409C-BE32-E72D297353CC}">
              <c16:uniqueId val="{00000000-6B11-478A-9DCE-85514B0B6A05}"/>
            </c:ext>
          </c:extLst>
        </c:ser>
        <c:dLbls>
          <c:dLblPos val="inEnd"/>
          <c:showLegendKey val="0"/>
          <c:showVal val="1"/>
          <c:showCatName val="0"/>
          <c:showSerName val="0"/>
          <c:showPercent val="0"/>
          <c:showBubbleSize val="0"/>
        </c:dLbls>
        <c:gapWidth val="100"/>
        <c:overlap val="-24"/>
        <c:axId val="478843951"/>
        <c:axId val="1941941616"/>
      </c:barChart>
      <c:catAx>
        <c:axId val="478843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941616"/>
        <c:crosses val="autoZero"/>
        <c:auto val="1"/>
        <c:lblAlgn val="ctr"/>
        <c:lblOffset val="100"/>
        <c:noMultiLvlLbl val="0"/>
      </c:catAx>
      <c:valAx>
        <c:axId val="1941941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84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[Mohsin_client_11_August_Proposed_File_01.xlsx]Tier Wise Plan Name Renewal!PivotTable4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Tier Wise Renewal</a:t>
            </a:r>
          </a:p>
        </c:rich>
      </c:tx>
      <c:layout>
        <c:manualLayout>
          <c:xMode val="edge"/>
          <c:yMode val="edge"/>
          <c:x val="0.25742146814981465"/>
          <c:y val="4.57811703393190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03630363036306E-2"/>
          <c:y val="0.30271846533889146"/>
          <c:w val="0.85522434695663041"/>
          <c:h val="0.43275783541763163"/>
        </c:manualLayout>
      </c:layout>
      <c:barChart>
        <c:barDir val="col"/>
        <c:grouping val="clustered"/>
        <c:varyColors val="0"/>
        <c:ser>
          <c:idx val="0"/>
          <c:order val="0"/>
          <c:tx>
            <c:strRef>
              <c:f>'Tier Wise Plan Name Renewal'!$B$3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'Tier Wise Plan Name Renewal'!$A$4:$A$8</c:f>
              <c:strCache>
                <c:ptCount val="4"/>
                <c:pt idx="0">
                  <c:v>Family</c:v>
                </c:pt>
                <c:pt idx="1">
                  <c:v>Subcriber Child(ren)</c:v>
                </c:pt>
                <c:pt idx="2">
                  <c:v>Subcriber Only </c:v>
                </c:pt>
                <c:pt idx="3">
                  <c:v>Subcriber&amp; Spouse</c:v>
                </c:pt>
              </c:strCache>
            </c:strRef>
          </c:cat>
          <c:val>
            <c:numRef>
              <c:f>'Tier Wise Plan Name Renewal'!$B$4:$B$8</c:f>
              <c:numCache>
                <c:formatCode>General</c:formatCode>
                <c:ptCount val="4"/>
                <c:pt idx="0">
                  <c:v>7267.39</c:v>
                </c:pt>
                <c:pt idx="1">
                  <c:v>4676.8999999999996</c:v>
                </c:pt>
                <c:pt idx="2">
                  <c:v>2344.33</c:v>
                </c:pt>
                <c:pt idx="3">
                  <c:v>5016.83</c:v>
                </c:pt>
              </c:numCache>
            </c:numRef>
          </c:val>
          <c:extLst>
            <c:ext xmlns:c16="http://schemas.microsoft.com/office/drawing/2014/chart" uri="{C3380CC4-5D6E-409C-BE32-E72D297353CC}">
              <c16:uniqueId val="{00000000-1D0E-4F80-8506-EBA7C359FB90}"/>
            </c:ext>
          </c:extLst>
        </c:ser>
        <c:dLbls>
          <c:dLblPos val="inEnd"/>
          <c:showLegendKey val="0"/>
          <c:showVal val="1"/>
          <c:showCatName val="0"/>
          <c:showSerName val="0"/>
          <c:showPercent val="0"/>
          <c:showBubbleSize val="0"/>
        </c:dLbls>
        <c:gapWidth val="100"/>
        <c:overlap val="-24"/>
        <c:axId val="478845807"/>
        <c:axId val="1742114480"/>
      </c:barChart>
      <c:catAx>
        <c:axId val="478845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2114480"/>
        <c:crosses val="autoZero"/>
        <c:auto val="1"/>
        <c:lblAlgn val="ctr"/>
        <c:lblOffset val="100"/>
        <c:noMultiLvlLbl val="0"/>
      </c:catAx>
      <c:valAx>
        <c:axId val="1742114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84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[Mohsin_client_11_August_Proposed_File_01.xlsx]Sheet7!PivotTable5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Employee</a:t>
            </a:r>
            <a:r>
              <a:rPr lang="en-US" sz="1200" baseline="0"/>
              <a:t> &amp; Employer Rate Current</a:t>
            </a:r>
            <a:endParaRPr lang="en-US" sz="1200"/>
          </a:p>
        </c:rich>
      </c:tx>
      <c:layout>
        <c:manualLayout>
          <c:xMode val="edge"/>
          <c:yMode val="edge"/>
          <c:x val="0.14465649268068292"/>
          <c:y val="3.330453747238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54079064859163"/>
          <c:y val="0.2077338129496403"/>
          <c:w val="0.36027707876721593"/>
          <c:h val="0.72513028946921199"/>
        </c:manualLayout>
      </c:layout>
      <c:barChart>
        <c:barDir val="bar"/>
        <c:grouping val="clustered"/>
        <c:varyColors val="0"/>
        <c:ser>
          <c:idx val="0"/>
          <c:order val="0"/>
          <c:tx>
            <c:strRef>
              <c:f>Sheet7!$B$3</c:f>
              <c:strCache>
                <c:ptCount val="1"/>
                <c:pt idx="0">
                  <c:v>Sum of Employeer Plan Name Current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Sheet7!$A$4:$A$8</c:f>
              <c:strCache>
                <c:ptCount val="4"/>
                <c:pt idx="0">
                  <c:v>Family</c:v>
                </c:pt>
                <c:pt idx="1">
                  <c:v>Subcriber Child(ren)</c:v>
                </c:pt>
                <c:pt idx="2">
                  <c:v>Subcriber Only </c:v>
                </c:pt>
                <c:pt idx="3">
                  <c:v>Subcriber&amp; Spouse</c:v>
                </c:pt>
              </c:strCache>
            </c:strRef>
          </c:cat>
          <c:val>
            <c:numRef>
              <c:f>Sheet7!$B$4:$B$8</c:f>
              <c:numCache>
                <c:formatCode>General</c:formatCode>
                <c:ptCount val="4"/>
                <c:pt idx="0">
                  <c:v>908.24250000000006</c:v>
                </c:pt>
                <c:pt idx="1">
                  <c:v>583.91300000000001</c:v>
                </c:pt>
                <c:pt idx="2">
                  <c:v>336.62760000000003</c:v>
                </c:pt>
                <c:pt idx="3">
                  <c:v>627.077</c:v>
                </c:pt>
              </c:numCache>
            </c:numRef>
          </c:val>
          <c:extLst>
            <c:ext xmlns:c16="http://schemas.microsoft.com/office/drawing/2014/chart" uri="{C3380CC4-5D6E-409C-BE32-E72D297353CC}">
              <c16:uniqueId val="{00000000-F6F4-44C0-AF8E-D5C67B2A0DA3}"/>
            </c:ext>
          </c:extLst>
        </c:ser>
        <c:ser>
          <c:idx val="1"/>
          <c:order val="1"/>
          <c:tx>
            <c:strRef>
              <c:f>Sheet7!$C$3</c:f>
              <c:strCache>
                <c:ptCount val="1"/>
                <c:pt idx="0">
                  <c:v>Sum of Employee Plan Name Current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Sheet7!$A$4:$A$8</c:f>
              <c:strCache>
                <c:ptCount val="4"/>
                <c:pt idx="0">
                  <c:v>Family</c:v>
                </c:pt>
                <c:pt idx="1">
                  <c:v>Subcriber Child(ren)</c:v>
                </c:pt>
                <c:pt idx="2">
                  <c:v>Subcriber Only </c:v>
                </c:pt>
                <c:pt idx="3">
                  <c:v>Subcriber&amp; Spouse</c:v>
                </c:pt>
              </c:strCache>
            </c:strRef>
          </c:cat>
          <c:val>
            <c:numRef>
              <c:f>Sheet7!$C$4:$C$8</c:f>
              <c:numCache>
                <c:formatCode>General</c:formatCode>
                <c:ptCount val="4"/>
                <c:pt idx="0">
                  <c:v>606.75749999999994</c:v>
                </c:pt>
                <c:pt idx="1">
                  <c:v>390.08699999999999</c:v>
                </c:pt>
                <c:pt idx="2">
                  <c:v>152.37239999999997</c:v>
                </c:pt>
                <c:pt idx="3">
                  <c:v>418.923</c:v>
                </c:pt>
              </c:numCache>
            </c:numRef>
          </c:val>
          <c:extLst>
            <c:ext xmlns:c16="http://schemas.microsoft.com/office/drawing/2014/chart" uri="{C3380CC4-5D6E-409C-BE32-E72D297353CC}">
              <c16:uniqueId val="{00000001-F6F4-44C0-AF8E-D5C67B2A0DA3}"/>
            </c:ext>
          </c:extLst>
        </c:ser>
        <c:dLbls>
          <c:dLblPos val="inEnd"/>
          <c:showLegendKey val="0"/>
          <c:showVal val="1"/>
          <c:showCatName val="0"/>
          <c:showSerName val="0"/>
          <c:showPercent val="0"/>
          <c:showBubbleSize val="0"/>
        </c:dLbls>
        <c:gapWidth val="115"/>
        <c:overlap val="-20"/>
        <c:axId val="1938590368"/>
        <c:axId val="908174096"/>
      </c:barChart>
      <c:catAx>
        <c:axId val="19385903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74096"/>
        <c:crosses val="autoZero"/>
        <c:auto val="1"/>
        <c:lblAlgn val="ctr"/>
        <c:lblOffset val="100"/>
        <c:noMultiLvlLbl val="0"/>
      </c:catAx>
      <c:valAx>
        <c:axId val="908174096"/>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38590368"/>
        <c:crosses val="autoZero"/>
        <c:crossBetween val="between"/>
      </c:valAx>
      <c:spPr>
        <a:noFill/>
        <a:ln>
          <a:noFill/>
        </a:ln>
        <a:effectLst/>
      </c:spPr>
    </c:plotArea>
    <c:legend>
      <c:legendPos val="r"/>
      <c:layout>
        <c:manualLayout>
          <c:xMode val="edge"/>
          <c:yMode val="edge"/>
          <c:x val="0.69759450171821302"/>
          <c:y val="0.40452472667535261"/>
          <c:w val="0.28178694158075601"/>
          <c:h val="0.33273664532940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2143125</xdr:colOff>
      <xdr:row>4</xdr:row>
      <xdr:rowOff>76200</xdr:rowOff>
    </xdr:to>
    <xdr:pic>
      <xdr:nvPicPr>
        <xdr:cNvPr id="2" name="Picture 1" descr="C:\Users\Eamon\AppData\Local\Microsoft\Windows\Temporary Internet Files\Low\Content.IE5\PUH8U2ME\S&amp;A_RGB_ForEmail[1].jp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2143125" cy="8001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175260</xdr:colOff>
      <xdr:row>6</xdr:row>
      <xdr:rowOff>3810</xdr:rowOff>
    </xdr:from>
    <xdr:to>
      <xdr:col>9</xdr:col>
      <xdr:colOff>480060</xdr:colOff>
      <xdr:row>22</xdr:row>
      <xdr:rowOff>64770</xdr:rowOff>
    </xdr:to>
    <xdr:graphicFrame macro="">
      <xdr:nvGraphicFramePr>
        <xdr:cNvPr id="2" name="Chart 1">
          <a:extLst>
            <a:ext uri="{FF2B5EF4-FFF2-40B4-BE49-F238E27FC236}">
              <a16:creationId xmlns:a16="http://schemas.microsoft.com/office/drawing/2014/main" id="{26C69EE2-B44B-566C-1D10-85C8A9922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1280160</xdr:colOff>
      <xdr:row>6</xdr:row>
      <xdr:rowOff>3810</xdr:rowOff>
    </xdr:from>
    <xdr:to>
      <xdr:col>8</xdr:col>
      <xdr:colOff>381000</xdr:colOff>
      <xdr:row>22</xdr:row>
      <xdr:rowOff>64770</xdr:rowOff>
    </xdr:to>
    <xdr:graphicFrame macro="">
      <xdr:nvGraphicFramePr>
        <xdr:cNvPr id="2" name="Chart 1">
          <a:extLst>
            <a:ext uri="{FF2B5EF4-FFF2-40B4-BE49-F238E27FC236}">
              <a16:creationId xmlns:a16="http://schemas.microsoft.com/office/drawing/2014/main" id="{424E7F5C-D898-1DA9-E281-31434BEDD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2007870</xdr:colOff>
      <xdr:row>6</xdr:row>
      <xdr:rowOff>3810</xdr:rowOff>
    </xdr:from>
    <xdr:to>
      <xdr:col>6</xdr:col>
      <xdr:colOff>373380</xdr:colOff>
      <xdr:row>22</xdr:row>
      <xdr:rowOff>64770</xdr:rowOff>
    </xdr:to>
    <xdr:graphicFrame macro="">
      <xdr:nvGraphicFramePr>
        <xdr:cNvPr id="2" name="Chart 1">
          <a:extLst>
            <a:ext uri="{FF2B5EF4-FFF2-40B4-BE49-F238E27FC236}">
              <a16:creationId xmlns:a16="http://schemas.microsoft.com/office/drawing/2014/main" id="{8708B07B-AC8C-94E9-3749-8594370D4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1215390</xdr:colOff>
      <xdr:row>2</xdr:row>
      <xdr:rowOff>72390</xdr:rowOff>
    </xdr:from>
    <xdr:to>
      <xdr:col>5</xdr:col>
      <xdr:colOff>1824990</xdr:colOff>
      <xdr:row>18</xdr:row>
      <xdr:rowOff>133350</xdr:rowOff>
    </xdr:to>
    <xdr:graphicFrame macro="">
      <xdr:nvGraphicFramePr>
        <xdr:cNvPr id="2" name="Chart 1">
          <a:extLst>
            <a:ext uri="{FF2B5EF4-FFF2-40B4-BE49-F238E27FC236}">
              <a16:creationId xmlns:a16="http://schemas.microsoft.com/office/drawing/2014/main" id="{13C116FB-6511-A766-6878-B7DD021E8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506730</xdr:colOff>
      <xdr:row>10</xdr:row>
      <xdr:rowOff>110490</xdr:rowOff>
    </xdr:from>
    <xdr:to>
      <xdr:col>4</xdr:col>
      <xdr:colOff>697230</xdr:colOff>
      <xdr:row>27</xdr:row>
      <xdr:rowOff>3810</xdr:rowOff>
    </xdr:to>
    <xdr:graphicFrame macro="">
      <xdr:nvGraphicFramePr>
        <xdr:cNvPr id="3" name="Chart 2">
          <a:extLst>
            <a:ext uri="{FF2B5EF4-FFF2-40B4-BE49-F238E27FC236}">
              <a16:creationId xmlns:a16="http://schemas.microsoft.com/office/drawing/2014/main" id="{285D5589-497F-9031-63F9-689E4ECEE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9</xdr:col>
      <xdr:colOff>381000</xdr:colOff>
      <xdr:row>2</xdr:row>
      <xdr:rowOff>106680</xdr:rowOff>
    </xdr:from>
    <xdr:to>
      <xdr:col>16</xdr:col>
      <xdr:colOff>213360</xdr:colOff>
      <xdr:row>13</xdr:row>
      <xdr:rowOff>251460</xdr:rowOff>
    </xdr:to>
    <xdr:graphicFrame macro="">
      <xdr:nvGraphicFramePr>
        <xdr:cNvPr id="3" name="Chart 2">
          <a:extLst>
            <a:ext uri="{FF2B5EF4-FFF2-40B4-BE49-F238E27FC236}">
              <a16:creationId xmlns:a16="http://schemas.microsoft.com/office/drawing/2014/main" id="{A17159FC-8D1F-4C6D-888A-1844817DB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434340</xdr:colOff>
      <xdr:row>2</xdr:row>
      <xdr:rowOff>99060</xdr:rowOff>
    </xdr:from>
    <xdr:to>
      <xdr:col>27</xdr:col>
      <xdr:colOff>76200</xdr:colOff>
      <xdr:row>13</xdr:row>
      <xdr:rowOff>243840</xdr:rowOff>
    </xdr:to>
    <xdr:graphicFrame macro="">
      <xdr:nvGraphicFramePr>
        <xdr:cNvPr id="4" name="Chart 3">
          <a:extLst>
            <a:ext uri="{FF2B5EF4-FFF2-40B4-BE49-F238E27FC236}">
              <a16:creationId xmlns:a16="http://schemas.microsoft.com/office/drawing/2014/main" id="{2B9357E6-9C31-4B67-8FA3-FEBA0BEAB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388620</xdr:colOff>
      <xdr:row>14</xdr:row>
      <xdr:rowOff>83820</xdr:rowOff>
    </xdr:from>
    <xdr:to>
      <xdr:col>16</xdr:col>
      <xdr:colOff>251460</xdr:colOff>
      <xdr:row>23</xdr:row>
      <xdr:rowOff>152400</xdr:rowOff>
    </xdr:to>
    <xdr:graphicFrame macro="">
      <xdr:nvGraphicFramePr>
        <xdr:cNvPr id="5" name="Chart 4">
          <a:extLst>
            <a:ext uri="{FF2B5EF4-FFF2-40B4-BE49-F238E27FC236}">
              <a16:creationId xmlns:a16="http://schemas.microsoft.com/office/drawing/2014/main" id="{FB416241-7031-4351-971A-A811491BC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411480</xdr:colOff>
      <xdr:row>14</xdr:row>
      <xdr:rowOff>83820</xdr:rowOff>
    </xdr:from>
    <xdr:to>
      <xdr:col>27</xdr:col>
      <xdr:colOff>91440</xdr:colOff>
      <xdr:row>23</xdr:row>
      <xdr:rowOff>144780</xdr:rowOff>
    </xdr:to>
    <xdr:graphicFrame macro="">
      <xdr:nvGraphicFramePr>
        <xdr:cNvPr id="6" name="Chart 5">
          <a:extLst>
            <a:ext uri="{FF2B5EF4-FFF2-40B4-BE49-F238E27FC236}">
              <a16:creationId xmlns:a16="http://schemas.microsoft.com/office/drawing/2014/main" id="{B3D817B0-7ED5-4800-84C6-09FE729E6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3</xdr:col>
      <xdr:colOff>190500</xdr:colOff>
      <xdr:row>2</xdr:row>
      <xdr:rowOff>106680</xdr:rowOff>
    </xdr:from>
    <xdr:to>
      <xdr:col>9</xdr:col>
      <xdr:colOff>160020</xdr:colOff>
      <xdr:row>13</xdr:row>
      <xdr:rowOff>243840</xdr:rowOff>
    </xdr:to>
    <xdr:graphicFrame macro="">
      <xdr:nvGraphicFramePr>
        <xdr:cNvPr id="14" name="Chart 13">
          <a:extLst>
            <a:ext uri="{FF2B5EF4-FFF2-40B4-BE49-F238E27FC236}">
              <a16:creationId xmlns:a16="http://schemas.microsoft.com/office/drawing/2014/main" id="{8BDA1365-FA97-4FE9-81BE-2F825BEB0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3</xdr:col>
      <xdr:colOff>198120</xdr:colOff>
      <xdr:row>14</xdr:row>
      <xdr:rowOff>53340</xdr:rowOff>
    </xdr:from>
    <xdr:to>
      <xdr:col>9</xdr:col>
      <xdr:colOff>152400</xdr:colOff>
      <xdr:row>23</xdr:row>
      <xdr:rowOff>129540</xdr:rowOff>
    </xdr:to>
    <xdr:graphicFrame macro="">
      <xdr:nvGraphicFramePr>
        <xdr:cNvPr id="15" name="Chart 14">
          <a:extLst>
            <a:ext uri="{FF2B5EF4-FFF2-40B4-BE49-F238E27FC236}">
              <a16:creationId xmlns:a16="http://schemas.microsoft.com/office/drawing/2014/main" id="{E39A465C-08A2-4BF3-942D-10EF2C4BC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0</xdr:colOff>
      <xdr:row>2</xdr:row>
      <xdr:rowOff>99061</xdr:rowOff>
    </xdr:from>
    <xdr:to>
      <xdr:col>3</xdr:col>
      <xdr:colOff>7620</xdr:colOff>
      <xdr:row>10</xdr:row>
      <xdr:rowOff>144780</xdr:rowOff>
    </xdr:to>
    <mc:AlternateContent xmlns:mc="http://schemas.openxmlformats.org/markup-compatibility/2006">
      <mc:Choice xmlns:a14="http://schemas.microsoft.com/office/drawing/2010/main" Requires="a14">
        <xdr:graphicFrame macro="">
          <xdr:nvGraphicFramePr>
            <xdr:cNvPr id="11" name="Option">
              <a:extLst>
                <a:ext uri="{FF2B5EF4-FFF2-40B4-BE49-F238E27FC236}">
                  <a16:creationId xmlns:a16="http://schemas.microsoft.com/office/drawing/2014/main" id="{09AB744A-ABCE-8189-A288-72E5D7AB73F3}"/>
                </a:ext>
              </a:extLst>
            </xdr:cNvPr>
            <xdr:cNvGraphicFramePr/>
          </xdr:nvGraphicFramePr>
          <xdr:xfrm>
            <a:off x="0" y="0"/>
            <a:ext cx="0" cy="0"/>
          </xdr:xfrm>
          <a:graphic>
            <a:graphicData uri="http://schemas.microsoft.com/office/drawing/2010/slicer">
              <sle:slicer xmlns:sle="http://schemas.microsoft.com/office/drawing/2010/slicer" name="Option"/>
            </a:graphicData>
          </a:graphic>
        </xdr:graphicFrame>
      </mc:Choice>
      <mc:Fallback>
        <xdr:sp macro="" textlink="">
          <xdr:nvSpPr>
            <xdr:cNvPr id="0" name=""/>
            <xdr:cNvSpPr>
              <a:spLocks noTextEdit="1"/>
            </xdr:cNvSpPr>
          </xdr:nvSpPr>
          <xdr:spPr>
            <a:xfrm>
              <a:off x="0" y="411481"/>
              <a:ext cx="1821180" cy="1386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10</xdr:row>
      <xdr:rowOff>30480</xdr:rowOff>
    </xdr:from>
    <xdr:ext cx="0" cy="264560"/>
    <xdr:sp macro="" textlink="">
      <xdr:nvSpPr>
        <xdr:cNvPr id="24" name="TextBox 23">
          <a:extLst>
            <a:ext uri="{FF2B5EF4-FFF2-40B4-BE49-F238E27FC236}">
              <a16:creationId xmlns:a16="http://schemas.microsoft.com/office/drawing/2014/main" id="{82BBD2CD-603D-6D51-4201-7D0802B31A18}"/>
            </a:ext>
          </a:extLst>
        </xdr:cNvPr>
        <xdr:cNvSpPr txBox="1"/>
      </xdr:nvSpPr>
      <xdr:spPr>
        <a:xfrm flipH="1">
          <a:off x="0" y="1851660"/>
          <a:ext cx="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100">
            <a:solidFill>
              <a:schemeClr val="bg1"/>
            </a:solidFill>
          </a:endParaRP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4</xdr:col>
      <xdr:colOff>0</xdr:colOff>
      <xdr:row>28</xdr:row>
      <xdr:rowOff>0</xdr:rowOff>
    </xdr:from>
    <xdr:ext cx="184731" cy="264560"/>
    <xdr:sp macro="" textlink="">
      <xdr:nvSpPr>
        <xdr:cNvPr id="2" name="TextBox 1">
          <a:extLst>
            <a:ext uri="{FF2B5EF4-FFF2-40B4-BE49-F238E27FC236}">
              <a16:creationId xmlns:a16="http://schemas.microsoft.com/office/drawing/2014/main" id="{E08F7A94-5CA9-4AEC-B929-504C3E94F2B2}"/>
            </a:ext>
          </a:extLst>
        </xdr:cNvPr>
        <xdr:cNvSpPr txBox="1"/>
      </xdr:nvSpPr>
      <xdr:spPr>
        <a:xfrm>
          <a:off x="2552700" y="453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0</xdr:colOff>
      <xdr:row>28</xdr:row>
      <xdr:rowOff>0</xdr:rowOff>
    </xdr:from>
    <xdr:ext cx="184731" cy="264560"/>
    <xdr:sp macro="" textlink="">
      <xdr:nvSpPr>
        <xdr:cNvPr id="3" name="TextBox 2">
          <a:extLst>
            <a:ext uri="{FF2B5EF4-FFF2-40B4-BE49-F238E27FC236}">
              <a16:creationId xmlns:a16="http://schemas.microsoft.com/office/drawing/2014/main" id="{3132E71D-EA18-4975-830E-2C100429C569}"/>
            </a:ext>
          </a:extLst>
        </xdr:cNvPr>
        <xdr:cNvSpPr txBox="1"/>
      </xdr:nvSpPr>
      <xdr:spPr>
        <a:xfrm>
          <a:off x="2552700" y="453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323850</xdr:colOff>
      <xdr:row>28</xdr:row>
      <xdr:rowOff>0</xdr:rowOff>
    </xdr:from>
    <xdr:ext cx="184731" cy="264560"/>
    <xdr:sp macro="" textlink="">
      <xdr:nvSpPr>
        <xdr:cNvPr id="4" name="TextBox 3">
          <a:extLst>
            <a:ext uri="{FF2B5EF4-FFF2-40B4-BE49-F238E27FC236}">
              <a16:creationId xmlns:a16="http://schemas.microsoft.com/office/drawing/2014/main" id="{F736A263-BD2E-48DB-A579-30B55CB040A9}"/>
            </a:ext>
          </a:extLst>
        </xdr:cNvPr>
        <xdr:cNvSpPr txBox="1"/>
      </xdr:nvSpPr>
      <xdr:spPr>
        <a:xfrm>
          <a:off x="2876550" y="453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28</xdr:row>
      <xdr:rowOff>0</xdr:rowOff>
    </xdr:from>
    <xdr:ext cx="184731" cy="264560"/>
    <xdr:sp macro="" textlink="">
      <xdr:nvSpPr>
        <xdr:cNvPr id="5" name="TextBox 4">
          <a:extLst>
            <a:ext uri="{FF2B5EF4-FFF2-40B4-BE49-F238E27FC236}">
              <a16:creationId xmlns:a16="http://schemas.microsoft.com/office/drawing/2014/main" id="{3B19E02E-9CF6-4DB5-AD93-4B0C105E602C}"/>
            </a:ext>
          </a:extLst>
        </xdr:cNvPr>
        <xdr:cNvSpPr txBox="1"/>
      </xdr:nvSpPr>
      <xdr:spPr>
        <a:xfrm>
          <a:off x="3829050" y="453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28</xdr:row>
      <xdr:rowOff>0</xdr:rowOff>
    </xdr:from>
    <xdr:ext cx="184731" cy="264560"/>
    <xdr:sp macro="" textlink="">
      <xdr:nvSpPr>
        <xdr:cNvPr id="6" name="TextBox 5">
          <a:extLst>
            <a:ext uri="{FF2B5EF4-FFF2-40B4-BE49-F238E27FC236}">
              <a16:creationId xmlns:a16="http://schemas.microsoft.com/office/drawing/2014/main" id="{9AECF158-FC1A-4531-91DE-0E6894B9F613}"/>
            </a:ext>
          </a:extLst>
        </xdr:cNvPr>
        <xdr:cNvSpPr txBox="1"/>
      </xdr:nvSpPr>
      <xdr:spPr>
        <a:xfrm>
          <a:off x="3829050" y="453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28</xdr:row>
      <xdr:rowOff>0</xdr:rowOff>
    </xdr:from>
    <xdr:ext cx="184731" cy="264560"/>
    <xdr:sp macro="" textlink="">
      <xdr:nvSpPr>
        <xdr:cNvPr id="7" name="TextBox 6">
          <a:extLst>
            <a:ext uri="{FF2B5EF4-FFF2-40B4-BE49-F238E27FC236}">
              <a16:creationId xmlns:a16="http://schemas.microsoft.com/office/drawing/2014/main" id="{0C8A3A72-8130-43D5-AB87-D1D3430DFEE0}"/>
            </a:ext>
          </a:extLst>
        </xdr:cNvPr>
        <xdr:cNvSpPr txBox="1"/>
      </xdr:nvSpPr>
      <xdr:spPr>
        <a:xfrm>
          <a:off x="3829050" y="453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0</xdr:colOff>
      <xdr:row>89</xdr:row>
      <xdr:rowOff>0</xdr:rowOff>
    </xdr:from>
    <xdr:ext cx="184731" cy="264560"/>
    <xdr:sp macro="" textlink="">
      <xdr:nvSpPr>
        <xdr:cNvPr id="8" name="TextBox 7">
          <a:extLst>
            <a:ext uri="{FF2B5EF4-FFF2-40B4-BE49-F238E27FC236}">
              <a16:creationId xmlns:a16="http://schemas.microsoft.com/office/drawing/2014/main" id="{FAAFFE79-6892-4328-98A2-E516E2B61668}"/>
            </a:ext>
          </a:extLst>
        </xdr:cNvPr>
        <xdr:cNvSpPr txBox="1"/>
      </xdr:nvSpPr>
      <xdr:spPr>
        <a:xfrm>
          <a:off x="2552700" y="14411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0</xdr:colOff>
      <xdr:row>89</xdr:row>
      <xdr:rowOff>0</xdr:rowOff>
    </xdr:from>
    <xdr:ext cx="184731" cy="264560"/>
    <xdr:sp macro="" textlink="">
      <xdr:nvSpPr>
        <xdr:cNvPr id="9" name="TextBox 8">
          <a:extLst>
            <a:ext uri="{FF2B5EF4-FFF2-40B4-BE49-F238E27FC236}">
              <a16:creationId xmlns:a16="http://schemas.microsoft.com/office/drawing/2014/main" id="{67DE9F2D-70BE-416C-843D-FEE1DA8A4BF9}"/>
            </a:ext>
          </a:extLst>
        </xdr:cNvPr>
        <xdr:cNvSpPr txBox="1"/>
      </xdr:nvSpPr>
      <xdr:spPr>
        <a:xfrm>
          <a:off x="2552700" y="14411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323850</xdr:colOff>
      <xdr:row>89</xdr:row>
      <xdr:rowOff>0</xdr:rowOff>
    </xdr:from>
    <xdr:ext cx="184731" cy="264560"/>
    <xdr:sp macro="" textlink="">
      <xdr:nvSpPr>
        <xdr:cNvPr id="10" name="TextBox 9">
          <a:extLst>
            <a:ext uri="{FF2B5EF4-FFF2-40B4-BE49-F238E27FC236}">
              <a16:creationId xmlns:a16="http://schemas.microsoft.com/office/drawing/2014/main" id="{574CDA8F-BCB8-4DA0-B75F-F00655A9A673}"/>
            </a:ext>
          </a:extLst>
        </xdr:cNvPr>
        <xdr:cNvSpPr txBox="1"/>
      </xdr:nvSpPr>
      <xdr:spPr>
        <a:xfrm>
          <a:off x="2876550" y="14411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89</xdr:row>
      <xdr:rowOff>0</xdr:rowOff>
    </xdr:from>
    <xdr:ext cx="184731" cy="264560"/>
    <xdr:sp macro="" textlink="">
      <xdr:nvSpPr>
        <xdr:cNvPr id="11" name="TextBox 10">
          <a:extLst>
            <a:ext uri="{FF2B5EF4-FFF2-40B4-BE49-F238E27FC236}">
              <a16:creationId xmlns:a16="http://schemas.microsoft.com/office/drawing/2014/main" id="{428BA14F-BD36-46A0-A41D-0CB6FFB0196F}"/>
            </a:ext>
          </a:extLst>
        </xdr:cNvPr>
        <xdr:cNvSpPr txBox="1"/>
      </xdr:nvSpPr>
      <xdr:spPr>
        <a:xfrm>
          <a:off x="3829050" y="14411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89</xdr:row>
      <xdr:rowOff>0</xdr:rowOff>
    </xdr:from>
    <xdr:ext cx="184731" cy="264560"/>
    <xdr:sp macro="" textlink="">
      <xdr:nvSpPr>
        <xdr:cNvPr id="12" name="TextBox 11">
          <a:extLst>
            <a:ext uri="{FF2B5EF4-FFF2-40B4-BE49-F238E27FC236}">
              <a16:creationId xmlns:a16="http://schemas.microsoft.com/office/drawing/2014/main" id="{F08A39CD-BFA3-44F6-BC3F-680C4F9A91A3}"/>
            </a:ext>
          </a:extLst>
        </xdr:cNvPr>
        <xdr:cNvSpPr txBox="1"/>
      </xdr:nvSpPr>
      <xdr:spPr>
        <a:xfrm>
          <a:off x="3829050" y="14411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89</xdr:row>
      <xdr:rowOff>0</xdr:rowOff>
    </xdr:from>
    <xdr:ext cx="184731" cy="264560"/>
    <xdr:sp macro="" textlink="">
      <xdr:nvSpPr>
        <xdr:cNvPr id="13" name="TextBox 12">
          <a:extLst>
            <a:ext uri="{FF2B5EF4-FFF2-40B4-BE49-F238E27FC236}">
              <a16:creationId xmlns:a16="http://schemas.microsoft.com/office/drawing/2014/main" id="{88251A07-01A1-4AEF-9FD0-B6EEC241BA2A}"/>
            </a:ext>
          </a:extLst>
        </xdr:cNvPr>
        <xdr:cNvSpPr txBox="1"/>
      </xdr:nvSpPr>
      <xdr:spPr>
        <a:xfrm>
          <a:off x="3829050" y="14411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0</xdr:colOff>
      <xdr:row>91</xdr:row>
      <xdr:rowOff>0</xdr:rowOff>
    </xdr:from>
    <xdr:ext cx="184731" cy="264560"/>
    <xdr:sp macro="" textlink="">
      <xdr:nvSpPr>
        <xdr:cNvPr id="14" name="TextBox 13">
          <a:extLst>
            <a:ext uri="{FF2B5EF4-FFF2-40B4-BE49-F238E27FC236}">
              <a16:creationId xmlns:a16="http://schemas.microsoft.com/office/drawing/2014/main" id="{2300C37F-2F7B-492F-A04F-D575A10F97BF}"/>
            </a:ext>
          </a:extLst>
        </xdr:cNvPr>
        <xdr:cNvSpPr txBox="1"/>
      </xdr:nvSpPr>
      <xdr:spPr>
        <a:xfrm>
          <a:off x="2552700" y="14735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0</xdr:colOff>
      <xdr:row>91</xdr:row>
      <xdr:rowOff>0</xdr:rowOff>
    </xdr:from>
    <xdr:ext cx="184731" cy="264560"/>
    <xdr:sp macro="" textlink="">
      <xdr:nvSpPr>
        <xdr:cNvPr id="15" name="TextBox 14">
          <a:extLst>
            <a:ext uri="{FF2B5EF4-FFF2-40B4-BE49-F238E27FC236}">
              <a16:creationId xmlns:a16="http://schemas.microsoft.com/office/drawing/2014/main" id="{25D66147-3BB8-4C23-A184-CBFA31638B65}"/>
            </a:ext>
          </a:extLst>
        </xdr:cNvPr>
        <xdr:cNvSpPr txBox="1"/>
      </xdr:nvSpPr>
      <xdr:spPr>
        <a:xfrm>
          <a:off x="2552700" y="14735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323850</xdr:colOff>
      <xdr:row>91</xdr:row>
      <xdr:rowOff>0</xdr:rowOff>
    </xdr:from>
    <xdr:ext cx="184731" cy="264560"/>
    <xdr:sp macro="" textlink="">
      <xdr:nvSpPr>
        <xdr:cNvPr id="16" name="TextBox 15">
          <a:extLst>
            <a:ext uri="{FF2B5EF4-FFF2-40B4-BE49-F238E27FC236}">
              <a16:creationId xmlns:a16="http://schemas.microsoft.com/office/drawing/2014/main" id="{D2CA11AE-7593-4F50-8011-102715BFFB39}"/>
            </a:ext>
          </a:extLst>
        </xdr:cNvPr>
        <xdr:cNvSpPr txBox="1"/>
      </xdr:nvSpPr>
      <xdr:spPr>
        <a:xfrm>
          <a:off x="2876550" y="14735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91</xdr:row>
      <xdr:rowOff>0</xdr:rowOff>
    </xdr:from>
    <xdr:ext cx="184731" cy="264560"/>
    <xdr:sp macro="" textlink="">
      <xdr:nvSpPr>
        <xdr:cNvPr id="17" name="TextBox 16">
          <a:extLst>
            <a:ext uri="{FF2B5EF4-FFF2-40B4-BE49-F238E27FC236}">
              <a16:creationId xmlns:a16="http://schemas.microsoft.com/office/drawing/2014/main" id="{53A45383-1830-4B40-A9D7-0339B91DFC8E}"/>
            </a:ext>
          </a:extLst>
        </xdr:cNvPr>
        <xdr:cNvSpPr txBox="1"/>
      </xdr:nvSpPr>
      <xdr:spPr>
        <a:xfrm>
          <a:off x="3829050" y="14735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91</xdr:row>
      <xdr:rowOff>0</xdr:rowOff>
    </xdr:from>
    <xdr:ext cx="184731" cy="264560"/>
    <xdr:sp macro="" textlink="">
      <xdr:nvSpPr>
        <xdr:cNvPr id="18" name="TextBox 17">
          <a:extLst>
            <a:ext uri="{FF2B5EF4-FFF2-40B4-BE49-F238E27FC236}">
              <a16:creationId xmlns:a16="http://schemas.microsoft.com/office/drawing/2014/main" id="{115F1382-F88A-4AC6-9882-BCFBABA668EC}"/>
            </a:ext>
          </a:extLst>
        </xdr:cNvPr>
        <xdr:cNvSpPr txBox="1"/>
      </xdr:nvSpPr>
      <xdr:spPr>
        <a:xfrm>
          <a:off x="3829050" y="14735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91</xdr:row>
      <xdr:rowOff>0</xdr:rowOff>
    </xdr:from>
    <xdr:ext cx="184731" cy="264560"/>
    <xdr:sp macro="" textlink="">
      <xdr:nvSpPr>
        <xdr:cNvPr id="19" name="TextBox 18">
          <a:extLst>
            <a:ext uri="{FF2B5EF4-FFF2-40B4-BE49-F238E27FC236}">
              <a16:creationId xmlns:a16="http://schemas.microsoft.com/office/drawing/2014/main" id="{39EB4C92-0296-4B0F-8336-60B0F4C07E8D}"/>
            </a:ext>
          </a:extLst>
        </xdr:cNvPr>
        <xdr:cNvSpPr txBox="1"/>
      </xdr:nvSpPr>
      <xdr:spPr>
        <a:xfrm>
          <a:off x="3829050" y="14735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28</xdr:row>
      <xdr:rowOff>0</xdr:rowOff>
    </xdr:from>
    <xdr:ext cx="184731" cy="264560"/>
    <xdr:sp macro="" textlink="">
      <xdr:nvSpPr>
        <xdr:cNvPr id="20" name="TextBox 19">
          <a:extLst>
            <a:ext uri="{FF2B5EF4-FFF2-40B4-BE49-F238E27FC236}">
              <a16:creationId xmlns:a16="http://schemas.microsoft.com/office/drawing/2014/main" id="{FA62B6E0-4331-49F2-8AEF-2BD1DD500C70}"/>
            </a:ext>
          </a:extLst>
        </xdr:cNvPr>
        <xdr:cNvSpPr txBox="1"/>
      </xdr:nvSpPr>
      <xdr:spPr>
        <a:xfrm>
          <a:off x="4152900" y="453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89</xdr:row>
      <xdr:rowOff>0</xdr:rowOff>
    </xdr:from>
    <xdr:ext cx="184731" cy="264560"/>
    <xdr:sp macro="" textlink="">
      <xdr:nvSpPr>
        <xdr:cNvPr id="21" name="TextBox 20">
          <a:extLst>
            <a:ext uri="{FF2B5EF4-FFF2-40B4-BE49-F238E27FC236}">
              <a16:creationId xmlns:a16="http://schemas.microsoft.com/office/drawing/2014/main" id="{B83C5213-87EE-48E2-B211-4929A79C5865}"/>
            </a:ext>
          </a:extLst>
        </xdr:cNvPr>
        <xdr:cNvSpPr txBox="1"/>
      </xdr:nvSpPr>
      <xdr:spPr>
        <a:xfrm>
          <a:off x="4152900" y="14411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91</xdr:row>
      <xdr:rowOff>0</xdr:rowOff>
    </xdr:from>
    <xdr:ext cx="184731" cy="264560"/>
    <xdr:sp macro="" textlink="">
      <xdr:nvSpPr>
        <xdr:cNvPr id="22" name="TextBox 21">
          <a:extLst>
            <a:ext uri="{FF2B5EF4-FFF2-40B4-BE49-F238E27FC236}">
              <a16:creationId xmlns:a16="http://schemas.microsoft.com/office/drawing/2014/main" id="{27AC9C05-153B-4649-9D09-9EC4B5225200}"/>
            </a:ext>
          </a:extLst>
        </xdr:cNvPr>
        <xdr:cNvSpPr txBox="1"/>
      </xdr:nvSpPr>
      <xdr:spPr>
        <a:xfrm>
          <a:off x="4152900" y="14735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2209800</xdr:colOff>
      <xdr:row>3</xdr:row>
      <xdr:rowOff>160020</xdr:rowOff>
    </xdr:to>
    <xdr:pic>
      <xdr:nvPicPr>
        <xdr:cNvPr id="2" name="Picture 1" descr="C:\Users\Eamon\AppData\Local\Microsoft\Windows\Temporary Internet Files\Low\Content.IE5\PUH8U2ME\S&amp;A_RGB_ForEmail[1].jpg">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 y="0"/>
          <a:ext cx="2209800" cy="662940"/>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1965960</xdr:colOff>
      <xdr:row>3</xdr:row>
      <xdr:rowOff>167640</xdr:rowOff>
    </xdr:to>
    <xdr:pic>
      <xdr:nvPicPr>
        <xdr:cNvPr id="3" name="Picture 2" descr="C:\Users\Eamon\AppData\Local\Microsoft\Windows\Temporary Internet Files\Low\Content.IE5\PUH8U2ME\S&amp;A_RGB_ForEmail[1].jpg">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 y="0"/>
          <a:ext cx="1965960" cy="739140"/>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47625</xdr:colOff>
      <xdr:row>4</xdr:row>
      <xdr:rowOff>76200</xdr:rowOff>
    </xdr:to>
    <xdr:pic>
      <xdr:nvPicPr>
        <xdr:cNvPr id="4" name="Picture 3" descr="C:\Users\Eamon\AppData\Local\Microsoft\Windows\Temporary Internet Files\Low\Content.IE5\PUH8U2ME\S&amp;A_RGB_ForEmail[1].jpg">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0"/>
          <a:ext cx="2143125" cy="800100"/>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2143125</xdr:colOff>
      <xdr:row>4</xdr:row>
      <xdr:rowOff>38100</xdr:rowOff>
    </xdr:to>
    <xdr:pic>
      <xdr:nvPicPr>
        <xdr:cNvPr id="5" name="Picture 4" descr="C:\Users\Eamon\AppData\Local\Microsoft\Windows\Temporary Internet Files\Low\Content.IE5\PUH8U2ME\S&amp;A_RGB_ForEmail[1].jpg">
          <a:extLst>
            <a:ext uri="{FF2B5EF4-FFF2-40B4-BE49-F238E27FC236}">
              <a16:creationId xmlns:a16="http://schemas.microsoft.com/office/drawing/2014/main" id="{00000000-0008-0000-0800-000005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2143125" cy="8001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2143125</xdr:colOff>
      <xdr:row>4</xdr:row>
      <xdr:rowOff>76200</xdr:rowOff>
    </xdr:to>
    <xdr:pic>
      <xdr:nvPicPr>
        <xdr:cNvPr id="2" name="Picture 1" descr="C:\Users\Eamon\AppData\Local\Microsoft\Windows\Temporary Internet Files\Low\Content.IE5\PUH8U2ME\S&amp;A_RGB_ForEmail[1].jp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2143125" cy="800100"/>
        </a:xfrm>
        <a:prstGeom prst="rect">
          <a:avLst/>
        </a:prstGeom>
        <a:noFill/>
        <a:ln>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2247900</xdr:colOff>
      <xdr:row>4</xdr:row>
      <xdr:rowOff>0</xdr:rowOff>
    </xdr:to>
    <xdr:pic>
      <xdr:nvPicPr>
        <xdr:cNvPr id="3" name="Picture 2" descr="C:\Users\Eamon\AppData\Local\Microsoft\Windows\Temporary Internet Files\Low\Content.IE5\PUH8U2ME\S&amp;A_RGB_ForEmail[1].jpg">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2247900" cy="701040"/>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1981200</xdr:colOff>
      <xdr:row>4</xdr:row>
      <xdr:rowOff>45720</xdr:rowOff>
    </xdr:to>
    <xdr:pic>
      <xdr:nvPicPr>
        <xdr:cNvPr id="2" name="Picture 1" descr="C:\Users\Eamon\AppData\Local\Microsoft\Windows\Temporary Internet Files\Low\Content.IE5\PUH8U2ME\S&amp;A_RGB_ForEmail[1].jpg">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1981200" cy="74676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1</xdr:col>
      <xdr:colOff>2314575</xdr:colOff>
      <xdr:row>4</xdr:row>
      <xdr:rowOff>76200</xdr:rowOff>
    </xdr:to>
    <xdr:pic>
      <xdr:nvPicPr>
        <xdr:cNvPr id="10" name="Picture 9" descr="C:\Users\Eamon\AppData\Local\Microsoft\Windows\Temporary Internet Files\Low\Content.IE5\PUH8U2ME\S&amp;A_RGB_ForEmail[1].jpg">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0"/>
          <a:ext cx="2305050" cy="7239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2143125</xdr:colOff>
      <xdr:row>4</xdr:row>
      <xdr:rowOff>152400</xdr:rowOff>
    </xdr:to>
    <xdr:pic>
      <xdr:nvPicPr>
        <xdr:cNvPr id="6" name="Picture 5" descr="C:\Users\Eamon\AppData\Local\Microsoft\Windows\Temporary Internet Files\Low\Content.IE5\PUH8U2ME\S&amp;A_RGB_ForEmail[1].jpg">
          <a:extLst>
            <a:ext uri="{FF2B5EF4-FFF2-40B4-BE49-F238E27FC236}">
              <a16:creationId xmlns:a16="http://schemas.microsoft.com/office/drawing/2014/main" id="{00000000-0008-0000-03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2143125" cy="8001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4</xdr:col>
      <xdr:colOff>323850</xdr:colOff>
      <xdr:row>21</xdr:row>
      <xdr:rowOff>0</xdr:rowOff>
    </xdr:from>
    <xdr:ext cx="184731" cy="264560"/>
    <xdr:sp macro="" textlink="">
      <xdr:nvSpPr>
        <xdr:cNvPr id="2" name="TextBox 1">
          <a:extLst>
            <a:ext uri="{FF2B5EF4-FFF2-40B4-BE49-F238E27FC236}">
              <a16:creationId xmlns:a16="http://schemas.microsoft.com/office/drawing/2014/main" id="{993A8130-ABD9-45F0-9DDA-0BED641ABCCE}"/>
            </a:ext>
          </a:extLst>
        </xdr:cNvPr>
        <xdr:cNvSpPr txBox="1"/>
      </xdr:nvSpPr>
      <xdr:spPr>
        <a:xfrm>
          <a:off x="7105650" y="6686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21</xdr:row>
      <xdr:rowOff>0</xdr:rowOff>
    </xdr:from>
    <xdr:ext cx="184731" cy="264560"/>
    <xdr:sp macro="" textlink="">
      <xdr:nvSpPr>
        <xdr:cNvPr id="3" name="TextBox 2">
          <a:extLst>
            <a:ext uri="{FF2B5EF4-FFF2-40B4-BE49-F238E27FC236}">
              <a16:creationId xmlns:a16="http://schemas.microsoft.com/office/drawing/2014/main" id="{E035ACDA-442B-4E9C-BB98-5C66F03C1C53}"/>
            </a:ext>
          </a:extLst>
        </xdr:cNvPr>
        <xdr:cNvSpPr txBox="1"/>
      </xdr:nvSpPr>
      <xdr:spPr>
        <a:xfrm>
          <a:off x="10334625" y="6686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323850</xdr:colOff>
      <xdr:row>21</xdr:row>
      <xdr:rowOff>0</xdr:rowOff>
    </xdr:from>
    <xdr:ext cx="184731" cy="264560"/>
    <xdr:sp macro="" textlink="">
      <xdr:nvSpPr>
        <xdr:cNvPr id="4" name="TextBox 3">
          <a:extLst>
            <a:ext uri="{FF2B5EF4-FFF2-40B4-BE49-F238E27FC236}">
              <a16:creationId xmlns:a16="http://schemas.microsoft.com/office/drawing/2014/main" id="{F87C2B76-5CD8-4766-A351-9B9F168B4291}"/>
            </a:ext>
          </a:extLst>
        </xdr:cNvPr>
        <xdr:cNvSpPr txBox="1"/>
      </xdr:nvSpPr>
      <xdr:spPr>
        <a:xfrm>
          <a:off x="13944600" y="6686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21</xdr:row>
      <xdr:rowOff>0</xdr:rowOff>
    </xdr:from>
    <xdr:ext cx="184731" cy="264560"/>
    <xdr:sp macro="" textlink="">
      <xdr:nvSpPr>
        <xdr:cNvPr id="5" name="TextBox 4">
          <a:extLst>
            <a:ext uri="{FF2B5EF4-FFF2-40B4-BE49-F238E27FC236}">
              <a16:creationId xmlns:a16="http://schemas.microsoft.com/office/drawing/2014/main" id="{9D72181A-BA17-4916-AB6E-B93F58C1C261}"/>
            </a:ext>
          </a:extLst>
        </xdr:cNvPr>
        <xdr:cNvSpPr txBox="1"/>
      </xdr:nvSpPr>
      <xdr:spPr>
        <a:xfrm>
          <a:off x="17354550" y="6686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21</xdr:row>
      <xdr:rowOff>0</xdr:rowOff>
    </xdr:from>
    <xdr:ext cx="184731" cy="264560"/>
    <xdr:sp macro="" textlink="">
      <xdr:nvSpPr>
        <xdr:cNvPr id="6" name="TextBox 5">
          <a:extLst>
            <a:ext uri="{FF2B5EF4-FFF2-40B4-BE49-F238E27FC236}">
              <a16:creationId xmlns:a16="http://schemas.microsoft.com/office/drawing/2014/main" id="{878155B0-9B49-4E2B-877C-7EF800C35F44}"/>
            </a:ext>
          </a:extLst>
        </xdr:cNvPr>
        <xdr:cNvSpPr txBox="1"/>
      </xdr:nvSpPr>
      <xdr:spPr>
        <a:xfrm>
          <a:off x="17354550" y="6686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21</xdr:row>
      <xdr:rowOff>0</xdr:rowOff>
    </xdr:from>
    <xdr:ext cx="184731" cy="264560"/>
    <xdr:sp macro="" textlink="">
      <xdr:nvSpPr>
        <xdr:cNvPr id="7" name="TextBox 6">
          <a:extLst>
            <a:ext uri="{FF2B5EF4-FFF2-40B4-BE49-F238E27FC236}">
              <a16:creationId xmlns:a16="http://schemas.microsoft.com/office/drawing/2014/main" id="{4C4A37E6-5340-4C09-B71C-71E6F4DDAD97}"/>
            </a:ext>
          </a:extLst>
        </xdr:cNvPr>
        <xdr:cNvSpPr txBox="1"/>
      </xdr:nvSpPr>
      <xdr:spPr>
        <a:xfrm>
          <a:off x="17354550" y="6686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323850</xdr:colOff>
      <xdr:row>36</xdr:row>
      <xdr:rowOff>0</xdr:rowOff>
    </xdr:from>
    <xdr:ext cx="184731" cy="264560"/>
    <xdr:sp macro="" textlink="">
      <xdr:nvSpPr>
        <xdr:cNvPr id="8" name="TextBox 7">
          <a:extLst>
            <a:ext uri="{FF2B5EF4-FFF2-40B4-BE49-F238E27FC236}">
              <a16:creationId xmlns:a16="http://schemas.microsoft.com/office/drawing/2014/main" id="{2A9DBC6D-BFC4-4C1C-BA71-9BCFE47B7E10}"/>
            </a:ext>
          </a:extLst>
        </xdr:cNvPr>
        <xdr:cNvSpPr txBox="1"/>
      </xdr:nvSpPr>
      <xdr:spPr>
        <a:xfrm>
          <a:off x="7105650"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36</xdr:row>
      <xdr:rowOff>0</xdr:rowOff>
    </xdr:from>
    <xdr:ext cx="184731" cy="264560"/>
    <xdr:sp macro="" textlink="">
      <xdr:nvSpPr>
        <xdr:cNvPr id="9" name="TextBox 8">
          <a:extLst>
            <a:ext uri="{FF2B5EF4-FFF2-40B4-BE49-F238E27FC236}">
              <a16:creationId xmlns:a16="http://schemas.microsoft.com/office/drawing/2014/main" id="{45248D9E-04BA-41A4-85CE-8BFCF618D45F}"/>
            </a:ext>
          </a:extLst>
        </xdr:cNvPr>
        <xdr:cNvSpPr txBox="1"/>
      </xdr:nvSpPr>
      <xdr:spPr>
        <a:xfrm>
          <a:off x="10334625"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323850</xdr:colOff>
      <xdr:row>36</xdr:row>
      <xdr:rowOff>0</xdr:rowOff>
    </xdr:from>
    <xdr:ext cx="184731" cy="264560"/>
    <xdr:sp macro="" textlink="">
      <xdr:nvSpPr>
        <xdr:cNvPr id="10" name="TextBox 9">
          <a:extLst>
            <a:ext uri="{FF2B5EF4-FFF2-40B4-BE49-F238E27FC236}">
              <a16:creationId xmlns:a16="http://schemas.microsoft.com/office/drawing/2014/main" id="{665D0F37-2E12-47C3-A96C-8F44BAAA9581}"/>
            </a:ext>
          </a:extLst>
        </xdr:cNvPr>
        <xdr:cNvSpPr txBox="1"/>
      </xdr:nvSpPr>
      <xdr:spPr>
        <a:xfrm>
          <a:off x="13944600"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36</xdr:row>
      <xdr:rowOff>0</xdr:rowOff>
    </xdr:from>
    <xdr:ext cx="184731" cy="264560"/>
    <xdr:sp macro="" textlink="">
      <xdr:nvSpPr>
        <xdr:cNvPr id="11" name="TextBox 10">
          <a:extLst>
            <a:ext uri="{FF2B5EF4-FFF2-40B4-BE49-F238E27FC236}">
              <a16:creationId xmlns:a16="http://schemas.microsoft.com/office/drawing/2014/main" id="{017D7048-FFF3-4759-9B1E-BBE73357C27C}"/>
            </a:ext>
          </a:extLst>
        </xdr:cNvPr>
        <xdr:cNvSpPr txBox="1"/>
      </xdr:nvSpPr>
      <xdr:spPr>
        <a:xfrm>
          <a:off x="17354550"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36</xdr:row>
      <xdr:rowOff>0</xdr:rowOff>
    </xdr:from>
    <xdr:ext cx="184731" cy="264560"/>
    <xdr:sp macro="" textlink="">
      <xdr:nvSpPr>
        <xdr:cNvPr id="12" name="TextBox 11">
          <a:extLst>
            <a:ext uri="{FF2B5EF4-FFF2-40B4-BE49-F238E27FC236}">
              <a16:creationId xmlns:a16="http://schemas.microsoft.com/office/drawing/2014/main" id="{C0E8AC5E-88CF-49E3-A300-4B4DB6035474}"/>
            </a:ext>
          </a:extLst>
        </xdr:cNvPr>
        <xdr:cNvSpPr txBox="1"/>
      </xdr:nvSpPr>
      <xdr:spPr>
        <a:xfrm>
          <a:off x="17354550"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36</xdr:row>
      <xdr:rowOff>0</xdr:rowOff>
    </xdr:from>
    <xdr:ext cx="184731" cy="264560"/>
    <xdr:sp macro="" textlink="">
      <xdr:nvSpPr>
        <xdr:cNvPr id="13" name="TextBox 12">
          <a:extLst>
            <a:ext uri="{FF2B5EF4-FFF2-40B4-BE49-F238E27FC236}">
              <a16:creationId xmlns:a16="http://schemas.microsoft.com/office/drawing/2014/main" id="{485403ED-B82B-4AC8-9031-F59CEEB8F0E5}"/>
            </a:ext>
          </a:extLst>
        </xdr:cNvPr>
        <xdr:cNvSpPr txBox="1"/>
      </xdr:nvSpPr>
      <xdr:spPr>
        <a:xfrm>
          <a:off x="17354550"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323850</xdr:colOff>
      <xdr:row>41</xdr:row>
      <xdr:rowOff>0</xdr:rowOff>
    </xdr:from>
    <xdr:ext cx="184731" cy="264560"/>
    <xdr:sp macro="" textlink="">
      <xdr:nvSpPr>
        <xdr:cNvPr id="14" name="TextBox 13">
          <a:extLst>
            <a:ext uri="{FF2B5EF4-FFF2-40B4-BE49-F238E27FC236}">
              <a16:creationId xmlns:a16="http://schemas.microsoft.com/office/drawing/2014/main" id="{8A065D85-7B19-4FE1-B03C-91B784957166}"/>
            </a:ext>
          </a:extLst>
        </xdr:cNvPr>
        <xdr:cNvSpPr txBox="1"/>
      </xdr:nvSpPr>
      <xdr:spPr>
        <a:xfrm>
          <a:off x="7105650" y="12458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41</xdr:row>
      <xdr:rowOff>0</xdr:rowOff>
    </xdr:from>
    <xdr:ext cx="184731" cy="264560"/>
    <xdr:sp macro="" textlink="">
      <xdr:nvSpPr>
        <xdr:cNvPr id="15" name="TextBox 14">
          <a:extLst>
            <a:ext uri="{FF2B5EF4-FFF2-40B4-BE49-F238E27FC236}">
              <a16:creationId xmlns:a16="http://schemas.microsoft.com/office/drawing/2014/main" id="{D1CFC049-636C-4F8A-9DAF-FE48BD19D717}"/>
            </a:ext>
          </a:extLst>
        </xdr:cNvPr>
        <xdr:cNvSpPr txBox="1"/>
      </xdr:nvSpPr>
      <xdr:spPr>
        <a:xfrm>
          <a:off x="10334625" y="12458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323850</xdr:colOff>
      <xdr:row>41</xdr:row>
      <xdr:rowOff>0</xdr:rowOff>
    </xdr:from>
    <xdr:ext cx="184731" cy="264560"/>
    <xdr:sp macro="" textlink="">
      <xdr:nvSpPr>
        <xdr:cNvPr id="16" name="TextBox 15">
          <a:extLst>
            <a:ext uri="{FF2B5EF4-FFF2-40B4-BE49-F238E27FC236}">
              <a16:creationId xmlns:a16="http://schemas.microsoft.com/office/drawing/2014/main" id="{641AD1F3-CD29-4EED-B6AB-B62D51BBE8CD}"/>
            </a:ext>
          </a:extLst>
        </xdr:cNvPr>
        <xdr:cNvSpPr txBox="1"/>
      </xdr:nvSpPr>
      <xdr:spPr>
        <a:xfrm>
          <a:off x="13944600" y="12458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41</xdr:row>
      <xdr:rowOff>0</xdr:rowOff>
    </xdr:from>
    <xdr:ext cx="184731" cy="264560"/>
    <xdr:sp macro="" textlink="">
      <xdr:nvSpPr>
        <xdr:cNvPr id="17" name="TextBox 16">
          <a:extLst>
            <a:ext uri="{FF2B5EF4-FFF2-40B4-BE49-F238E27FC236}">
              <a16:creationId xmlns:a16="http://schemas.microsoft.com/office/drawing/2014/main" id="{15CD4344-41A9-46D5-AAE1-74900395E68D}"/>
            </a:ext>
          </a:extLst>
        </xdr:cNvPr>
        <xdr:cNvSpPr txBox="1"/>
      </xdr:nvSpPr>
      <xdr:spPr>
        <a:xfrm>
          <a:off x="17354550" y="12458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41</xdr:row>
      <xdr:rowOff>0</xdr:rowOff>
    </xdr:from>
    <xdr:ext cx="184731" cy="264560"/>
    <xdr:sp macro="" textlink="">
      <xdr:nvSpPr>
        <xdr:cNvPr id="18" name="TextBox 17">
          <a:extLst>
            <a:ext uri="{FF2B5EF4-FFF2-40B4-BE49-F238E27FC236}">
              <a16:creationId xmlns:a16="http://schemas.microsoft.com/office/drawing/2014/main" id="{E55A5433-F1E4-42D7-B8B7-A42EF2F559C2}"/>
            </a:ext>
          </a:extLst>
        </xdr:cNvPr>
        <xdr:cNvSpPr txBox="1"/>
      </xdr:nvSpPr>
      <xdr:spPr>
        <a:xfrm>
          <a:off x="17354550" y="12458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41</xdr:row>
      <xdr:rowOff>0</xdr:rowOff>
    </xdr:from>
    <xdr:ext cx="184731" cy="264560"/>
    <xdr:sp macro="" textlink="">
      <xdr:nvSpPr>
        <xdr:cNvPr id="19" name="TextBox 18">
          <a:extLst>
            <a:ext uri="{FF2B5EF4-FFF2-40B4-BE49-F238E27FC236}">
              <a16:creationId xmlns:a16="http://schemas.microsoft.com/office/drawing/2014/main" id="{51CA776C-30E4-4F84-8EF9-C88A8D02862D}"/>
            </a:ext>
          </a:extLst>
        </xdr:cNvPr>
        <xdr:cNvSpPr txBox="1"/>
      </xdr:nvSpPr>
      <xdr:spPr>
        <a:xfrm>
          <a:off x="17354550" y="12458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323850</xdr:colOff>
      <xdr:row>21</xdr:row>
      <xdr:rowOff>0</xdr:rowOff>
    </xdr:from>
    <xdr:ext cx="184731" cy="264560"/>
    <xdr:sp macro="" textlink="">
      <xdr:nvSpPr>
        <xdr:cNvPr id="20" name="TextBox 19">
          <a:extLst>
            <a:ext uri="{FF2B5EF4-FFF2-40B4-BE49-F238E27FC236}">
              <a16:creationId xmlns:a16="http://schemas.microsoft.com/office/drawing/2014/main" id="{606E063E-0515-442D-8D0E-5FA7C137A9A7}"/>
            </a:ext>
          </a:extLst>
        </xdr:cNvPr>
        <xdr:cNvSpPr txBox="1"/>
      </xdr:nvSpPr>
      <xdr:spPr>
        <a:xfrm>
          <a:off x="17678400" y="6686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323850</xdr:colOff>
      <xdr:row>36</xdr:row>
      <xdr:rowOff>0</xdr:rowOff>
    </xdr:from>
    <xdr:ext cx="184731" cy="264560"/>
    <xdr:sp macro="" textlink="">
      <xdr:nvSpPr>
        <xdr:cNvPr id="21" name="TextBox 20">
          <a:extLst>
            <a:ext uri="{FF2B5EF4-FFF2-40B4-BE49-F238E27FC236}">
              <a16:creationId xmlns:a16="http://schemas.microsoft.com/office/drawing/2014/main" id="{52A7ABEA-DEBA-424D-9CBC-4D0261AE843D}"/>
            </a:ext>
          </a:extLst>
        </xdr:cNvPr>
        <xdr:cNvSpPr txBox="1"/>
      </xdr:nvSpPr>
      <xdr:spPr>
        <a:xfrm>
          <a:off x="17678400"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323850</xdr:colOff>
      <xdr:row>41</xdr:row>
      <xdr:rowOff>0</xdr:rowOff>
    </xdr:from>
    <xdr:ext cx="184731" cy="264560"/>
    <xdr:sp macro="" textlink="">
      <xdr:nvSpPr>
        <xdr:cNvPr id="22" name="TextBox 21">
          <a:extLst>
            <a:ext uri="{FF2B5EF4-FFF2-40B4-BE49-F238E27FC236}">
              <a16:creationId xmlns:a16="http://schemas.microsoft.com/office/drawing/2014/main" id="{7623CAB7-C8B1-42D7-B0E4-974AF55E630B}"/>
            </a:ext>
          </a:extLst>
        </xdr:cNvPr>
        <xdr:cNvSpPr txBox="1"/>
      </xdr:nvSpPr>
      <xdr:spPr>
        <a:xfrm>
          <a:off x="17678400" y="12458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323850</xdr:colOff>
      <xdr:row>21</xdr:row>
      <xdr:rowOff>0</xdr:rowOff>
    </xdr:from>
    <xdr:ext cx="184731" cy="264560"/>
    <xdr:sp macro="" textlink="">
      <xdr:nvSpPr>
        <xdr:cNvPr id="2" name="TextBox 1">
          <a:extLst>
            <a:ext uri="{FF2B5EF4-FFF2-40B4-BE49-F238E27FC236}">
              <a16:creationId xmlns:a16="http://schemas.microsoft.com/office/drawing/2014/main" id="{58F49245-8299-4E12-B22E-F3C209D8F354}"/>
            </a:ext>
          </a:extLst>
        </xdr:cNvPr>
        <xdr:cNvSpPr txBox="1"/>
      </xdr:nvSpPr>
      <xdr:spPr>
        <a:xfrm>
          <a:off x="7099300" y="575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21</xdr:row>
      <xdr:rowOff>0</xdr:rowOff>
    </xdr:from>
    <xdr:ext cx="184731" cy="264560"/>
    <xdr:sp macro="" textlink="">
      <xdr:nvSpPr>
        <xdr:cNvPr id="3" name="TextBox 2">
          <a:extLst>
            <a:ext uri="{FF2B5EF4-FFF2-40B4-BE49-F238E27FC236}">
              <a16:creationId xmlns:a16="http://schemas.microsoft.com/office/drawing/2014/main" id="{D1E25CD7-BD9D-4DCD-A353-44C209060456}"/>
            </a:ext>
          </a:extLst>
        </xdr:cNvPr>
        <xdr:cNvSpPr txBox="1"/>
      </xdr:nvSpPr>
      <xdr:spPr>
        <a:xfrm>
          <a:off x="10331450" y="575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323850</xdr:colOff>
      <xdr:row>21</xdr:row>
      <xdr:rowOff>0</xdr:rowOff>
    </xdr:from>
    <xdr:ext cx="184731" cy="264560"/>
    <xdr:sp macro="" textlink="">
      <xdr:nvSpPr>
        <xdr:cNvPr id="4" name="TextBox 3">
          <a:extLst>
            <a:ext uri="{FF2B5EF4-FFF2-40B4-BE49-F238E27FC236}">
              <a16:creationId xmlns:a16="http://schemas.microsoft.com/office/drawing/2014/main" id="{B780FC78-2DB1-4706-8BCF-302258219429}"/>
            </a:ext>
          </a:extLst>
        </xdr:cNvPr>
        <xdr:cNvSpPr txBox="1"/>
      </xdr:nvSpPr>
      <xdr:spPr>
        <a:xfrm>
          <a:off x="13944600" y="575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21</xdr:row>
      <xdr:rowOff>0</xdr:rowOff>
    </xdr:from>
    <xdr:ext cx="184731" cy="264560"/>
    <xdr:sp macro="" textlink="">
      <xdr:nvSpPr>
        <xdr:cNvPr id="5" name="TextBox 4">
          <a:extLst>
            <a:ext uri="{FF2B5EF4-FFF2-40B4-BE49-F238E27FC236}">
              <a16:creationId xmlns:a16="http://schemas.microsoft.com/office/drawing/2014/main" id="{283E0812-93BB-4F41-ABA6-0489AC28AF4C}"/>
            </a:ext>
          </a:extLst>
        </xdr:cNvPr>
        <xdr:cNvSpPr txBox="1"/>
      </xdr:nvSpPr>
      <xdr:spPr>
        <a:xfrm>
          <a:off x="17354550" y="575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21</xdr:row>
      <xdr:rowOff>0</xdr:rowOff>
    </xdr:from>
    <xdr:ext cx="184731" cy="264560"/>
    <xdr:sp macro="" textlink="">
      <xdr:nvSpPr>
        <xdr:cNvPr id="6" name="TextBox 5">
          <a:extLst>
            <a:ext uri="{FF2B5EF4-FFF2-40B4-BE49-F238E27FC236}">
              <a16:creationId xmlns:a16="http://schemas.microsoft.com/office/drawing/2014/main" id="{0F1C5E89-168E-4B1E-8251-D848DA265F6F}"/>
            </a:ext>
          </a:extLst>
        </xdr:cNvPr>
        <xdr:cNvSpPr txBox="1"/>
      </xdr:nvSpPr>
      <xdr:spPr>
        <a:xfrm>
          <a:off x="17354550" y="575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21</xdr:row>
      <xdr:rowOff>0</xdr:rowOff>
    </xdr:from>
    <xdr:ext cx="184731" cy="264560"/>
    <xdr:sp macro="" textlink="">
      <xdr:nvSpPr>
        <xdr:cNvPr id="7" name="TextBox 6">
          <a:extLst>
            <a:ext uri="{FF2B5EF4-FFF2-40B4-BE49-F238E27FC236}">
              <a16:creationId xmlns:a16="http://schemas.microsoft.com/office/drawing/2014/main" id="{CAC756D3-6ECD-4FB7-97DF-3620F060E100}"/>
            </a:ext>
          </a:extLst>
        </xdr:cNvPr>
        <xdr:cNvSpPr txBox="1"/>
      </xdr:nvSpPr>
      <xdr:spPr>
        <a:xfrm>
          <a:off x="17354550" y="575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323850</xdr:colOff>
      <xdr:row>36</xdr:row>
      <xdr:rowOff>0</xdr:rowOff>
    </xdr:from>
    <xdr:ext cx="184731" cy="264560"/>
    <xdr:sp macro="" textlink="">
      <xdr:nvSpPr>
        <xdr:cNvPr id="8" name="TextBox 7">
          <a:extLst>
            <a:ext uri="{FF2B5EF4-FFF2-40B4-BE49-F238E27FC236}">
              <a16:creationId xmlns:a16="http://schemas.microsoft.com/office/drawing/2014/main" id="{B62510B0-4E2C-4DB4-B768-A9F10FD18DE4}"/>
            </a:ext>
          </a:extLst>
        </xdr:cNvPr>
        <xdr:cNvSpPr txBox="1"/>
      </xdr:nvSpPr>
      <xdr:spPr>
        <a:xfrm>
          <a:off x="7099300" y="1041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36</xdr:row>
      <xdr:rowOff>0</xdr:rowOff>
    </xdr:from>
    <xdr:ext cx="184731" cy="264560"/>
    <xdr:sp macro="" textlink="">
      <xdr:nvSpPr>
        <xdr:cNvPr id="9" name="TextBox 8">
          <a:extLst>
            <a:ext uri="{FF2B5EF4-FFF2-40B4-BE49-F238E27FC236}">
              <a16:creationId xmlns:a16="http://schemas.microsoft.com/office/drawing/2014/main" id="{7423A848-56D0-454A-9E31-1C049FF24DC1}"/>
            </a:ext>
          </a:extLst>
        </xdr:cNvPr>
        <xdr:cNvSpPr txBox="1"/>
      </xdr:nvSpPr>
      <xdr:spPr>
        <a:xfrm>
          <a:off x="10331450" y="1041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323850</xdr:colOff>
      <xdr:row>36</xdr:row>
      <xdr:rowOff>0</xdr:rowOff>
    </xdr:from>
    <xdr:ext cx="184731" cy="264560"/>
    <xdr:sp macro="" textlink="">
      <xdr:nvSpPr>
        <xdr:cNvPr id="10" name="TextBox 9">
          <a:extLst>
            <a:ext uri="{FF2B5EF4-FFF2-40B4-BE49-F238E27FC236}">
              <a16:creationId xmlns:a16="http://schemas.microsoft.com/office/drawing/2014/main" id="{C483662A-8768-432A-B63E-247D96F1539D}"/>
            </a:ext>
          </a:extLst>
        </xdr:cNvPr>
        <xdr:cNvSpPr txBox="1"/>
      </xdr:nvSpPr>
      <xdr:spPr>
        <a:xfrm>
          <a:off x="13944600" y="1041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36</xdr:row>
      <xdr:rowOff>0</xdr:rowOff>
    </xdr:from>
    <xdr:ext cx="184731" cy="264560"/>
    <xdr:sp macro="" textlink="">
      <xdr:nvSpPr>
        <xdr:cNvPr id="11" name="TextBox 10">
          <a:extLst>
            <a:ext uri="{FF2B5EF4-FFF2-40B4-BE49-F238E27FC236}">
              <a16:creationId xmlns:a16="http://schemas.microsoft.com/office/drawing/2014/main" id="{EA0F886A-B518-4293-812F-E41494795264}"/>
            </a:ext>
          </a:extLst>
        </xdr:cNvPr>
        <xdr:cNvSpPr txBox="1"/>
      </xdr:nvSpPr>
      <xdr:spPr>
        <a:xfrm>
          <a:off x="17354550" y="1041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36</xdr:row>
      <xdr:rowOff>0</xdr:rowOff>
    </xdr:from>
    <xdr:ext cx="184731" cy="264560"/>
    <xdr:sp macro="" textlink="">
      <xdr:nvSpPr>
        <xdr:cNvPr id="12" name="TextBox 11">
          <a:extLst>
            <a:ext uri="{FF2B5EF4-FFF2-40B4-BE49-F238E27FC236}">
              <a16:creationId xmlns:a16="http://schemas.microsoft.com/office/drawing/2014/main" id="{EEE7C460-9897-4A3D-8D98-2F667BAF4B0C}"/>
            </a:ext>
          </a:extLst>
        </xdr:cNvPr>
        <xdr:cNvSpPr txBox="1"/>
      </xdr:nvSpPr>
      <xdr:spPr>
        <a:xfrm>
          <a:off x="17354550" y="1041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36</xdr:row>
      <xdr:rowOff>0</xdr:rowOff>
    </xdr:from>
    <xdr:ext cx="184731" cy="264560"/>
    <xdr:sp macro="" textlink="">
      <xdr:nvSpPr>
        <xdr:cNvPr id="13" name="TextBox 12">
          <a:extLst>
            <a:ext uri="{FF2B5EF4-FFF2-40B4-BE49-F238E27FC236}">
              <a16:creationId xmlns:a16="http://schemas.microsoft.com/office/drawing/2014/main" id="{17D650D2-45A6-4995-ACBE-5FBA9751B8AF}"/>
            </a:ext>
          </a:extLst>
        </xdr:cNvPr>
        <xdr:cNvSpPr txBox="1"/>
      </xdr:nvSpPr>
      <xdr:spPr>
        <a:xfrm>
          <a:off x="17354550" y="1041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323850</xdr:colOff>
      <xdr:row>41</xdr:row>
      <xdr:rowOff>0</xdr:rowOff>
    </xdr:from>
    <xdr:ext cx="184731" cy="264560"/>
    <xdr:sp macro="" textlink="">
      <xdr:nvSpPr>
        <xdr:cNvPr id="14" name="TextBox 13">
          <a:extLst>
            <a:ext uri="{FF2B5EF4-FFF2-40B4-BE49-F238E27FC236}">
              <a16:creationId xmlns:a16="http://schemas.microsoft.com/office/drawing/2014/main" id="{ADE659FA-448E-4F1B-ADD6-5F72BC4B382B}"/>
            </a:ext>
          </a:extLst>
        </xdr:cNvPr>
        <xdr:cNvSpPr txBox="1"/>
      </xdr:nvSpPr>
      <xdr:spPr>
        <a:xfrm>
          <a:off x="7099300" y="15252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41</xdr:row>
      <xdr:rowOff>0</xdr:rowOff>
    </xdr:from>
    <xdr:ext cx="184731" cy="264560"/>
    <xdr:sp macro="" textlink="">
      <xdr:nvSpPr>
        <xdr:cNvPr id="15" name="TextBox 14">
          <a:extLst>
            <a:ext uri="{FF2B5EF4-FFF2-40B4-BE49-F238E27FC236}">
              <a16:creationId xmlns:a16="http://schemas.microsoft.com/office/drawing/2014/main" id="{84923091-9BF8-4FAE-A3AC-912C5B970D87}"/>
            </a:ext>
          </a:extLst>
        </xdr:cNvPr>
        <xdr:cNvSpPr txBox="1"/>
      </xdr:nvSpPr>
      <xdr:spPr>
        <a:xfrm>
          <a:off x="10331450" y="15252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323850</xdr:colOff>
      <xdr:row>41</xdr:row>
      <xdr:rowOff>0</xdr:rowOff>
    </xdr:from>
    <xdr:ext cx="184731" cy="264560"/>
    <xdr:sp macro="" textlink="">
      <xdr:nvSpPr>
        <xdr:cNvPr id="16" name="TextBox 15">
          <a:extLst>
            <a:ext uri="{FF2B5EF4-FFF2-40B4-BE49-F238E27FC236}">
              <a16:creationId xmlns:a16="http://schemas.microsoft.com/office/drawing/2014/main" id="{38D9C7BC-EAD0-4484-85F3-C22E4961787A}"/>
            </a:ext>
          </a:extLst>
        </xdr:cNvPr>
        <xdr:cNvSpPr txBox="1"/>
      </xdr:nvSpPr>
      <xdr:spPr>
        <a:xfrm>
          <a:off x="13944600" y="15252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41</xdr:row>
      <xdr:rowOff>0</xdr:rowOff>
    </xdr:from>
    <xdr:ext cx="184731" cy="264560"/>
    <xdr:sp macro="" textlink="">
      <xdr:nvSpPr>
        <xdr:cNvPr id="17" name="TextBox 16">
          <a:extLst>
            <a:ext uri="{FF2B5EF4-FFF2-40B4-BE49-F238E27FC236}">
              <a16:creationId xmlns:a16="http://schemas.microsoft.com/office/drawing/2014/main" id="{D644CB4D-79C8-4AD3-89BD-4139D4D9982B}"/>
            </a:ext>
          </a:extLst>
        </xdr:cNvPr>
        <xdr:cNvSpPr txBox="1"/>
      </xdr:nvSpPr>
      <xdr:spPr>
        <a:xfrm>
          <a:off x="17354550" y="15252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41</xdr:row>
      <xdr:rowOff>0</xdr:rowOff>
    </xdr:from>
    <xdr:ext cx="184731" cy="264560"/>
    <xdr:sp macro="" textlink="">
      <xdr:nvSpPr>
        <xdr:cNvPr id="18" name="TextBox 17">
          <a:extLst>
            <a:ext uri="{FF2B5EF4-FFF2-40B4-BE49-F238E27FC236}">
              <a16:creationId xmlns:a16="http://schemas.microsoft.com/office/drawing/2014/main" id="{F464967A-B8D5-4AAE-99A5-4B58E94E8D6E}"/>
            </a:ext>
          </a:extLst>
        </xdr:cNvPr>
        <xdr:cNvSpPr txBox="1"/>
      </xdr:nvSpPr>
      <xdr:spPr>
        <a:xfrm>
          <a:off x="17354550" y="15252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41</xdr:row>
      <xdr:rowOff>0</xdr:rowOff>
    </xdr:from>
    <xdr:ext cx="184731" cy="264560"/>
    <xdr:sp macro="" textlink="">
      <xdr:nvSpPr>
        <xdr:cNvPr id="19" name="TextBox 18">
          <a:extLst>
            <a:ext uri="{FF2B5EF4-FFF2-40B4-BE49-F238E27FC236}">
              <a16:creationId xmlns:a16="http://schemas.microsoft.com/office/drawing/2014/main" id="{7ADAE158-73F1-4F04-AB64-BBE1080CFD96}"/>
            </a:ext>
          </a:extLst>
        </xdr:cNvPr>
        <xdr:cNvSpPr txBox="1"/>
      </xdr:nvSpPr>
      <xdr:spPr>
        <a:xfrm>
          <a:off x="17354550" y="15252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323850</xdr:colOff>
      <xdr:row>21</xdr:row>
      <xdr:rowOff>0</xdr:rowOff>
    </xdr:from>
    <xdr:ext cx="184731" cy="264560"/>
    <xdr:sp macro="" textlink="">
      <xdr:nvSpPr>
        <xdr:cNvPr id="20" name="TextBox 19">
          <a:extLst>
            <a:ext uri="{FF2B5EF4-FFF2-40B4-BE49-F238E27FC236}">
              <a16:creationId xmlns:a16="http://schemas.microsoft.com/office/drawing/2014/main" id="{D2B9152D-95F9-466C-AAB8-7FCCEE80D3B3}"/>
            </a:ext>
          </a:extLst>
        </xdr:cNvPr>
        <xdr:cNvSpPr txBox="1"/>
      </xdr:nvSpPr>
      <xdr:spPr>
        <a:xfrm>
          <a:off x="17678400" y="575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323850</xdr:colOff>
      <xdr:row>36</xdr:row>
      <xdr:rowOff>0</xdr:rowOff>
    </xdr:from>
    <xdr:ext cx="184731" cy="264560"/>
    <xdr:sp macro="" textlink="">
      <xdr:nvSpPr>
        <xdr:cNvPr id="21" name="TextBox 20">
          <a:extLst>
            <a:ext uri="{FF2B5EF4-FFF2-40B4-BE49-F238E27FC236}">
              <a16:creationId xmlns:a16="http://schemas.microsoft.com/office/drawing/2014/main" id="{828734FA-F060-44F7-966B-0CE5CAEC7954}"/>
            </a:ext>
          </a:extLst>
        </xdr:cNvPr>
        <xdr:cNvSpPr txBox="1"/>
      </xdr:nvSpPr>
      <xdr:spPr>
        <a:xfrm>
          <a:off x="17678400" y="1041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323850</xdr:colOff>
      <xdr:row>41</xdr:row>
      <xdr:rowOff>0</xdr:rowOff>
    </xdr:from>
    <xdr:ext cx="184731" cy="264560"/>
    <xdr:sp macro="" textlink="">
      <xdr:nvSpPr>
        <xdr:cNvPr id="22" name="TextBox 21">
          <a:extLst>
            <a:ext uri="{FF2B5EF4-FFF2-40B4-BE49-F238E27FC236}">
              <a16:creationId xmlns:a16="http://schemas.microsoft.com/office/drawing/2014/main" id="{8C50D6ED-5A22-422B-A3DA-E7B2263D3796}"/>
            </a:ext>
          </a:extLst>
        </xdr:cNvPr>
        <xdr:cNvSpPr txBox="1"/>
      </xdr:nvSpPr>
      <xdr:spPr>
        <a:xfrm>
          <a:off x="17678400" y="15252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4</xdr:col>
      <xdr:colOff>323850</xdr:colOff>
      <xdr:row>16</xdr:row>
      <xdr:rowOff>0</xdr:rowOff>
    </xdr:from>
    <xdr:ext cx="184731" cy="264560"/>
    <xdr:sp macro="" textlink="">
      <xdr:nvSpPr>
        <xdr:cNvPr id="2" name="TextBox 1">
          <a:extLst>
            <a:ext uri="{FF2B5EF4-FFF2-40B4-BE49-F238E27FC236}">
              <a16:creationId xmlns:a16="http://schemas.microsoft.com/office/drawing/2014/main" id="{AED60DC2-4C87-4F37-B463-6DDCDDD047D5}"/>
            </a:ext>
          </a:extLst>
        </xdr:cNvPr>
        <xdr:cNvSpPr txBox="1"/>
      </xdr:nvSpPr>
      <xdr:spPr>
        <a:xfrm>
          <a:off x="7286625" y="5648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16</xdr:row>
      <xdr:rowOff>0</xdr:rowOff>
    </xdr:from>
    <xdr:ext cx="184731" cy="264560"/>
    <xdr:sp macro="" textlink="">
      <xdr:nvSpPr>
        <xdr:cNvPr id="3" name="TextBox 2">
          <a:extLst>
            <a:ext uri="{FF2B5EF4-FFF2-40B4-BE49-F238E27FC236}">
              <a16:creationId xmlns:a16="http://schemas.microsoft.com/office/drawing/2014/main" id="{246D7778-3A6F-40F5-91A5-0BE4B75592CF}"/>
            </a:ext>
          </a:extLst>
        </xdr:cNvPr>
        <xdr:cNvSpPr txBox="1"/>
      </xdr:nvSpPr>
      <xdr:spPr>
        <a:xfrm>
          <a:off x="10515600" y="5648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323850</xdr:colOff>
      <xdr:row>16</xdr:row>
      <xdr:rowOff>0</xdr:rowOff>
    </xdr:from>
    <xdr:ext cx="184731" cy="264560"/>
    <xdr:sp macro="" textlink="">
      <xdr:nvSpPr>
        <xdr:cNvPr id="4" name="TextBox 3">
          <a:extLst>
            <a:ext uri="{FF2B5EF4-FFF2-40B4-BE49-F238E27FC236}">
              <a16:creationId xmlns:a16="http://schemas.microsoft.com/office/drawing/2014/main" id="{8A5D6E0C-510C-41E6-8857-0E8AA20FA43F}"/>
            </a:ext>
          </a:extLst>
        </xdr:cNvPr>
        <xdr:cNvSpPr txBox="1"/>
      </xdr:nvSpPr>
      <xdr:spPr>
        <a:xfrm>
          <a:off x="14125575" y="5648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16</xdr:row>
      <xdr:rowOff>0</xdr:rowOff>
    </xdr:from>
    <xdr:ext cx="184731" cy="264560"/>
    <xdr:sp macro="" textlink="">
      <xdr:nvSpPr>
        <xdr:cNvPr id="5" name="TextBox 4">
          <a:extLst>
            <a:ext uri="{FF2B5EF4-FFF2-40B4-BE49-F238E27FC236}">
              <a16:creationId xmlns:a16="http://schemas.microsoft.com/office/drawing/2014/main" id="{CF79544A-AB26-4CA9-A60B-9F5482517D58}"/>
            </a:ext>
          </a:extLst>
        </xdr:cNvPr>
        <xdr:cNvSpPr txBox="1"/>
      </xdr:nvSpPr>
      <xdr:spPr>
        <a:xfrm>
          <a:off x="20040600" y="5648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16</xdr:row>
      <xdr:rowOff>0</xdr:rowOff>
    </xdr:from>
    <xdr:ext cx="184731" cy="264560"/>
    <xdr:sp macro="" textlink="">
      <xdr:nvSpPr>
        <xdr:cNvPr id="6" name="TextBox 5">
          <a:extLst>
            <a:ext uri="{FF2B5EF4-FFF2-40B4-BE49-F238E27FC236}">
              <a16:creationId xmlns:a16="http://schemas.microsoft.com/office/drawing/2014/main" id="{D99EFA7D-87D4-4ADC-BF5A-9E49AB4AA31E}"/>
            </a:ext>
          </a:extLst>
        </xdr:cNvPr>
        <xdr:cNvSpPr txBox="1"/>
      </xdr:nvSpPr>
      <xdr:spPr>
        <a:xfrm>
          <a:off x="20040600" y="5648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16</xdr:row>
      <xdr:rowOff>0</xdr:rowOff>
    </xdr:from>
    <xdr:ext cx="184731" cy="264560"/>
    <xdr:sp macro="" textlink="">
      <xdr:nvSpPr>
        <xdr:cNvPr id="7" name="TextBox 6">
          <a:extLst>
            <a:ext uri="{FF2B5EF4-FFF2-40B4-BE49-F238E27FC236}">
              <a16:creationId xmlns:a16="http://schemas.microsoft.com/office/drawing/2014/main" id="{E6AFA5E7-C9D5-47FC-9E23-CE312466D09E}"/>
            </a:ext>
          </a:extLst>
        </xdr:cNvPr>
        <xdr:cNvSpPr txBox="1"/>
      </xdr:nvSpPr>
      <xdr:spPr>
        <a:xfrm>
          <a:off x="20040600" y="5648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323850</xdr:colOff>
      <xdr:row>36</xdr:row>
      <xdr:rowOff>0</xdr:rowOff>
    </xdr:from>
    <xdr:ext cx="184731" cy="264560"/>
    <xdr:sp macro="" textlink="">
      <xdr:nvSpPr>
        <xdr:cNvPr id="8" name="TextBox 7">
          <a:extLst>
            <a:ext uri="{FF2B5EF4-FFF2-40B4-BE49-F238E27FC236}">
              <a16:creationId xmlns:a16="http://schemas.microsoft.com/office/drawing/2014/main" id="{377068BE-DBC3-4082-9E25-CC0527ED3087}"/>
            </a:ext>
          </a:extLst>
        </xdr:cNvPr>
        <xdr:cNvSpPr txBox="1"/>
      </xdr:nvSpPr>
      <xdr:spPr>
        <a:xfrm>
          <a:off x="7286625" y="1179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36</xdr:row>
      <xdr:rowOff>0</xdr:rowOff>
    </xdr:from>
    <xdr:ext cx="184731" cy="264560"/>
    <xdr:sp macro="" textlink="">
      <xdr:nvSpPr>
        <xdr:cNvPr id="9" name="TextBox 8">
          <a:extLst>
            <a:ext uri="{FF2B5EF4-FFF2-40B4-BE49-F238E27FC236}">
              <a16:creationId xmlns:a16="http://schemas.microsoft.com/office/drawing/2014/main" id="{5596303E-67AD-49D8-A99C-9E8B61C66019}"/>
            </a:ext>
          </a:extLst>
        </xdr:cNvPr>
        <xdr:cNvSpPr txBox="1"/>
      </xdr:nvSpPr>
      <xdr:spPr>
        <a:xfrm>
          <a:off x="10515600" y="1179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323850</xdr:colOff>
      <xdr:row>36</xdr:row>
      <xdr:rowOff>0</xdr:rowOff>
    </xdr:from>
    <xdr:ext cx="184731" cy="264560"/>
    <xdr:sp macro="" textlink="">
      <xdr:nvSpPr>
        <xdr:cNvPr id="10" name="TextBox 9">
          <a:extLst>
            <a:ext uri="{FF2B5EF4-FFF2-40B4-BE49-F238E27FC236}">
              <a16:creationId xmlns:a16="http://schemas.microsoft.com/office/drawing/2014/main" id="{42EAAB90-B89A-4CBF-A484-F089C8E1856B}"/>
            </a:ext>
          </a:extLst>
        </xdr:cNvPr>
        <xdr:cNvSpPr txBox="1"/>
      </xdr:nvSpPr>
      <xdr:spPr>
        <a:xfrm>
          <a:off x="14125575" y="1179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36</xdr:row>
      <xdr:rowOff>0</xdr:rowOff>
    </xdr:from>
    <xdr:ext cx="184731" cy="264560"/>
    <xdr:sp macro="" textlink="">
      <xdr:nvSpPr>
        <xdr:cNvPr id="11" name="TextBox 10">
          <a:extLst>
            <a:ext uri="{FF2B5EF4-FFF2-40B4-BE49-F238E27FC236}">
              <a16:creationId xmlns:a16="http://schemas.microsoft.com/office/drawing/2014/main" id="{9C7E7CC4-7E50-43A1-A433-D3ADBC615B0A}"/>
            </a:ext>
          </a:extLst>
        </xdr:cNvPr>
        <xdr:cNvSpPr txBox="1"/>
      </xdr:nvSpPr>
      <xdr:spPr>
        <a:xfrm>
          <a:off x="20040600" y="1179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36</xdr:row>
      <xdr:rowOff>0</xdr:rowOff>
    </xdr:from>
    <xdr:ext cx="184731" cy="264560"/>
    <xdr:sp macro="" textlink="">
      <xdr:nvSpPr>
        <xdr:cNvPr id="12" name="TextBox 11">
          <a:extLst>
            <a:ext uri="{FF2B5EF4-FFF2-40B4-BE49-F238E27FC236}">
              <a16:creationId xmlns:a16="http://schemas.microsoft.com/office/drawing/2014/main" id="{146AB658-D032-415E-A365-131DB4428F5E}"/>
            </a:ext>
          </a:extLst>
        </xdr:cNvPr>
        <xdr:cNvSpPr txBox="1"/>
      </xdr:nvSpPr>
      <xdr:spPr>
        <a:xfrm>
          <a:off x="20040600" y="1179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36</xdr:row>
      <xdr:rowOff>0</xdr:rowOff>
    </xdr:from>
    <xdr:ext cx="184731" cy="264560"/>
    <xdr:sp macro="" textlink="">
      <xdr:nvSpPr>
        <xdr:cNvPr id="13" name="TextBox 12">
          <a:extLst>
            <a:ext uri="{FF2B5EF4-FFF2-40B4-BE49-F238E27FC236}">
              <a16:creationId xmlns:a16="http://schemas.microsoft.com/office/drawing/2014/main" id="{079407FD-2A6F-41E6-AEA5-A9068D9829E1}"/>
            </a:ext>
          </a:extLst>
        </xdr:cNvPr>
        <xdr:cNvSpPr txBox="1"/>
      </xdr:nvSpPr>
      <xdr:spPr>
        <a:xfrm>
          <a:off x="20040600" y="1179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323850</xdr:colOff>
      <xdr:row>55</xdr:row>
      <xdr:rowOff>0</xdr:rowOff>
    </xdr:from>
    <xdr:ext cx="184731" cy="264560"/>
    <xdr:sp macro="" textlink="">
      <xdr:nvSpPr>
        <xdr:cNvPr id="14" name="TextBox 13">
          <a:extLst>
            <a:ext uri="{FF2B5EF4-FFF2-40B4-BE49-F238E27FC236}">
              <a16:creationId xmlns:a16="http://schemas.microsoft.com/office/drawing/2014/main" id="{A550AB23-F980-43A4-A93E-68B7182B6BDF}"/>
            </a:ext>
          </a:extLst>
        </xdr:cNvPr>
        <xdr:cNvSpPr txBox="1"/>
      </xdr:nvSpPr>
      <xdr:spPr>
        <a:xfrm>
          <a:off x="7286625" y="18097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55</xdr:row>
      <xdr:rowOff>0</xdr:rowOff>
    </xdr:from>
    <xdr:ext cx="184731" cy="264560"/>
    <xdr:sp macro="" textlink="">
      <xdr:nvSpPr>
        <xdr:cNvPr id="15" name="TextBox 14">
          <a:extLst>
            <a:ext uri="{FF2B5EF4-FFF2-40B4-BE49-F238E27FC236}">
              <a16:creationId xmlns:a16="http://schemas.microsoft.com/office/drawing/2014/main" id="{7CE219F1-9AA5-410C-91A0-E0BBF8F2E40F}"/>
            </a:ext>
          </a:extLst>
        </xdr:cNvPr>
        <xdr:cNvSpPr txBox="1"/>
      </xdr:nvSpPr>
      <xdr:spPr>
        <a:xfrm>
          <a:off x="10515600" y="18097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323850</xdr:colOff>
      <xdr:row>55</xdr:row>
      <xdr:rowOff>0</xdr:rowOff>
    </xdr:from>
    <xdr:ext cx="184731" cy="264560"/>
    <xdr:sp macro="" textlink="">
      <xdr:nvSpPr>
        <xdr:cNvPr id="16" name="TextBox 15">
          <a:extLst>
            <a:ext uri="{FF2B5EF4-FFF2-40B4-BE49-F238E27FC236}">
              <a16:creationId xmlns:a16="http://schemas.microsoft.com/office/drawing/2014/main" id="{05B34BB1-2FF6-47D1-94FA-AC0FB097BECE}"/>
            </a:ext>
          </a:extLst>
        </xdr:cNvPr>
        <xdr:cNvSpPr txBox="1"/>
      </xdr:nvSpPr>
      <xdr:spPr>
        <a:xfrm>
          <a:off x="14125575" y="18097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55</xdr:row>
      <xdr:rowOff>0</xdr:rowOff>
    </xdr:from>
    <xdr:ext cx="184731" cy="264560"/>
    <xdr:sp macro="" textlink="">
      <xdr:nvSpPr>
        <xdr:cNvPr id="17" name="TextBox 16">
          <a:extLst>
            <a:ext uri="{FF2B5EF4-FFF2-40B4-BE49-F238E27FC236}">
              <a16:creationId xmlns:a16="http://schemas.microsoft.com/office/drawing/2014/main" id="{DBCDF27E-3442-4F82-B0B0-2EF2CB7976AB}"/>
            </a:ext>
          </a:extLst>
        </xdr:cNvPr>
        <xdr:cNvSpPr txBox="1"/>
      </xdr:nvSpPr>
      <xdr:spPr>
        <a:xfrm>
          <a:off x="20040600" y="18097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55</xdr:row>
      <xdr:rowOff>0</xdr:rowOff>
    </xdr:from>
    <xdr:ext cx="184731" cy="264560"/>
    <xdr:sp macro="" textlink="">
      <xdr:nvSpPr>
        <xdr:cNvPr id="18" name="TextBox 17">
          <a:extLst>
            <a:ext uri="{FF2B5EF4-FFF2-40B4-BE49-F238E27FC236}">
              <a16:creationId xmlns:a16="http://schemas.microsoft.com/office/drawing/2014/main" id="{3BA682A6-7341-439D-BD2F-C70A8D00DC48}"/>
            </a:ext>
          </a:extLst>
        </xdr:cNvPr>
        <xdr:cNvSpPr txBox="1"/>
      </xdr:nvSpPr>
      <xdr:spPr>
        <a:xfrm>
          <a:off x="20040600" y="18097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55</xdr:row>
      <xdr:rowOff>0</xdr:rowOff>
    </xdr:from>
    <xdr:ext cx="184731" cy="264560"/>
    <xdr:sp macro="" textlink="">
      <xdr:nvSpPr>
        <xdr:cNvPr id="19" name="TextBox 18">
          <a:extLst>
            <a:ext uri="{FF2B5EF4-FFF2-40B4-BE49-F238E27FC236}">
              <a16:creationId xmlns:a16="http://schemas.microsoft.com/office/drawing/2014/main" id="{D954F31D-4524-4701-AF7D-7A6E8BD1F014}"/>
            </a:ext>
          </a:extLst>
        </xdr:cNvPr>
        <xdr:cNvSpPr txBox="1"/>
      </xdr:nvSpPr>
      <xdr:spPr>
        <a:xfrm>
          <a:off x="20040600" y="18097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323850</xdr:colOff>
      <xdr:row>16</xdr:row>
      <xdr:rowOff>0</xdr:rowOff>
    </xdr:from>
    <xdr:ext cx="184731" cy="264560"/>
    <xdr:sp macro="" textlink="">
      <xdr:nvSpPr>
        <xdr:cNvPr id="20" name="TextBox 19">
          <a:extLst>
            <a:ext uri="{FF2B5EF4-FFF2-40B4-BE49-F238E27FC236}">
              <a16:creationId xmlns:a16="http://schemas.microsoft.com/office/drawing/2014/main" id="{3CCAA733-E746-425C-BEB8-812F829473AB}"/>
            </a:ext>
          </a:extLst>
        </xdr:cNvPr>
        <xdr:cNvSpPr txBox="1"/>
      </xdr:nvSpPr>
      <xdr:spPr>
        <a:xfrm>
          <a:off x="17211675" y="5648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323850</xdr:colOff>
      <xdr:row>36</xdr:row>
      <xdr:rowOff>0</xdr:rowOff>
    </xdr:from>
    <xdr:ext cx="184731" cy="264560"/>
    <xdr:sp macro="" textlink="">
      <xdr:nvSpPr>
        <xdr:cNvPr id="21" name="TextBox 20">
          <a:extLst>
            <a:ext uri="{FF2B5EF4-FFF2-40B4-BE49-F238E27FC236}">
              <a16:creationId xmlns:a16="http://schemas.microsoft.com/office/drawing/2014/main" id="{846477EC-25A4-4C60-B689-C4C79FFD49B1}"/>
            </a:ext>
          </a:extLst>
        </xdr:cNvPr>
        <xdr:cNvSpPr txBox="1"/>
      </xdr:nvSpPr>
      <xdr:spPr>
        <a:xfrm>
          <a:off x="17211675" y="1179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323850</xdr:colOff>
      <xdr:row>55</xdr:row>
      <xdr:rowOff>0</xdr:rowOff>
    </xdr:from>
    <xdr:ext cx="184731" cy="264560"/>
    <xdr:sp macro="" textlink="">
      <xdr:nvSpPr>
        <xdr:cNvPr id="22" name="TextBox 21">
          <a:extLst>
            <a:ext uri="{FF2B5EF4-FFF2-40B4-BE49-F238E27FC236}">
              <a16:creationId xmlns:a16="http://schemas.microsoft.com/office/drawing/2014/main" id="{61A5BCAA-998B-4291-A032-FAE541D39C44}"/>
            </a:ext>
          </a:extLst>
        </xdr:cNvPr>
        <xdr:cNvSpPr txBox="1"/>
      </xdr:nvSpPr>
      <xdr:spPr>
        <a:xfrm>
          <a:off x="17211675" y="18097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323850</xdr:colOff>
      <xdr:row>76</xdr:row>
      <xdr:rowOff>0</xdr:rowOff>
    </xdr:from>
    <xdr:ext cx="184731" cy="264560"/>
    <xdr:sp macro="" textlink="">
      <xdr:nvSpPr>
        <xdr:cNvPr id="23" name="TextBox 22">
          <a:extLst>
            <a:ext uri="{FF2B5EF4-FFF2-40B4-BE49-F238E27FC236}">
              <a16:creationId xmlns:a16="http://schemas.microsoft.com/office/drawing/2014/main" id="{7EB832A6-7A28-41AB-A885-62DD164E8ABB}"/>
            </a:ext>
          </a:extLst>
        </xdr:cNvPr>
        <xdr:cNvSpPr txBox="1"/>
      </xdr:nvSpPr>
      <xdr:spPr>
        <a:xfrm>
          <a:off x="7286625" y="25650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323850</xdr:colOff>
      <xdr:row>76</xdr:row>
      <xdr:rowOff>0</xdr:rowOff>
    </xdr:from>
    <xdr:ext cx="184731" cy="264560"/>
    <xdr:sp macro="" textlink="">
      <xdr:nvSpPr>
        <xdr:cNvPr id="24" name="TextBox 23">
          <a:extLst>
            <a:ext uri="{FF2B5EF4-FFF2-40B4-BE49-F238E27FC236}">
              <a16:creationId xmlns:a16="http://schemas.microsoft.com/office/drawing/2014/main" id="{56AC2931-05B4-4CB8-A2AB-72F7A0572939}"/>
            </a:ext>
          </a:extLst>
        </xdr:cNvPr>
        <xdr:cNvSpPr txBox="1"/>
      </xdr:nvSpPr>
      <xdr:spPr>
        <a:xfrm>
          <a:off x="10515600" y="25650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323850</xdr:colOff>
      <xdr:row>76</xdr:row>
      <xdr:rowOff>0</xdr:rowOff>
    </xdr:from>
    <xdr:ext cx="184731" cy="264560"/>
    <xdr:sp macro="" textlink="">
      <xdr:nvSpPr>
        <xdr:cNvPr id="25" name="TextBox 24">
          <a:extLst>
            <a:ext uri="{FF2B5EF4-FFF2-40B4-BE49-F238E27FC236}">
              <a16:creationId xmlns:a16="http://schemas.microsoft.com/office/drawing/2014/main" id="{4874E29B-45CD-4C3B-8073-439DD871A2FF}"/>
            </a:ext>
          </a:extLst>
        </xdr:cNvPr>
        <xdr:cNvSpPr txBox="1"/>
      </xdr:nvSpPr>
      <xdr:spPr>
        <a:xfrm>
          <a:off x="14125575" y="25650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76</xdr:row>
      <xdr:rowOff>0</xdr:rowOff>
    </xdr:from>
    <xdr:ext cx="184731" cy="264560"/>
    <xdr:sp macro="" textlink="">
      <xdr:nvSpPr>
        <xdr:cNvPr id="26" name="TextBox 25">
          <a:extLst>
            <a:ext uri="{FF2B5EF4-FFF2-40B4-BE49-F238E27FC236}">
              <a16:creationId xmlns:a16="http://schemas.microsoft.com/office/drawing/2014/main" id="{0CD8B07B-AD4A-4BFD-A1EC-ECFAB59B52A1}"/>
            </a:ext>
          </a:extLst>
        </xdr:cNvPr>
        <xdr:cNvSpPr txBox="1"/>
      </xdr:nvSpPr>
      <xdr:spPr>
        <a:xfrm>
          <a:off x="20040600" y="25650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76</xdr:row>
      <xdr:rowOff>0</xdr:rowOff>
    </xdr:from>
    <xdr:ext cx="184731" cy="264560"/>
    <xdr:sp macro="" textlink="">
      <xdr:nvSpPr>
        <xdr:cNvPr id="27" name="TextBox 26">
          <a:extLst>
            <a:ext uri="{FF2B5EF4-FFF2-40B4-BE49-F238E27FC236}">
              <a16:creationId xmlns:a16="http://schemas.microsoft.com/office/drawing/2014/main" id="{62B0F3F4-7165-4A97-B2EB-F39B8CBC5919}"/>
            </a:ext>
          </a:extLst>
        </xdr:cNvPr>
        <xdr:cNvSpPr txBox="1"/>
      </xdr:nvSpPr>
      <xdr:spPr>
        <a:xfrm>
          <a:off x="20040600" y="25650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76</xdr:row>
      <xdr:rowOff>0</xdr:rowOff>
    </xdr:from>
    <xdr:ext cx="184731" cy="264560"/>
    <xdr:sp macro="" textlink="">
      <xdr:nvSpPr>
        <xdr:cNvPr id="28" name="TextBox 27">
          <a:extLst>
            <a:ext uri="{FF2B5EF4-FFF2-40B4-BE49-F238E27FC236}">
              <a16:creationId xmlns:a16="http://schemas.microsoft.com/office/drawing/2014/main" id="{CBE51090-B786-46AB-B65D-42B046F9C7EB}"/>
            </a:ext>
          </a:extLst>
        </xdr:cNvPr>
        <xdr:cNvSpPr txBox="1"/>
      </xdr:nvSpPr>
      <xdr:spPr>
        <a:xfrm>
          <a:off x="20040600" y="25650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323850</xdr:colOff>
      <xdr:row>76</xdr:row>
      <xdr:rowOff>0</xdr:rowOff>
    </xdr:from>
    <xdr:ext cx="184731" cy="264560"/>
    <xdr:sp macro="" textlink="">
      <xdr:nvSpPr>
        <xdr:cNvPr id="29" name="TextBox 28">
          <a:extLst>
            <a:ext uri="{FF2B5EF4-FFF2-40B4-BE49-F238E27FC236}">
              <a16:creationId xmlns:a16="http://schemas.microsoft.com/office/drawing/2014/main" id="{8D4862EC-940D-468D-8C1C-B74B3F5F2413}"/>
            </a:ext>
          </a:extLst>
        </xdr:cNvPr>
        <xdr:cNvSpPr txBox="1"/>
      </xdr:nvSpPr>
      <xdr:spPr>
        <a:xfrm>
          <a:off x="17211675" y="25650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xdr:col>
      <xdr:colOff>34290</xdr:colOff>
      <xdr:row>6</xdr:row>
      <xdr:rowOff>3810</xdr:rowOff>
    </xdr:from>
    <xdr:to>
      <xdr:col>9</xdr:col>
      <xdr:colOff>339090</xdr:colOff>
      <xdr:row>22</xdr:row>
      <xdr:rowOff>64770</xdr:rowOff>
    </xdr:to>
    <xdr:graphicFrame macro="">
      <xdr:nvGraphicFramePr>
        <xdr:cNvPr id="2" name="Chart 1">
          <a:extLst>
            <a:ext uri="{FF2B5EF4-FFF2-40B4-BE49-F238E27FC236}">
              <a16:creationId xmlns:a16="http://schemas.microsoft.com/office/drawing/2014/main" id="{44073FE3-81AB-8A69-A932-386B293B1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2</xdr:col>
      <xdr:colOff>323850</xdr:colOff>
      <xdr:row>6</xdr:row>
      <xdr:rowOff>0</xdr:rowOff>
    </xdr:from>
    <xdr:ext cx="184731" cy="264560"/>
    <xdr:sp macro="" textlink="">
      <xdr:nvSpPr>
        <xdr:cNvPr id="2" name="TextBox 1">
          <a:extLst>
            <a:ext uri="{FF2B5EF4-FFF2-40B4-BE49-F238E27FC236}">
              <a16:creationId xmlns:a16="http://schemas.microsoft.com/office/drawing/2014/main" id="{B1142521-68ED-416E-813F-ECF69AC6E0C1}"/>
            </a:ext>
          </a:extLst>
        </xdr:cNvPr>
        <xdr:cNvSpPr txBox="1"/>
      </xdr:nvSpPr>
      <xdr:spPr>
        <a:xfrm>
          <a:off x="7372350" y="60731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323850</xdr:colOff>
      <xdr:row>6</xdr:row>
      <xdr:rowOff>0</xdr:rowOff>
    </xdr:from>
    <xdr:ext cx="184731" cy="264560"/>
    <xdr:sp macro="" textlink="">
      <xdr:nvSpPr>
        <xdr:cNvPr id="3" name="TextBox 2">
          <a:extLst>
            <a:ext uri="{FF2B5EF4-FFF2-40B4-BE49-F238E27FC236}">
              <a16:creationId xmlns:a16="http://schemas.microsoft.com/office/drawing/2014/main" id="{17D52B45-37CA-40F3-A85A-3BD0B277FB0D}"/>
            </a:ext>
          </a:extLst>
        </xdr:cNvPr>
        <xdr:cNvSpPr txBox="1"/>
      </xdr:nvSpPr>
      <xdr:spPr>
        <a:xfrm>
          <a:off x="10839450" y="60731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323850</xdr:colOff>
      <xdr:row>6</xdr:row>
      <xdr:rowOff>0</xdr:rowOff>
    </xdr:from>
    <xdr:ext cx="184731" cy="264560"/>
    <xdr:sp macro="" textlink="">
      <xdr:nvSpPr>
        <xdr:cNvPr id="4" name="TextBox 3">
          <a:extLst>
            <a:ext uri="{FF2B5EF4-FFF2-40B4-BE49-F238E27FC236}">
              <a16:creationId xmlns:a16="http://schemas.microsoft.com/office/drawing/2014/main" id="{415AC097-28D2-415D-A45E-40AAAA5521BA}"/>
            </a:ext>
          </a:extLst>
        </xdr:cNvPr>
        <xdr:cNvSpPr txBox="1"/>
      </xdr:nvSpPr>
      <xdr:spPr>
        <a:xfrm>
          <a:off x="14733270" y="60731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323850</xdr:colOff>
      <xdr:row>6</xdr:row>
      <xdr:rowOff>0</xdr:rowOff>
    </xdr:from>
    <xdr:ext cx="184731" cy="264560"/>
    <xdr:sp macro="" textlink="">
      <xdr:nvSpPr>
        <xdr:cNvPr id="5" name="TextBox 4">
          <a:extLst>
            <a:ext uri="{FF2B5EF4-FFF2-40B4-BE49-F238E27FC236}">
              <a16:creationId xmlns:a16="http://schemas.microsoft.com/office/drawing/2014/main" id="{A56C3EA5-C80A-4C02-A1E7-326B9526CDFF}"/>
            </a:ext>
          </a:extLst>
        </xdr:cNvPr>
        <xdr:cNvSpPr txBox="1"/>
      </xdr:nvSpPr>
      <xdr:spPr>
        <a:xfrm>
          <a:off x="18009870" y="60731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323850</xdr:colOff>
      <xdr:row>13</xdr:row>
      <xdr:rowOff>0</xdr:rowOff>
    </xdr:from>
    <xdr:ext cx="184731" cy="264560"/>
    <xdr:sp macro="" textlink="">
      <xdr:nvSpPr>
        <xdr:cNvPr id="6" name="TextBox 5">
          <a:extLst>
            <a:ext uri="{FF2B5EF4-FFF2-40B4-BE49-F238E27FC236}">
              <a16:creationId xmlns:a16="http://schemas.microsoft.com/office/drawing/2014/main" id="{29F56D90-E34F-4DC2-A396-F983D6813E13}"/>
            </a:ext>
          </a:extLst>
        </xdr:cNvPr>
        <xdr:cNvSpPr txBox="1"/>
      </xdr:nvSpPr>
      <xdr:spPr>
        <a:xfrm>
          <a:off x="5030321" y="120127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323850</xdr:colOff>
      <xdr:row>14</xdr:row>
      <xdr:rowOff>0</xdr:rowOff>
    </xdr:from>
    <xdr:ext cx="184731" cy="264560"/>
    <xdr:sp macro="" textlink="">
      <xdr:nvSpPr>
        <xdr:cNvPr id="7" name="TextBox 6">
          <a:extLst>
            <a:ext uri="{FF2B5EF4-FFF2-40B4-BE49-F238E27FC236}">
              <a16:creationId xmlns:a16="http://schemas.microsoft.com/office/drawing/2014/main" id="{81621F29-1472-4D82-B058-053FB3DCF55A}"/>
            </a:ext>
          </a:extLst>
        </xdr:cNvPr>
        <xdr:cNvSpPr txBox="1"/>
      </xdr:nvSpPr>
      <xdr:spPr>
        <a:xfrm>
          <a:off x="5030321" y="120127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323850</xdr:colOff>
      <xdr:row>22</xdr:row>
      <xdr:rowOff>0</xdr:rowOff>
    </xdr:from>
    <xdr:ext cx="184731" cy="264560"/>
    <xdr:sp macro="" textlink="">
      <xdr:nvSpPr>
        <xdr:cNvPr id="8" name="TextBox 7">
          <a:extLst>
            <a:ext uri="{FF2B5EF4-FFF2-40B4-BE49-F238E27FC236}">
              <a16:creationId xmlns:a16="http://schemas.microsoft.com/office/drawing/2014/main" id="{7BBA243F-1458-4AF5-B1A9-B3F993DE17AF}"/>
            </a:ext>
          </a:extLst>
        </xdr:cNvPr>
        <xdr:cNvSpPr txBox="1"/>
      </xdr:nvSpPr>
      <xdr:spPr>
        <a:xfrm>
          <a:off x="5030321" y="2832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323850</xdr:colOff>
      <xdr:row>30</xdr:row>
      <xdr:rowOff>0</xdr:rowOff>
    </xdr:from>
    <xdr:ext cx="184731" cy="264560"/>
    <xdr:sp macro="" textlink="">
      <xdr:nvSpPr>
        <xdr:cNvPr id="9" name="TextBox 8">
          <a:extLst>
            <a:ext uri="{FF2B5EF4-FFF2-40B4-BE49-F238E27FC236}">
              <a16:creationId xmlns:a16="http://schemas.microsoft.com/office/drawing/2014/main" id="{4D18C511-E9AD-4ACA-A11C-0AA0FC1A7A08}"/>
            </a:ext>
          </a:extLst>
        </xdr:cNvPr>
        <xdr:cNvSpPr txBox="1"/>
      </xdr:nvSpPr>
      <xdr:spPr>
        <a:xfrm>
          <a:off x="5030321" y="49664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p-cloud.kp.org/personal/james_a_clarke_kp_org/Documents/Mid%20Large%20%20RFP/2023%20RFP/Q3%202023/McCrea%20Equipment%2010.1.2023/2023%20MBPT_McCrea%20Equipment%20Company%20LLC%20II.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Panel"/>
      <sheetName val="UWINPUT"/>
      <sheetName val="Prospect NPS Load"/>
      <sheetName val="Plan Selector"/>
      <sheetName val="Summary"/>
      <sheetName val="Tables"/>
      <sheetName val="2022 Benefits Summary"/>
      <sheetName val="Rider Table"/>
      <sheetName val="Non-Rider Rx"/>
      <sheetName val="Master RX Rider Table VADC"/>
      <sheetName val="Master RX Rider Table MD"/>
      <sheetName val="Ben. For Plan Selector"/>
      <sheetName val="Assumptions Total Replacement"/>
      <sheetName val="Assumptions Slice"/>
      <sheetName val="CheckBoxTest"/>
    </sheetNames>
    <sheetDataSet>
      <sheetData sheetId="0" refreshError="1"/>
      <sheetData sheetId="1">
        <row r="2">
          <cell r="D2" t="str">
            <v>MD</v>
          </cell>
        </row>
        <row r="12">
          <cell r="D12">
            <v>298</v>
          </cell>
        </row>
        <row r="16">
          <cell r="D16">
            <v>0</v>
          </cell>
        </row>
        <row r="20">
          <cell r="D20">
            <v>0.03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raziq" refreshedDate="45151.786872337965" createdVersion="8" refreshedVersion="8" minRefreshableVersion="3" recordCount="32" xr:uid="{C53A7E55-3A2B-4AD1-ACBA-48C1DFA20E32}">
  <cacheSource type="worksheet">
    <worksheetSource name="Sheet1__2"/>
  </cacheSource>
  <cacheFields count="13">
    <cacheField name="Tier " numFmtId="0">
      <sharedItems count="8">
        <s v="Subcriber Only "/>
        <s v="Subcriber&amp; Spouse"/>
        <s v="Subcriber Child(ren)"/>
        <s v="Family"/>
        <s v="Total Monthly Premium"/>
        <s v="Annual Premium"/>
        <s v="$ Annual Change from Current"/>
        <s v="% Annual Change from Current"/>
      </sharedItems>
    </cacheField>
    <cacheField name="Enrollment " numFmtId="0">
      <sharedItems containsString="0" containsBlank="1" containsNumber="1" containsInteger="1" minValue="1" maxValue="63"/>
    </cacheField>
    <cacheField name="Plan Name-Current " numFmtId="0">
      <sharedItems containsSemiMixedTypes="0" containsString="0" containsNumber="1" containsInteger="1" minValue="0" maxValue="234660"/>
    </cacheField>
    <cacheField name="Plan Name-Renewal  " numFmtId="0">
      <sharedItems containsSemiMixedTypes="0" containsString="0" containsNumber="1" minValue="0" maxValue="605415"/>
    </cacheField>
    <cacheField name="KP Plan Name vs Current  " numFmtId="0">
      <sharedItems containsSemiMixedTypes="0" containsString="0" containsNumber="1" minValue="0" maxValue="634858.19999999995"/>
    </cacheField>
    <cacheField name="KP Plan Name vs Renewal  " numFmtId="0">
      <sharedItems containsSemiMixedTypes="0" containsString="0" containsNumber="1" minValue="-36209.760000000009" maxValue="634858.19999999995"/>
    </cacheField>
    <cacheField name="Employeer Plan Name Current" numFmtId="0">
      <sharedItems containsString="0" containsBlank="1" containsNumber="1" minValue="0" maxValue="908.24250000000006" count="6">
        <n v="0"/>
        <m/>
        <n v="336.62760000000003"/>
        <n v="627.077"/>
        <n v="583.91300000000001"/>
        <n v="908.24250000000006"/>
      </sharedItems>
    </cacheField>
    <cacheField name="Employee Plan Name Current " numFmtId="0">
      <sharedItems containsString="0" containsBlank="1" containsNumber="1" minValue="0" maxValue="606.75749999999994" count="6">
        <n v="0"/>
        <m/>
        <n v="152.37239999999997"/>
        <n v="418.923"/>
        <n v="390.08699999999999"/>
        <n v="606.75749999999994"/>
      </sharedItems>
    </cacheField>
    <cacheField name="Employeer Plan Name Renewal" numFmtId="0">
      <sharedItems containsString="0" containsBlank="1" containsNumber="1" minValue="342.27247999999997" maxValue="1387.4556525"/>
    </cacheField>
    <cacheField name="Employee Plan Name Renewal " numFmtId="0">
      <sharedItems containsString="0" containsBlank="1" containsNumber="1" minValue="154.92752000000002" maxValue="925.93434749999983"/>
    </cacheField>
    <cacheField name="Employer KP Plan Name vs Current " numFmtId="0">
      <sharedItems containsString="0" containsBlank="1" containsNumber="1" minValue="354.64991199999997" maxValue="1292.7431325"/>
    </cacheField>
    <cacheField name="Employee KP Plan Name vs Renewal" numFmtId="0">
      <sharedItems containsString="0" containsBlank="1" containsNumber="1" minValue="160.53008799999998" maxValue="862.7268674999998"/>
    </cacheField>
    <cacheField name="Option " numFmtId="0">
      <sharedItems containsSemiMixedTypes="0" containsString="0" containsNumber="1" containsInteger="1" minValue="1" maxValue="4" count="4">
        <n v="1"/>
        <n v="2"/>
        <n v="3"/>
        <n v="4"/>
      </sharedItems>
    </cacheField>
  </cacheFields>
  <extLst>
    <ext xmlns:x14="http://schemas.microsoft.com/office/spreadsheetml/2009/9/main" uri="{725AE2AE-9491-48be-B2B4-4EB974FC3084}">
      <x14:pivotCacheDefinition pivotCacheId="17559405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raziq" refreshedDate="45152.001096527776" createdVersion="8" refreshedVersion="8" minRefreshableVersion="3" recordCount="3" xr:uid="{2CAC4D93-8B3A-4A95-9C34-A9425870CB70}">
  <cacheSource type="worksheet">
    <worksheetSource name="Table4"/>
  </cacheSource>
  <cacheFields count="2">
    <cacheField name="Prjected Years" numFmtId="0">
      <sharedItems count="3">
        <s v="2020 Premium"/>
        <s v="2021 Premium"/>
        <s v="2022 Premium"/>
      </sharedItems>
    </cacheField>
    <cacheField name="Projected Values" numFmtId="164">
      <sharedItems containsSemiMixedTypes="0" containsString="0" containsNumber="1" minValue="1745466.36" maxValue="2112014.2956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n v="30"/>
    <n v="0"/>
    <n v="746.26"/>
    <n v="695.31"/>
    <n v="695.31"/>
    <x v="0"/>
    <x v="0"/>
    <n v="513.72538399999996"/>
    <n v="232.53461600000003"/>
    <n v="478.92952799999995"/>
    <n v="216.380472"/>
    <x v="0"/>
  </r>
  <r>
    <x v="1"/>
    <n v="6"/>
    <n v="0"/>
    <n v="1596.98"/>
    <n v="1487.97"/>
    <n v="1487.97"/>
    <x v="0"/>
    <x v="0"/>
    <n v="957.78875500000004"/>
    <n v="639.19124499999998"/>
    <n v="892.41000750000001"/>
    <n v="595.55999250000002"/>
    <x v="0"/>
  </r>
  <r>
    <x v="2"/>
    <n v="2"/>
    <n v="0"/>
    <n v="1488.77"/>
    <n v="1387.15"/>
    <n v="1387.15"/>
    <x v="0"/>
    <x v="0"/>
    <n v="892.88980749999996"/>
    <n v="595.88019250000002"/>
    <n v="831.94321250000007"/>
    <n v="555.20678750000002"/>
    <x v="0"/>
  </r>
  <r>
    <x v="3"/>
    <n v="4"/>
    <n v="0"/>
    <n v="2313.39"/>
    <n v="2155.4699999999998"/>
    <n v="2155.4699999999998"/>
    <x v="0"/>
    <x v="0"/>
    <n v="1387.4556525"/>
    <n v="925.93434749999983"/>
    <n v="1292.7431325"/>
    <n v="862.7268674999998"/>
    <x v="0"/>
  </r>
  <r>
    <x v="4"/>
    <n v="42"/>
    <n v="0"/>
    <n v="44200.78"/>
    <n v="41183.299999999996"/>
    <n v="41183.299999999996"/>
    <x v="1"/>
    <x v="1"/>
    <m/>
    <m/>
    <m/>
    <m/>
    <x v="0"/>
  </r>
  <r>
    <x v="5"/>
    <m/>
    <n v="0"/>
    <n v="530409.36"/>
    <n v="494199.6"/>
    <n v="494199.6"/>
    <x v="1"/>
    <x v="1"/>
    <m/>
    <m/>
    <m/>
    <m/>
    <x v="0"/>
  </r>
  <r>
    <x v="6"/>
    <m/>
    <n v="0"/>
    <n v="530409.36"/>
    <n v="494199.6"/>
    <n v="-36209.760000000009"/>
    <x v="1"/>
    <x v="1"/>
    <m/>
    <m/>
    <m/>
    <m/>
    <x v="0"/>
  </r>
  <r>
    <x v="7"/>
    <m/>
    <n v="0"/>
    <n v="0"/>
    <n v="0"/>
    <n v="-6.8267573558656675E-2"/>
    <x v="1"/>
    <x v="1"/>
    <m/>
    <m/>
    <m/>
    <m/>
    <x v="0"/>
  </r>
  <r>
    <x v="0"/>
    <n v="19"/>
    <n v="0"/>
    <n v="497.2"/>
    <n v="515.17999999999995"/>
    <n v="515.17999999999995"/>
    <x v="0"/>
    <x v="0"/>
    <n v="342.27247999999997"/>
    <n v="154.92752000000002"/>
    <n v="354.64991199999997"/>
    <n v="160.53008799999998"/>
    <x v="1"/>
  </r>
  <r>
    <x v="1"/>
    <n v="2"/>
    <n v="0"/>
    <n v="1063.99"/>
    <n v="1102.49"/>
    <n v="1102.49"/>
    <x v="0"/>
    <x v="0"/>
    <n v="638.12800249999998"/>
    <n v="425.86199750000003"/>
    <n v="661.21837749999997"/>
    <n v="441.27162250000003"/>
    <x v="1"/>
  </r>
  <r>
    <x v="2"/>
    <n v="3"/>
    <n v="0"/>
    <n v="991.9"/>
    <n v="1027.79"/>
    <n v="1027.79"/>
    <x v="0"/>
    <x v="0"/>
    <n v="594.89202499999999"/>
    <n v="397.00797499999999"/>
    <n v="616.41705249999995"/>
    <n v="411.37294750000001"/>
    <x v="1"/>
  </r>
  <r>
    <x v="3"/>
    <n v="1"/>
    <n v="0"/>
    <n v="1541.3"/>
    <n v="1597.07"/>
    <n v="1597.07"/>
    <x v="0"/>
    <x v="0"/>
    <n v="924.39467500000001"/>
    <n v="616.90532499999995"/>
    <n v="957.84273250000001"/>
    <n v="639.22726749999993"/>
    <x v="1"/>
  </r>
  <r>
    <x v="4"/>
    <n v="25"/>
    <n v="0"/>
    <n v="16091.779999999999"/>
    <n v="16673.839999999997"/>
    <n v="16673.839999999997"/>
    <x v="1"/>
    <x v="1"/>
    <m/>
    <m/>
    <m/>
    <m/>
    <x v="1"/>
  </r>
  <r>
    <x v="5"/>
    <m/>
    <n v="0"/>
    <n v="193101.36"/>
    <n v="200086.07999999996"/>
    <n v="200086.07999999996"/>
    <x v="1"/>
    <x v="1"/>
    <m/>
    <m/>
    <m/>
    <m/>
    <x v="1"/>
  </r>
  <r>
    <x v="6"/>
    <m/>
    <n v="0"/>
    <n v="193101.36"/>
    <n v="200086.07999999996"/>
    <n v="6984.7199999999721"/>
    <x v="1"/>
    <x v="1"/>
    <m/>
    <m/>
    <m/>
    <m/>
    <x v="1"/>
  </r>
  <r>
    <x v="7"/>
    <m/>
    <n v="0"/>
    <n v="0"/>
    <n v="0"/>
    <n v="3.6171262594939635E-2"/>
    <x v="1"/>
    <x v="1"/>
    <m/>
    <m/>
    <m/>
    <m/>
    <x v="1"/>
  </r>
  <r>
    <x v="0"/>
    <n v="42"/>
    <n v="0"/>
    <n v="563.86"/>
    <n v="591.28"/>
    <n v="591.28"/>
    <x v="0"/>
    <x v="0"/>
    <n v="388.161224"/>
    <n v="175.69877600000001"/>
    <n v="407.03715199999999"/>
    <n v="184.24284799999998"/>
    <x v="2"/>
  </r>
  <r>
    <x v="1"/>
    <n v="8"/>
    <n v="0"/>
    <n v="1206.6600000000001"/>
    <n v="1265.3399999999999"/>
    <n v="1265.3399999999999"/>
    <x v="0"/>
    <x v="0"/>
    <n v="723.69433500000002"/>
    <n v="482.96566500000006"/>
    <n v="758.88766499999997"/>
    <n v="506.45233499999995"/>
    <x v="2"/>
  </r>
  <r>
    <x v="2"/>
    <n v="9"/>
    <n v="0"/>
    <n v="1124.8900000000001"/>
    <n v="1179.6099999999999"/>
    <n v="1179.6099999999999"/>
    <x v="0"/>
    <x v="0"/>
    <n v="674.65277750000007"/>
    <n v="450.23722250000003"/>
    <n v="707.47109749999993"/>
    <n v="472.13890249999997"/>
    <x v="2"/>
  </r>
  <r>
    <x v="3"/>
    <n v="4"/>
    <n v="0"/>
    <n v="1747.96"/>
    <n v="1832.97"/>
    <n v="1832.97"/>
    <x v="0"/>
    <x v="0"/>
    <n v="1048.3390100000001"/>
    <n v="699.62098999999989"/>
    <n v="1099.3237575000001"/>
    <n v="733.64624249999997"/>
    <x v="2"/>
  </r>
  <r>
    <x v="4"/>
    <n v="63"/>
    <n v="0"/>
    <n v="50451.25"/>
    <n v="52904.849999999991"/>
    <n v="52904.849999999991"/>
    <x v="1"/>
    <x v="1"/>
    <m/>
    <m/>
    <m/>
    <m/>
    <x v="2"/>
  </r>
  <r>
    <x v="5"/>
    <m/>
    <n v="0"/>
    <n v="605415"/>
    <n v="634858.19999999995"/>
    <n v="634858.19999999995"/>
    <x v="1"/>
    <x v="1"/>
    <m/>
    <m/>
    <m/>
    <m/>
    <x v="2"/>
  </r>
  <r>
    <x v="6"/>
    <m/>
    <n v="0"/>
    <n v="605415"/>
    <n v="634858.19999999995"/>
    <n v="29443.199999999953"/>
    <x v="1"/>
    <x v="1"/>
    <m/>
    <m/>
    <m/>
    <m/>
    <x v="2"/>
  </r>
  <r>
    <x v="7"/>
    <m/>
    <n v="0"/>
    <n v="0"/>
    <n v="0"/>
    <n v="4.86330863952825E-2"/>
    <x v="1"/>
    <x v="1"/>
    <m/>
    <m/>
    <m/>
    <m/>
    <x v="2"/>
  </r>
  <r>
    <x v="0"/>
    <n v="11"/>
    <n v="489"/>
    <n v="537.01"/>
    <n v="515.17999999999995"/>
    <n v="515.17999999999995"/>
    <x v="2"/>
    <x v="2"/>
    <n v="369.677684"/>
    <n v="167.33231599999999"/>
    <n v="354.64991199999997"/>
    <n v="160.53008799999998"/>
    <x v="3"/>
  </r>
  <r>
    <x v="1"/>
    <n v="6"/>
    <n v="1046"/>
    <n v="1149.2"/>
    <n v="1102.49"/>
    <n v="1102.49"/>
    <x v="3"/>
    <x v="3"/>
    <n v="689.23270000000002"/>
    <n v="459.96730000000002"/>
    <n v="661.21837749999997"/>
    <n v="441.27162250000003"/>
    <x v="3"/>
  </r>
  <r>
    <x v="2"/>
    <n v="5"/>
    <n v="974"/>
    <n v="1071.3399999999999"/>
    <n v="1027.79"/>
    <n v="1027.79"/>
    <x v="4"/>
    <x v="4"/>
    <n v="642.53616499999998"/>
    <n v="428.80383499999994"/>
    <n v="616.41705249999995"/>
    <n v="411.37294750000001"/>
    <x v="3"/>
  </r>
  <r>
    <x v="3"/>
    <n v="2"/>
    <n v="1515"/>
    <n v="1664.74"/>
    <n v="1597.07"/>
    <n v="1597.07"/>
    <x v="5"/>
    <x v="5"/>
    <n v="998.42781500000001"/>
    <n v="666.312185"/>
    <n v="957.84273250000001"/>
    <n v="639.22726749999993"/>
    <x v="3"/>
  </r>
  <r>
    <x v="4"/>
    <n v="24"/>
    <n v="19555"/>
    <n v="21488.49"/>
    <n v="20615.009999999998"/>
    <n v="20615.009999999998"/>
    <x v="1"/>
    <x v="1"/>
    <m/>
    <m/>
    <m/>
    <m/>
    <x v="3"/>
  </r>
  <r>
    <x v="5"/>
    <m/>
    <n v="234660"/>
    <n v="257861.88"/>
    <n v="247380.12"/>
    <n v="247380.12"/>
    <x v="1"/>
    <x v="1"/>
    <m/>
    <m/>
    <m/>
    <m/>
    <x v="3"/>
  </r>
  <r>
    <x v="6"/>
    <m/>
    <n v="0"/>
    <n v="23201.880000000005"/>
    <n v="12720.119999999995"/>
    <n v="-10481.760000000009"/>
    <x v="1"/>
    <x v="1"/>
    <m/>
    <m/>
    <m/>
    <m/>
    <x v="3"/>
  </r>
  <r>
    <x v="7"/>
    <m/>
    <n v="0"/>
    <n v="9.8874456660700605E-2"/>
    <n v="5.4206596778317545E-2"/>
    <n v="-4.064873799880777E-2"/>
    <x v="1"/>
    <x v="1"/>
    <m/>
    <m/>
    <m/>
    <m/>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745466.36"/>
  </r>
  <r>
    <x v="1"/>
    <n v="1920012.9960000003"/>
  </r>
  <r>
    <x v="2"/>
    <n v="2112014.2956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475211-127B-42BB-B112-3C1D1A2A447B}" name="PivotTable10"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
    <pivotField axis="axisRow" showAll="0">
      <items count="4">
        <item x="0"/>
        <item x="1"/>
        <item x="2"/>
        <item t="default"/>
      </items>
    </pivotField>
    <pivotField dataField="1" numFmtId="164" showAll="0"/>
  </pivotFields>
  <rowFields count="1">
    <field x="0"/>
  </rowFields>
  <rowItems count="4">
    <i>
      <x/>
    </i>
    <i>
      <x v="1"/>
    </i>
    <i>
      <x v="2"/>
    </i>
    <i t="grand">
      <x/>
    </i>
  </rowItems>
  <colItems count="1">
    <i/>
  </colItems>
  <dataFields count="1">
    <dataField name="Sum of Projected Valu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4498DB-FDE5-4366-8C7D-995A062B2DE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3">
    <pivotField axis="axisRow" showAll="0">
      <items count="9">
        <item h="1" x="6"/>
        <item h="1" x="7"/>
        <item h="1" x="5"/>
        <item x="3"/>
        <item x="2"/>
        <item x="0"/>
        <item x="1"/>
        <item h="1"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s>
  <rowFields count="1">
    <field x="0"/>
  </rowFields>
  <rowItems count="5">
    <i>
      <x v="3"/>
    </i>
    <i>
      <x v="4"/>
    </i>
    <i>
      <x v="5"/>
    </i>
    <i>
      <x v="6"/>
    </i>
    <i t="grand">
      <x/>
    </i>
  </rowItems>
  <colItems count="1">
    <i/>
  </colItems>
  <dataFields count="1">
    <dataField name="Sum of Plan Name-Current "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AE5024-0115-4C6A-9FBA-6B0BCC2333D7}"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3">
    <pivotField axis="axisRow" showAll="0">
      <items count="9">
        <item h="1" x="6"/>
        <item h="1" x="7"/>
        <item h="1" x="5"/>
        <item x="3"/>
        <item x="2"/>
        <item x="0"/>
        <item x="1"/>
        <item h="1" x="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items count="5">
        <item x="0"/>
        <item x="1"/>
        <item x="2"/>
        <item x="3"/>
        <item t="default"/>
      </items>
    </pivotField>
  </pivotFields>
  <rowFields count="1">
    <field x="0"/>
  </rowFields>
  <rowItems count="5">
    <i>
      <x v="3"/>
    </i>
    <i>
      <x v="4"/>
    </i>
    <i>
      <x v="5"/>
    </i>
    <i>
      <x v="6"/>
    </i>
    <i t="grand">
      <x/>
    </i>
  </rowItems>
  <colItems count="1">
    <i/>
  </colItems>
  <dataFields count="1">
    <dataField name="Sum of Plan Name-Renewal  "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988FE6-618D-42B6-88F5-482824FB2D96}"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8" firstHeaderRow="0" firstDataRow="1" firstDataCol="1"/>
  <pivotFields count="13">
    <pivotField axis="axisRow" showAll="0">
      <items count="9">
        <item h="1" x="6"/>
        <item h="1" x="7"/>
        <item h="1" x="5"/>
        <item x="3"/>
        <item x="2"/>
        <item x="0"/>
        <item x="1"/>
        <item h="1" x="4"/>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items count="5">
        <item x="0"/>
        <item x="1"/>
        <item x="2"/>
        <item x="3"/>
        <item t="default"/>
      </items>
    </pivotField>
  </pivotFields>
  <rowFields count="1">
    <field x="0"/>
  </rowFields>
  <rowItems count="5">
    <i>
      <x v="3"/>
    </i>
    <i>
      <x v="4"/>
    </i>
    <i>
      <x v="5"/>
    </i>
    <i>
      <x v="6"/>
    </i>
    <i t="grand">
      <x/>
    </i>
  </rowItems>
  <colFields count="1">
    <field x="-2"/>
  </colFields>
  <colItems count="2">
    <i>
      <x/>
    </i>
    <i i="1">
      <x v="1"/>
    </i>
  </colItems>
  <dataFields count="2">
    <dataField name="Sum of Employeer Plan Name Current" fld="6" baseField="0" baseItem="0"/>
    <dataField name="Sum of Employee Plan Name Current "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2FB13B-D522-4516-86FF-62B8290E1FE1}"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B22" firstHeaderRow="1" firstDataRow="1" firstDataCol="1"/>
  <pivotFields count="13">
    <pivotField axis="axisRow" showAll="0">
      <items count="9">
        <item h="1" x="6"/>
        <item h="1" x="7"/>
        <item h="1" x="5"/>
        <item x="3"/>
        <item x="2"/>
        <item x="0"/>
        <item x="1"/>
        <item h="1" x="4"/>
        <item t="default"/>
      </items>
    </pivotField>
    <pivotField dataField="1" showAll="0"/>
    <pivotField showAll="0"/>
    <pivotField showAll="0"/>
    <pivotField showAll="0"/>
    <pivotField showAll="0"/>
    <pivotField showAll="0">
      <items count="7">
        <item x="0"/>
        <item x="2"/>
        <item x="4"/>
        <item x="3"/>
        <item x="5"/>
        <item x="1"/>
        <item t="default"/>
      </items>
    </pivotField>
    <pivotField showAll="0">
      <items count="7">
        <item x="0"/>
        <item x="2"/>
        <item x="4"/>
        <item x="3"/>
        <item x="5"/>
        <item x="1"/>
        <item t="default"/>
      </items>
    </pivotField>
    <pivotField showAll="0"/>
    <pivotField showAll="0"/>
    <pivotField showAll="0"/>
    <pivotField showAll="0"/>
    <pivotField showAll="0">
      <items count="5">
        <item x="0"/>
        <item x="1"/>
        <item x="2"/>
        <item x="3"/>
        <item t="default"/>
      </items>
    </pivotField>
  </pivotFields>
  <rowFields count="1">
    <field x="0"/>
  </rowFields>
  <rowItems count="5">
    <i>
      <x v="3"/>
    </i>
    <i>
      <x v="4"/>
    </i>
    <i>
      <x v="5"/>
    </i>
    <i>
      <x v="6"/>
    </i>
    <i t="grand">
      <x/>
    </i>
  </rowItems>
  <colItems count="1">
    <i/>
  </colItems>
  <dataFields count="1">
    <dataField name="Sum of Enrollment " fld="1" baseField="0" baseItem="0"/>
  </dataFields>
  <chartFormats count="6">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3"/>
          </reference>
        </references>
      </pivotArea>
    </chartFormat>
    <chartFormat chart="8" format="8">
      <pivotArea type="data" outline="0" fieldPosition="0">
        <references count="2">
          <reference field="4294967294" count="1" selected="0">
            <x v="0"/>
          </reference>
          <reference field="0" count="1" selected="0">
            <x v="4"/>
          </reference>
        </references>
      </pivotArea>
    </chartFormat>
    <chartFormat chart="8" format="9">
      <pivotArea type="data" outline="0" fieldPosition="0">
        <references count="2">
          <reference field="4294967294" count="1" selected="0">
            <x v="0"/>
          </reference>
          <reference field="0" count="1" selected="0">
            <x v="5"/>
          </reference>
        </references>
      </pivotArea>
    </chartFormat>
    <chartFormat chart="8" format="10">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811C37-39EB-42DF-AB90-F4C401BEC486}"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8" firstHeaderRow="0" firstDataRow="1" firstDataCol="1"/>
  <pivotFields count="13">
    <pivotField axis="axisRow" showAll="0">
      <items count="9">
        <item h="1" x="6"/>
        <item h="1" x="7"/>
        <item h="1" x="5"/>
        <item x="3"/>
        <item x="2"/>
        <item x="0"/>
        <item x="1"/>
        <item h="1" x="4"/>
        <item t="default"/>
      </items>
    </pivotField>
    <pivotField showAll="0"/>
    <pivotField showAll="0"/>
    <pivotField showAll="0"/>
    <pivotField showAll="0"/>
    <pivotField showAll="0"/>
    <pivotField showAll="0">
      <items count="7">
        <item x="0"/>
        <item x="2"/>
        <item x="4"/>
        <item x="3"/>
        <item x="5"/>
        <item x="1"/>
        <item t="default"/>
      </items>
    </pivotField>
    <pivotField showAll="0">
      <items count="7">
        <item x="0"/>
        <item x="2"/>
        <item x="4"/>
        <item x="3"/>
        <item x="5"/>
        <item x="1"/>
        <item t="default"/>
      </items>
    </pivotField>
    <pivotField dataField="1" showAll="0"/>
    <pivotField dataField="1" showAll="0"/>
    <pivotField showAll="0"/>
    <pivotField showAll="0"/>
    <pivotField showAll="0">
      <items count="5">
        <item x="0"/>
        <item x="1"/>
        <item x="2"/>
        <item x="3"/>
        <item t="default"/>
      </items>
    </pivotField>
  </pivotFields>
  <rowFields count="1">
    <field x="0"/>
  </rowFields>
  <rowItems count="5">
    <i>
      <x v="3"/>
    </i>
    <i>
      <x v="4"/>
    </i>
    <i>
      <x v="5"/>
    </i>
    <i>
      <x v="6"/>
    </i>
    <i t="grand">
      <x/>
    </i>
  </rowItems>
  <colFields count="1">
    <field x="-2"/>
  </colFields>
  <colItems count="2">
    <i>
      <x/>
    </i>
    <i i="1">
      <x v="1"/>
    </i>
  </colItems>
  <dataFields count="2">
    <dataField name="Sum of Employeer Plan Name Renewal" fld="8" baseField="0" baseItem="0"/>
    <dataField name="Sum of Employee Plan Name Renewal " fld="9"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85AB0F8-7AFF-48EE-95FA-9C597967B325}" autoFormatId="16" applyNumberFormats="0" applyBorderFormats="0" applyFontFormats="0" applyPatternFormats="0" applyAlignmentFormats="0" applyWidthHeightFormats="0">
  <queryTableRefresh nextId="14">
    <queryTableFields count="13">
      <queryTableField id="1" name="Tier " tableColumnId="1"/>
      <queryTableField id="2" name="Enrollment " tableColumnId="2"/>
      <queryTableField id="3" name="Plan Name-Current " tableColumnId="3"/>
      <queryTableField id="4" name="Plan Name-Renewal  " tableColumnId="4"/>
      <queryTableField id="5" name="KP Plan Name vs Current  " tableColumnId="5"/>
      <queryTableField id="6" name="KP Plan Name vs Renewal  " tableColumnId="6"/>
      <queryTableField id="7" name="Employeer Plan Name Current" tableColumnId="7"/>
      <queryTableField id="8" name="Employee Plan Name Current " tableColumnId="8"/>
      <queryTableField id="9" name="Employeer Plan Name Renewal" tableColumnId="9"/>
      <queryTableField id="10" name="Employee Plan Name Renewal " tableColumnId="10"/>
      <queryTableField id="11" name="Employer KP Plan Name vs Current " tableColumnId="11"/>
      <queryTableField id="12" name="Employee KP Plan Name vs Renewal" tableColumnId="12"/>
      <queryTableField id="13" name="Option "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tion" xr10:uid="{6902BACC-45E3-4F80-8C78-57EC589FE8A8}" sourceName="Option ">
  <pivotTables>
    <pivotTable tabId="118" name="PivotTable6"/>
    <pivotTable tabId="117" name="PivotTable5"/>
    <pivotTable tabId="115" name="PivotTable3"/>
    <pivotTable tabId="116" name="PivotTable4"/>
    <pivotTable tabId="118" name="PivotTable9"/>
  </pivotTables>
  <data>
    <tabular pivotCacheId="175594054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tion" xr10:uid="{D8F241B4-8A10-4B99-A514-4E892E40D7D8}" cache="Slicer_Option" caption="Options " style="SlicerStyleDark2" rowHeight="2095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E4DEF3-97FD-455E-A836-549D68D036AD}" name="Table2" displayName="Table2" ref="A1:M33" totalsRowShown="0" headerRowDxfId="5" dataDxfId="4" tableBorderDxfId="20">
  <autoFilter ref="A1:M33" xr:uid="{ACE4DEF3-97FD-455E-A836-549D68D036AD}"/>
  <tableColumns count="13">
    <tableColumn id="1" xr3:uid="{6AA0177A-B258-4418-8155-3F4D320B2A6D}" name="Tier " dataDxfId="18"/>
    <tableColumn id="2" xr3:uid="{411CEBAA-46AD-4991-9271-6DE2EDE9DE6B}" name="Enrollment " dataDxfId="17"/>
    <tableColumn id="3" xr3:uid="{F0BD70CA-8878-47A7-BC56-3A25AC71F2A3}" name="Plan Name-Current " dataDxfId="16"/>
    <tableColumn id="4" xr3:uid="{CBE2C4FF-4E09-4FA2-817F-7D82C539EDC0}" name="Plan Name-Renewal  " dataDxfId="15"/>
    <tableColumn id="5" xr3:uid="{0821D722-A996-4762-A3D0-4A1F0A538AD4}" name="KP Plan Name vs Current  " dataDxfId="14"/>
    <tableColumn id="6" xr3:uid="{9D953BDC-E9DB-4C67-A694-11DD4A63E579}" name="KP Plan Name vs Renewal  " dataDxfId="13"/>
    <tableColumn id="7" xr3:uid="{1D9D1F12-6337-4404-885F-B909894223D5}" name="Employeer Plan Name Current" dataDxfId="12"/>
    <tableColumn id="8" xr3:uid="{4C80352E-16D8-4F0D-BC55-15AEB2A6531F}" name="Employee Plan Name Current " dataDxfId="11"/>
    <tableColumn id="9" xr3:uid="{7357D208-9EB6-42F4-980D-C4F6403A06C9}" name="Employeer Plan Name Renewal" dataDxfId="10"/>
    <tableColumn id="10" xr3:uid="{EE2EDA8E-D88B-465A-953B-891B56B8F11A}" name="Employee Plan Name Renewal " dataDxfId="9"/>
    <tableColumn id="11" xr3:uid="{9BF576AC-FE32-4A11-95E6-2E8FD21D5256}" name="Employer KP Plan Name vs Current " dataDxfId="8"/>
    <tableColumn id="12" xr3:uid="{EF1B9708-8559-448B-88F2-2C4331A68B33}" name="Employee KP Plan Name vs Renewal" dataDxfId="7"/>
    <tableColumn id="13" xr3:uid="{53C37DC0-FE53-4957-AD3F-372DB0407DCF}" name="Option "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CF8AAA-9D4D-437F-BC5F-D34BCB1F8D00}" name="Table4" displayName="Table4" ref="E41:F44" totalsRowShown="0">
  <autoFilter ref="E41:F44" xr:uid="{16CF8AAA-9D4D-437F-BC5F-D34BCB1F8D00}"/>
  <tableColumns count="2">
    <tableColumn id="1" xr3:uid="{C3FE735E-73CF-4BEF-852C-8180E7410ACB}" name="Prjected Years" dataDxfId="3"/>
    <tableColumn id="2" xr3:uid="{8957A3B6-4A4F-4FCB-A18F-7CE87469E656}" name="Projected Valu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53DEFC-CA24-453F-8CF6-9231545B3FD0}" name="Table5" displayName="Table5" ref="B40:C49" totalsRowShown="0">
  <autoFilter ref="B40:C49" xr:uid="{E953DEFC-CA24-453F-8CF6-9231545B3FD0}"/>
  <tableColumns count="2">
    <tableColumn id="1" xr3:uid="{3AB8980A-CE95-43B9-A0F5-1106C019C6A0}" name="Premiums" dataDxfId="1"/>
    <tableColumn id="2" xr3:uid="{92B40460-1198-4194-A95C-270E9FB2582C}" name="Values"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C6FE45-E41D-4AD1-AF5E-001B49DEF50E}" name="Sheet1__2" displayName="Sheet1__2" ref="A1:M33" tableType="queryTable" totalsRowShown="0">
  <autoFilter ref="A1:M33" xr:uid="{74C6FE45-E41D-4AD1-AF5E-001B49DEF50E}"/>
  <tableColumns count="13">
    <tableColumn id="1" xr3:uid="{CE6770F6-FDDB-4224-8FC3-1C5584369EC3}" uniqueName="1" name="Tier " queryTableFieldId="1" dataDxfId="19"/>
    <tableColumn id="2" xr3:uid="{12093E6F-730E-4790-8B75-0D0A745B4049}" uniqueName="2" name="Enrollment " queryTableFieldId="2"/>
    <tableColumn id="3" xr3:uid="{13C7ECCF-3FD0-4F56-B19A-3260B7CC97C1}" uniqueName="3" name="Plan Name-Current " queryTableFieldId="3"/>
    <tableColumn id="4" xr3:uid="{7F5732AA-C256-4970-B275-D8BA8C0F2293}" uniqueName="4" name="Plan Name-Renewal  " queryTableFieldId="4"/>
    <tableColumn id="5" xr3:uid="{1017279B-298B-4798-91DF-76E0038581CC}" uniqueName="5" name="KP Plan Name vs Current  " queryTableFieldId="5"/>
    <tableColumn id="6" xr3:uid="{7DD029AB-8D54-4238-A9C9-FCA45BF5CC16}" uniqueName="6" name="KP Plan Name vs Renewal  " queryTableFieldId="6"/>
    <tableColumn id="7" xr3:uid="{857D150D-AF0D-4FFD-8319-E51697892514}" uniqueName="7" name="Employeer Plan Name Current" queryTableFieldId="7"/>
    <tableColumn id="8" xr3:uid="{C848D7C6-E086-4248-A2C3-7E05AA30C6FA}" uniqueName="8" name="Employee Plan Name Current " queryTableFieldId="8"/>
    <tableColumn id="9" xr3:uid="{F932C7A7-C9CB-4E96-B0AF-E99969B53612}" uniqueName="9" name="Employeer Plan Name Renewal" queryTableFieldId="9"/>
    <tableColumn id="10" xr3:uid="{B5668D98-4117-48AB-9A61-DD5FD935600D}" uniqueName="10" name="Employee Plan Name Renewal " queryTableFieldId="10"/>
    <tableColumn id="11" xr3:uid="{9770367C-9D25-4071-88C4-43A03492C065}" uniqueName="11" name="Employer KP Plan Name vs Current " queryTableFieldId="11"/>
    <tableColumn id="12" xr3:uid="{B4ED57A4-CC1C-4F2A-B0F2-5BFF6159613E}" uniqueName="12" name="Employee KP Plan Name vs Renewal" queryTableFieldId="12"/>
    <tableColumn id="13" xr3:uid="{503B31FC-82B5-4C3B-A6C2-A662ED9C3BC6}" uniqueName="13" name="Option "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3" Type="http://schemas.openxmlformats.org/officeDocument/2006/relationships/hyperlink" Target="mailto:richard@dwmarkets.com" TargetMode="External"/><Relationship Id="rId18" Type="http://schemas.openxmlformats.org/officeDocument/2006/relationships/hyperlink" Target="mailto:jessica@dwmarkets.com" TargetMode="External"/><Relationship Id="rId26" Type="http://schemas.openxmlformats.org/officeDocument/2006/relationships/hyperlink" Target="mailto:aleem@dwmarkets.com" TargetMode="External"/><Relationship Id="rId21" Type="http://schemas.openxmlformats.org/officeDocument/2006/relationships/hyperlink" Target="mailto:sandra@dwmarkets.com" TargetMode="External"/><Relationship Id="rId34" Type="http://schemas.openxmlformats.org/officeDocument/2006/relationships/hyperlink" Target="mailto:odette@dwmarkets.com" TargetMode="External"/><Relationship Id="rId7" Type="http://schemas.openxmlformats.org/officeDocument/2006/relationships/hyperlink" Target="mailto:jfinneran@dwmarkets.com" TargetMode="External"/><Relationship Id="rId12" Type="http://schemas.openxmlformats.org/officeDocument/2006/relationships/hyperlink" Target="mailto:yrenilsa@dwmarkets.com" TargetMode="External"/><Relationship Id="rId17" Type="http://schemas.openxmlformats.org/officeDocument/2006/relationships/hyperlink" Target="mailto:nenad@dwmarkets.com" TargetMode="External"/><Relationship Id="rId25" Type="http://schemas.openxmlformats.org/officeDocument/2006/relationships/hyperlink" Target="mailto:shannon@dwmarkets.com" TargetMode="External"/><Relationship Id="rId33" Type="http://schemas.openxmlformats.org/officeDocument/2006/relationships/hyperlink" Target="mailto:jonathan@dwmarkets.com" TargetMode="External"/><Relationship Id="rId38" Type="http://schemas.openxmlformats.org/officeDocument/2006/relationships/drawing" Target="../drawings/drawing18.xml"/><Relationship Id="rId2" Type="http://schemas.openxmlformats.org/officeDocument/2006/relationships/hyperlink" Target="mailto:william@dwmarkets.com" TargetMode="External"/><Relationship Id="rId16" Type="http://schemas.openxmlformats.org/officeDocument/2006/relationships/hyperlink" Target="mailto:eric@dwmarkets.com" TargetMode="External"/><Relationship Id="rId20" Type="http://schemas.openxmlformats.org/officeDocument/2006/relationships/hyperlink" Target="mailto:nick@dwmarkets.com" TargetMode="External"/><Relationship Id="rId29" Type="http://schemas.openxmlformats.org/officeDocument/2006/relationships/hyperlink" Target="mailto:nestor@dwmarkets.com" TargetMode="External"/><Relationship Id="rId1" Type="http://schemas.openxmlformats.org/officeDocument/2006/relationships/hyperlink" Target="mailto:sebastian@dwmarkets.com" TargetMode="External"/><Relationship Id="rId6" Type="http://schemas.openxmlformats.org/officeDocument/2006/relationships/hyperlink" Target="mailto:alex@dwmarkets.com" TargetMode="External"/><Relationship Id="rId11" Type="http://schemas.openxmlformats.org/officeDocument/2006/relationships/hyperlink" Target="mailto:fernanda@dwmarkets.com" TargetMode="External"/><Relationship Id="rId24" Type="http://schemas.openxmlformats.org/officeDocument/2006/relationships/hyperlink" Target="mailto:vlpradhan@gmail.com" TargetMode="External"/><Relationship Id="rId32" Type="http://schemas.openxmlformats.org/officeDocument/2006/relationships/hyperlink" Target="mailto:bogdan@dwmarkets.com" TargetMode="External"/><Relationship Id="rId37" Type="http://schemas.openxmlformats.org/officeDocument/2006/relationships/printerSettings" Target="../printerSettings/printerSettings11.bin"/><Relationship Id="rId5" Type="http://schemas.openxmlformats.org/officeDocument/2006/relationships/hyperlink" Target="mailto:kathryn@dwmarkets.com" TargetMode="External"/><Relationship Id="rId15" Type="http://schemas.openxmlformats.org/officeDocument/2006/relationships/hyperlink" Target="mailto:gretell@dwmarkets.com" TargetMode="External"/><Relationship Id="rId23" Type="http://schemas.openxmlformats.org/officeDocument/2006/relationships/hyperlink" Target="mailto:alexandra@dwmarkets.com" TargetMode="External"/><Relationship Id="rId28" Type="http://schemas.openxmlformats.org/officeDocument/2006/relationships/hyperlink" Target="mailto:gscoon@googlemail.com" TargetMode="External"/><Relationship Id="rId36" Type="http://schemas.openxmlformats.org/officeDocument/2006/relationships/hyperlink" Target="mailto:erica@dwmarkets.com" TargetMode="External"/><Relationship Id="rId10" Type="http://schemas.openxmlformats.org/officeDocument/2006/relationships/hyperlink" Target="mailto:jim@dwmarkets.com" TargetMode="External"/><Relationship Id="rId19" Type="http://schemas.openxmlformats.org/officeDocument/2006/relationships/hyperlink" Target="mailto:joy@dwmarkets.com" TargetMode="External"/><Relationship Id="rId31" Type="http://schemas.openxmlformats.org/officeDocument/2006/relationships/hyperlink" Target="mailto:jtarleton@dwmarkets.com" TargetMode="External"/><Relationship Id="rId4" Type="http://schemas.openxmlformats.org/officeDocument/2006/relationships/hyperlink" Target="mailto:patrick@dwmarkets.com" TargetMode="External"/><Relationship Id="rId9" Type="http://schemas.openxmlformats.org/officeDocument/2006/relationships/hyperlink" Target="mailto:armine@dwmarkets.com" TargetMode="External"/><Relationship Id="rId14" Type="http://schemas.openxmlformats.org/officeDocument/2006/relationships/hyperlink" Target="mailto:edward@dwmarkets.com" TargetMode="External"/><Relationship Id="rId22" Type="http://schemas.openxmlformats.org/officeDocument/2006/relationships/hyperlink" Target="mailto:lisette@dwmarkets.com" TargetMode="External"/><Relationship Id="rId27" Type="http://schemas.openxmlformats.org/officeDocument/2006/relationships/hyperlink" Target="mailto:nicole@dwmarkets.com" TargetMode="External"/><Relationship Id="rId30" Type="http://schemas.openxmlformats.org/officeDocument/2006/relationships/hyperlink" Target="mailto:tony@dwmarkets.com" TargetMode="External"/><Relationship Id="rId35" Type="http://schemas.openxmlformats.org/officeDocument/2006/relationships/hyperlink" Target="mailto:courtland@dwmarkets.com" TargetMode="External"/><Relationship Id="rId8" Type="http://schemas.openxmlformats.org/officeDocument/2006/relationships/hyperlink" Target="mailto:shedd@dwmarkets.com" TargetMode="External"/><Relationship Id="rId3" Type="http://schemas.openxmlformats.org/officeDocument/2006/relationships/hyperlink" Target="mailto:simone@dwmarkets.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9.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H64"/>
  <sheetViews>
    <sheetView showGridLines="0" view="pageBreakPreview" zoomScaleNormal="100" zoomScaleSheetLayoutView="100" workbookViewId="0">
      <selection activeCell="B6" sqref="B6"/>
    </sheetView>
  </sheetViews>
  <sheetFormatPr defaultColWidth="9.21875" defaultRowHeight="13.2" outlineLevelRow="1" x14ac:dyDescent="0.25"/>
  <cols>
    <col min="1" max="1" width="1.77734375" style="1" customWidth="1"/>
    <col min="2" max="2" width="50.77734375" style="1" customWidth="1"/>
    <col min="3" max="4" width="8.77734375" style="1" customWidth="1"/>
    <col min="5" max="8" width="35.77734375" style="1" customWidth="1"/>
    <col min="9" max="9" width="1.77734375" style="1" customWidth="1"/>
    <col min="10" max="16384" width="9.21875" style="1"/>
  </cols>
  <sheetData>
    <row r="1" spans="2:8" ht="14.25" customHeight="1" x14ac:dyDescent="0.25"/>
    <row r="2" spans="2:8" ht="14.25" customHeight="1" x14ac:dyDescent="0.25"/>
    <row r="3" spans="2:8" ht="14.25" customHeight="1" x14ac:dyDescent="0.25"/>
    <row r="4" spans="2:8" ht="14.25" customHeight="1" x14ac:dyDescent="0.25"/>
    <row r="5" spans="2:8" ht="14.25" customHeight="1" x14ac:dyDescent="0.25"/>
    <row r="6" spans="2:8" ht="18" customHeight="1" x14ac:dyDescent="0.25">
      <c r="B6" s="4" t="s">
        <v>145</v>
      </c>
    </row>
    <row r="7" spans="2:8" ht="20.25" customHeight="1" x14ac:dyDescent="0.25">
      <c r="B7" s="9" t="s">
        <v>309</v>
      </c>
      <c r="C7" s="10"/>
      <c r="D7" s="10"/>
      <c r="E7" s="10"/>
      <c r="F7" s="10"/>
    </row>
    <row r="8" spans="2:8" ht="15" x14ac:dyDescent="0.25">
      <c r="E8" s="583" t="s">
        <v>312</v>
      </c>
      <c r="F8" s="583"/>
      <c r="G8" s="583" t="s">
        <v>311</v>
      </c>
      <c r="H8" s="583"/>
    </row>
    <row r="9" spans="2:8" x14ac:dyDescent="0.25">
      <c r="B9" s="11" t="s">
        <v>327</v>
      </c>
      <c r="C9" s="12"/>
      <c r="D9" s="13"/>
      <c r="E9" s="584" t="s">
        <v>325</v>
      </c>
      <c r="F9" s="584"/>
      <c r="G9" s="584" t="s">
        <v>325</v>
      </c>
      <c r="H9" s="584"/>
    </row>
    <row r="10" spans="2:8" x14ac:dyDescent="0.25">
      <c r="B10" s="7"/>
      <c r="C10" s="2"/>
      <c r="D10" s="14"/>
      <c r="E10" s="585" t="s">
        <v>64</v>
      </c>
      <c r="F10" s="586"/>
      <c r="G10" s="585" t="s">
        <v>64</v>
      </c>
      <c r="H10" s="586"/>
    </row>
    <row r="11" spans="2:8" x14ac:dyDescent="0.25">
      <c r="B11" s="15"/>
      <c r="C11" s="16"/>
      <c r="D11" s="17"/>
      <c r="E11" s="84" t="s">
        <v>6</v>
      </c>
      <c r="F11" s="93" t="s">
        <v>7</v>
      </c>
      <c r="G11" s="84" t="s">
        <v>6</v>
      </c>
      <c r="H11" s="93" t="s">
        <v>7</v>
      </c>
    </row>
    <row r="12" spans="2:8" x14ac:dyDescent="0.25">
      <c r="B12" s="8" t="s">
        <v>166</v>
      </c>
      <c r="C12" s="3"/>
      <c r="D12" s="18"/>
      <c r="E12" s="578" t="s">
        <v>54</v>
      </c>
      <c r="F12" s="579"/>
      <c r="G12" s="578" t="s">
        <v>54</v>
      </c>
      <c r="H12" s="579"/>
    </row>
    <row r="13" spans="2:8" ht="26.4" x14ac:dyDescent="0.25">
      <c r="B13" s="19" t="s">
        <v>167</v>
      </c>
      <c r="C13" s="20"/>
      <c r="D13" s="21"/>
      <c r="E13" s="22" t="s">
        <v>37</v>
      </c>
      <c r="F13" s="86" t="s">
        <v>158</v>
      </c>
      <c r="G13" s="22" t="s">
        <v>37</v>
      </c>
      <c r="H13" s="86" t="s">
        <v>158</v>
      </c>
    </row>
    <row r="14" spans="2:8" x14ac:dyDescent="0.25">
      <c r="B14" s="8" t="s">
        <v>18</v>
      </c>
      <c r="C14" s="3"/>
      <c r="D14" s="18"/>
      <c r="E14" s="85"/>
      <c r="F14" s="23"/>
      <c r="G14" s="85"/>
      <c r="H14" s="86"/>
    </row>
    <row r="15" spans="2:8" x14ac:dyDescent="0.25">
      <c r="B15" s="8" t="s">
        <v>27</v>
      </c>
      <c r="C15" s="3"/>
      <c r="D15" s="18"/>
      <c r="E15" s="24" t="s">
        <v>148</v>
      </c>
      <c r="F15" s="25">
        <v>2000</v>
      </c>
      <c r="G15" s="24" t="s">
        <v>148</v>
      </c>
      <c r="H15" s="25">
        <v>2000</v>
      </c>
    </row>
    <row r="16" spans="2:8" x14ac:dyDescent="0.25">
      <c r="B16" s="8" t="s">
        <v>28</v>
      </c>
      <c r="C16" s="3"/>
      <c r="D16" s="18"/>
      <c r="E16" s="24" t="s">
        <v>148</v>
      </c>
      <c r="F16" s="25">
        <v>6000</v>
      </c>
      <c r="G16" s="24" t="s">
        <v>148</v>
      </c>
      <c r="H16" s="25">
        <v>6000</v>
      </c>
    </row>
    <row r="17" spans="2:8" x14ac:dyDescent="0.25">
      <c r="B17" s="8" t="s">
        <v>19</v>
      </c>
      <c r="C17" s="3"/>
      <c r="D17" s="18"/>
      <c r="E17" s="92">
        <v>1</v>
      </c>
      <c r="F17" s="26">
        <v>0.7</v>
      </c>
      <c r="G17" s="92">
        <v>1</v>
      </c>
      <c r="H17" s="26">
        <v>0.7</v>
      </c>
    </row>
    <row r="18" spans="2:8" x14ac:dyDescent="0.25">
      <c r="B18" s="8" t="s">
        <v>20</v>
      </c>
      <c r="C18" s="3"/>
      <c r="D18" s="18"/>
      <c r="E18" s="89" t="s">
        <v>148</v>
      </c>
      <c r="F18" s="88">
        <v>6000</v>
      </c>
      <c r="G18" s="89" t="s">
        <v>148</v>
      </c>
      <c r="H18" s="88">
        <v>6000</v>
      </c>
    </row>
    <row r="19" spans="2:8" x14ac:dyDescent="0.25">
      <c r="B19" s="8" t="s">
        <v>21</v>
      </c>
      <c r="C19" s="20"/>
      <c r="D19" s="21"/>
      <c r="E19" s="89" t="s">
        <v>148</v>
      </c>
      <c r="F19" s="88">
        <v>18000</v>
      </c>
      <c r="G19" s="89" t="s">
        <v>148</v>
      </c>
      <c r="H19" s="88">
        <v>18000</v>
      </c>
    </row>
    <row r="20" spans="2:8" x14ac:dyDescent="0.25">
      <c r="B20" s="27" t="s">
        <v>155</v>
      </c>
      <c r="C20" s="3"/>
      <c r="D20" s="18"/>
      <c r="E20" s="83"/>
      <c r="F20" s="28"/>
      <c r="G20" s="83"/>
      <c r="H20" s="28"/>
    </row>
    <row r="21" spans="2:8" x14ac:dyDescent="0.25">
      <c r="B21" s="27"/>
      <c r="C21" s="3"/>
      <c r="D21" s="18"/>
      <c r="E21" s="83"/>
      <c r="F21" s="28"/>
      <c r="G21" s="83"/>
      <c r="H21" s="28"/>
    </row>
    <row r="22" spans="2:8" x14ac:dyDescent="0.25">
      <c r="B22" s="8" t="s">
        <v>35</v>
      </c>
      <c r="C22" s="3"/>
      <c r="D22" s="18"/>
      <c r="E22" s="24" t="s">
        <v>55</v>
      </c>
      <c r="F22" s="25" t="s">
        <v>65</v>
      </c>
      <c r="G22" s="24" t="s">
        <v>55</v>
      </c>
      <c r="H22" s="25" t="s">
        <v>65</v>
      </c>
    </row>
    <row r="23" spans="2:8" x14ac:dyDescent="0.25">
      <c r="B23" s="8" t="s">
        <v>36</v>
      </c>
      <c r="C23" s="3"/>
      <c r="D23" s="18"/>
      <c r="E23" s="24" t="s">
        <v>143</v>
      </c>
      <c r="F23" s="25" t="s">
        <v>65</v>
      </c>
      <c r="G23" s="24" t="s">
        <v>143</v>
      </c>
      <c r="H23" s="25" t="s">
        <v>65</v>
      </c>
    </row>
    <row r="24" spans="2:8" x14ac:dyDescent="0.25">
      <c r="B24" s="27"/>
      <c r="C24" s="3"/>
      <c r="D24" s="18"/>
      <c r="E24" s="83"/>
      <c r="F24" s="28"/>
      <c r="G24" s="83"/>
      <c r="H24" s="28"/>
    </row>
    <row r="25" spans="2:8" x14ac:dyDescent="0.25">
      <c r="B25" s="8" t="s">
        <v>22</v>
      </c>
      <c r="C25" s="3"/>
      <c r="D25" s="18"/>
      <c r="E25" s="83" t="s">
        <v>58</v>
      </c>
      <c r="F25" s="25" t="s">
        <v>65</v>
      </c>
      <c r="G25" s="83" t="s">
        <v>58</v>
      </c>
      <c r="H25" s="25" t="s">
        <v>65</v>
      </c>
    </row>
    <row r="26" spans="2:8" ht="26.4" x14ac:dyDescent="0.25">
      <c r="B26" s="8" t="s">
        <v>16</v>
      </c>
      <c r="C26" s="3"/>
      <c r="D26" s="18"/>
      <c r="E26" s="83" t="s">
        <v>149</v>
      </c>
      <c r="F26" s="25" t="s">
        <v>65</v>
      </c>
      <c r="G26" s="83" t="s">
        <v>149</v>
      </c>
      <c r="H26" s="25" t="s">
        <v>65</v>
      </c>
    </row>
    <row r="27" spans="2:8" x14ac:dyDescent="0.25">
      <c r="B27" s="8" t="s">
        <v>13</v>
      </c>
      <c r="C27" s="3"/>
      <c r="D27" s="18"/>
      <c r="E27" s="83" t="s">
        <v>150</v>
      </c>
      <c r="F27" s="25" t="s">
        <v>65</v>
      </c>
      <c r="G27" s="83" t="s">
        <v>150</v>
      </c>
      <c r="H27" s="25" t="s">
        <v>65</v>
      </c>
    </row>
    <row r="28" spans="2:8" x14ac:dyDescent="0.25">
      <c r="B28" s="8" t="s">
        <v>23</v>
      </c>
      <c r="C28" s="3"/>
      <c r="D28" s="18"/>
      <c r="E28" s="83" t="s">
        <v>151</v>
      </c>
      <c r="F28" s="25" t="s">
        <v>65</v>
      </c>
      <c r="G28" s="83" t="s">
        <v>151</v>
      </c>
      <c r="H28" s="25" t="s">
        <v>65</v>
      </c>
    </row>
    <row r="29" spans="2:8" x14ac:dyDescent="0.25">
      <c r="B29" s="8" t="s">
        <v>14</v>
      </c>
      <c r="C29" s="3"/>
      <c r="D29" s="18"/>
      <c r="E29" s="24" t="s">
        <v>56</v>
      </c>
      <c r="F29" s="25" t="s">
        <v>56</v>
      </c>
      <c r="G29" s="24" t="s">
        <v>56</v>
      </c>
      <c r="H29" s="25" t="s">
        <v>56</v>
      </c>
    </row>
    <row r="30" spans="2:8" x14ac:dyDescent="0.25">
      <c r="B30" s="8" t="s">
        <v>24</v>
      </c>
      <c r="C30" s="3"/>
      <c r="D30" s="18"/>
      <c r="E30" s="24" t="s">
        <v>57</v>
      </c>
      <c r="F30" s="25" t="s">
        <v>152</v>
      </c>
      <c r="G30" s="24" t="s">
        <v>57</v>
      </c>
      <c r="H30" s="25" t="s">
        <v>152</v>
      </c>
    </row>
    <row r="31" spans="2:8" x14ac:dyDescent="0.25">
      <c r="B31" s="8"/>
      <c r="C31" s="3"/>
      <c r="D31" s="18"/>
      <c r="E31" s="24"/>
      <c r="F31" s="25"/>
      <c r="G31" s="24"/>
      <c r="H31" s="25"/>
    </row>
    <row r="32" spans="2:8" ht="26.4" x14ac:dyDescent="0.25">
      <c r="B32" s="8" t="s">
        <v>59</v>
      </c>
      <c r="C32" s="3"/>
      <c r="D32" s="18"/>
      <c r="E32" s="83" t="s">
        <v>149</v>
      </c>
      <c r="F32" s="25" t="s">
        <v>65</v>
      </c>
      <c r="G32" s="83" t="s">
        <v>149</v>
      </c>
      <c r="H32" s="25" t="s">
        <v>65</v>
      </c>
    </row>
    <row r="33" spans="2:8" x14ac:dyDescent="0.25">
      <c r="B33" s="8" t="s">
        <v>60</v>
      </c>
      <c r="C33" s="3"/>
      <c r="D33" s="18"/>
      <c r="E33" s="89" t="s">
        <v>143</v>
      </c>
      <c r="F33" s="25" t="s">
        <v>65</v>
      </c>
      <c r="G33" s="89" t="s">
        <v>143</v>
      </c>
      <c r="H33" s="25" t="s">
        <v>65</v>
      </c>
    </row>
    <row r="34" spans="2:8" x14ac:dyDescent="0.25">
      <c r="B34" s="8"/>
      <c r="C34" s="3"/>
      <c r="D34" s="18"/>
      <c r="E34" s="22"/>
      <c r="F34" s="87"/>
      <c r="G34" s="22"/>
      <c r="H34" s="87"/>
    </row>
    <row r="35" spans="2:8" ht="26.4" x14ac:dyDescent="0.25">
      <c r="B35" s="63" t="s">
        <v>4</v>
      </c>
      <c r="C35" s="64"/>
      <c r="D35" s="65"/>
      <c r="E35" s="66"/>
      <c r="F35" s="67" t="s">
        <v>153</v>
      </c>
      <c r="G35" s="66"/>
      <c r="H35" s="67" t="s">
        <v>153</v>
      </c>
    </row>
    <row r="36" spans="2:8" x14ac:dyDescent="0.25">
      <c r="B36" s="27" t="s">
        <v>144</v>
      </c>
      <c r="C36" s="3"/>
      <c r="D36" s="18"/>
      <c r="E36" s="89">
        <v>0</v>
      </c>
      <c r="F36" s="25"/>
      <c r="G36" s="89">
        <v>0</v>
      </c>
      <c r="H36" s="25"/>
    </row>
    <row r="37" spans="2:8" x14ac:dyDescent="0.25">
      <c r="B37" s="27" t="s">
        <v>169</v>
      </c>
      <c r="C37" s="3"/>
      <c r="D37" s="18"/>
      <c r="E37" s="22" t="s">
        <v>141</v>
      </c>
      <c r="G37" s="22" t="s">
        <v>141</v>
      </c>
      <c r="H37" s="29"/>
    </row>
    <row r="38" spans="2:8" x14ac:dyDescent="0.25">
      <c r="B38" s="27" t="s">
        <v>170</v>
      </c>
      <c r="C38" s="3"/>
      <c r="D38" s="18"/>
      <c r="E38" s="22" t="s">
        <v>142</v>
      </c>
      <c r="F38" s="86"/>
      <c r="G38" s="22" t="s">
        <v>142</v>
      </c>
      <c r="H38" s="86"/>
    </row>
    <row r="39" spans="2:8" ht="26.4" x14ac:dyDescent="0.25">
      <c r="B39" s="68" t="s">
        <v>26</v>
      </c>
      <c r="C39" s="69"/>
      <c r="D39" s="70"/>
      <c r="E39" s="71" t="s">
        <v>154</v>
      </c>
      <c r="F39" s="72"/>
      <c r="G39" s="71" t="s">
        <v>154</v>
      </c>
      <c r="H39" s="72"/>
    </row>
    <row r="40" spans="2:8" x14ac:dyDescent="0.25">
      <c r="B40" s="8"/>
      <c r="D40" s="29"/>
      <c r="E40" s="22"/>
      <c r="F40" s="86"/>
      <c r="G40" s="22"/>
      <c r="H40" s="86"/>
    </row>
    <row r="41" spans="2:8" x14ac:dyDescent="0.25">
      <c r="B41" s="8" t="s">
        <v>25</v>
      </c>
      <c r="D41" s="29"/>
      <c r="E41" s="22" t="s">
        <v>34</v>
      </c>
      <c r="F41" s="87"/>
      <c r="G41" s="22" t="s">
        <v>34</v>
      </c>
      <c r="H41" s="87"/>
    </row>
    <row r="42" spans="2:8" x14ac:dyDescent="0.25">
      <c r="B42" s="8" t="s">
        <v>17</v>
      </c>
      <c r="D42" s="29"/>
      <c r="E42" s="163">
        <v>26</v>
      </c>
      <c r="F42" s="87"/>
      <c r="G42" s="163">
        <v>26</v>
      </c>
      <c r="H42" s="87"/>
    </row>
    <row r="43" spans="2:8" x14ac:dyDescent="0.25">
      <c r="B43" s="8" t="s">
        <v>61</v>
      </c>
      <c r="D43" s="29"/>
      <c r="E43" s="163" t="s">
        <v>33</v>
      </c>
      <c r="F43" s="87"/>
      <c r="G43" s="163" t="s">
        <v>33</v>
      </c>
      <c r="H43" s="87"/>
    </row>
    <row r="44" spans="2:8" x14ac:dyDescent="0.25">
      <c r="B44" s="8"/>
      <c r="D44" s="29"/>
      <c r="E44" s="163"/>
      <c r="F44" s="87"/>
      <c r="G44" s="163"/>
      <c r="H44" s="87"/>
    </row>
    <row r="45" spans="2:8" x14ac:dyDescent="0.25">
      <c r="B45" s="8" t="s">
        <v>318</v>
      </c>
      <c r="C45" s="91" t="s">
        <v>70</v>
      </c>
      <c r="D45" s="30" t="s">
        <v>71</v>
      </c>
      <c r="E45" s="163" t="s">
        <v>139</v>
      </c>
      <c r="F45" s="87"/>
      <c r="G45" s="163" t="s">
        <v>139</v>
      </c>
      <c r="H45" s="87"/>
    </row>
    <row r="46" spans="2:8" x14ac:dyDescent="0.25">
      <c r="B46" s="27" t="s">
        <v>68</v>
      </c>
      <c r="C46" s="156">
        <f>'Census Data, Plan Comparison'!O53</f>
        <v>21</v>
      </c>
      <c r="D46" s="31">
        <f>C46</f>
        <v>21</v>
      </c>
      <c r="E46" s="62">
        <f>'Census Data, Plan Comparison'!Q53</f>
        <v>441.52600000000012</v>
      </c>
      <c r="F46" s="98"/>
      <c r="G46" s="62">
        <f>'Census Data, Plan Comparison'!W53</f>
        <v>485.98736842105257</v>
      </c>
      <c r="H46" s="98"/>
    </row>
    <row r="47" spans="2:8" x14ac:dyDescent="0.25">
      <c r="B47" s="27" t="s">
        <v>15</v>
      </c>
      <c r="C47" s="157">
        <f>'Census Data, Plan Comparison'!O54</f>
        <v>2</v>
      </c>
      <c r="D47" s="32">
        <f>C47*2</f>
        <v>4</v>
      </c>
      <c r="E47" s="62">
        <f>'Census Data, Plan Comparison'!Q54</f>
        <v>1857.125</v>
      </c>
      <c r="F47" s="98"/>
      <c r="G47" s="62">
        <f>'Census Data, Plan Comparison'!W54</f>
        <v>2167.375</v>
      </c>
      <c r="H47" s="98"/>
    </row>
    <row r="48" spans="2:8" ht="15.6" x14ac:dyDescent="0.25">
      <c r="B48" s="27" t="s">
        <v>164</v>
      </c>
      <c r="C48" s="157">
        <f>'Census Data, Plan Comparison'!O55</f>
        <v>10</v>
      </c>
      <c r="D48" s="33">
        <f>SUM(C48*2.2)</f>
        <v>22</v>
      </c>
      <c r="E48" s="62">
        <f>'Census Data, Plan Comparison'!Q55</f>
        <v>1873.3533333333335</v>
      </c>
      <c r="F48" s="98"/>
      <c r="G48" s="62">
        <f>'Census Data, Plan Comparison'!W55</f>
        <v>2012.9349999999995</v>
      </c>
      <c r="H48" s="98"/>
    </row>
    <row r="49" spans="2:8" x14ac:dyDescent="0.25">
      <c r="B49" s="171" t="s">
        <v>12</v>
      </c>
      <c r="C49" s="35">
        <f>SUM(C46:C48)</f>
        <v>33</v>
      </c>
      <c r="D49" s="36">
        <f>SUM(D46:D48)</f>
        <v>47</v>
      </c>
      <c r="E49" s="172"/>
      <c r="F49" s="173"/>
      <c r="G49" s="172"/>
      <c r="H49" s="173"/>
    </row>
    <row r="50" spans="2:8" x14ac:dyDescent="0.25">
      <c r="B50" s="8" t="s">
        <v>2</v>
      </c>
      <c r="C50" s="580" t="s">
        <v>66</v>
      </c>
      <c r="D50" s="580" t="s">
        <v>165</v>
      </c>
      <c r="E50" s="55">
        <f>'Census Data, Plan Comparison'!Q50</f>
        <v>29807.249999999989</v>
      </c>
      <c r="F50" s="39"/>
      <c r="G50" s="55">
        <f>'Census Data, Plan Comparison'!W50</f>
        <v>33697.86</v>
      </c>
      <c r="H50" s="39"/>
    </row>
    <row r="51" spans="2:8" x14ac:dyDescent="0.25">
      <c r="B51" s="8" t="s">
        <v>3</v>
      </c>
      <c r="C51" s="581"/>
      <c r="D51" s="581"/>
      <c r="E51" s="55">
        <f>'Census Data, Plan Comparison'!Q51</f>
        <v>357686.99999999988</v>
      </c>
      <c r="F51" s="39"/>
      <c r="G51" s="55">
        <f>'Census Data, Plan Comparison'!W51</f>
        <v>404374.32</v>
      </c>
      <c r="H51" s="39"/>
    </row>
    <row r="52" spans="2:8" x14ac:dyDescent="0.25">
      <c r="B52" s="8"/>
      <c r="C52" s="581"/>
      <c r="D52" s="581"/>
      <c r="E52" s="55"/>
      <c r="F52" s="39"/>
      <c r="G52" s="55"/>
      <c r="H52" s="39"/>
    </row>
    <row r="53" spans="2:8" x14ac:dyDescent="0.25">
      <c r="B53" s="8" t="s">
        <v>8</v>
      </c>
      <c r="C53" s="581"/>
      <c r="D53" s="581"/>
      <c r="E53" s="56" t="s">
        <v>1</v>
      </c>
      <c r="F53" s="53"/>
      <c r="G53" s="56">
        <f>SUM(G51-$E51)</f>
        <v>46687.320000000123</v>
      </c>
      <c r="H53" s="53"/>
    </row>
    <row r="54" spans="2:8" x14ac:dyDescent="0.25">
      <c r="B54" s="40" t="s">
        <v>9</v>
      </c>
      <c r="C54" s="582"/>
      <c r="D54" s="582"/>
      <c r="E54" s="57" t="s">
        <v>1</v>
      </c>
      <c r="F54" s="54"/>
      <c r="G54" s="61">
        <f>SUM(G53/$E51)</f>
        <v>0.13052562715446783</v>
      </c>
      <c r="H54" s="60"/>
    </row>
    <row r="55" spans="2:8" hidden="1" outlineLevel="1" x14ac:dyDescent="0.25">
      <c r="B55" s="8" t="s">
        <v>10</v>
      </c>
      <c r="C55" s="41"/>
      <c r="D55" s="42"/>
      <c r="E55" s="58" t="s">
        <v>1</v>
      </c>
      <c r="F55" s="90"/>
      <c r="G55" s="58">
        <f>SUM($G$51-$E$51)</f>
        <v>46687.320000000123</v>
      </c>
      <c r="H55" s="90"/>
    </row>
    <row r="56" spans="2:8" hidden="1" outlineLevel="1" x14ac:dyDescent="0.25">
      <c r="B56" s="40" t="s">
        <v>11</v>
      </c>
      <c r="C56" s="43"/>
      <c r="D56" s="44"/>
      <c r="E56" s="57" t="s">
        <v>1</v>
      </c>
      <c r="F56" s="54"/>
      <c r="G56" s="61">
        <f>SUM(G55/$E$51)</f>
        <v>0.13052562715446783</v>
      </c>
      <c r="H56" s="60"/>
    </row>
    <row r="57" spans="2:8" collapsed="1" x14ac:dyDescent="0.25">
      <c r="B57" s="45" t="s">
        <v>53</v>
      </c>
      <c r="C57" s="46"/>
      <c r="D57" s="47"/>
      <c r="E57" s="59">
        <f>SUM(E51/$C$49)</f>
        <v>10838.999999999996</v>
      </c>
      <c r="F57" s="94"/>
      <c r="G57" s="59">
        <f>SUM(G51/$C$49)</f>
        <v>12253.767272727273</v>
      </c>
      <c r="H57" s="94"/>
    </row>
    <row r="58" spans="2:8" x14ac:dyDescent="0.25">
      <c r="B58" s="3"/>
      <c r="E58" s="48"/>
      <c r="F58" s="48"/>
      <c r="G58" s="48"/>
      <c r="H58" s="48"/>
    </row>
    <row r="59" spans="2:8" x14ac:dyDescent="0.25">
      <c r="B59" s="3"/>
      <c r="E59" s="48"/>
      <c r="F59" s="48"/>
      <c r="G59" s="48"/>
      <c r="H59" s="48"/>
    </row>
    <row r="60" spans="2:8" x14ac:dyDescent="0.25">
      <c r="B60" s="3"/>
      <c r="E60" s="48"/>
      <c r="F60" s="48"/>
      <c r="G60" s="48"/>
      <c r="H60" s="48"/>
    </row>
    <row r="61" spans="2:8" x14ac:dyDescent="0.25">
      <c r="B61" s="1" t="s">
        <v>140</v>
      </c>
      <c r="C61" s="82">
        <v>3.5000000000000003E-2</v>
      </c>
      <c r="D61" s="49">
        <f>SUM(G50*C61)</f>
        <v>1179.4251000000002</v>
      </c>
      <c r="E61" s="49">
        <v>1000</v>
      </c>
      <c r="F61" s="50">
        <v>250.28</v>
      </c>
      <c r="H61" s="50"/>
    </row>
    <row r="62" spans="2:8" x14ac:dyDescent="0.25">
      <c r="D62" s="49">
        <f>SUM(D61*12)</f>
        <v>14153.101200000001</v>
      </c>
      <c r="E62" s="1">
        <v>12</v>
      </c>
      <c r="F62" s="95">
        <v>0.2</v>
      </c>
      <c r="H62" s="50"/>
    </row>
    <row r="63" spans="2:8" x14ac:dyDescent="0.25">
      <c r="E63" s="50">
        <f>SUM(E61/E62)</f>
        <v>83.333333333333329</v>
      </c>
      <c r="F63" s="50">
        <f>SUM(F61*F62)+F61</f>
        <v>300.33600000000001</v>
      </c>
    </row>
    <row r="64" spans="2:8" x14ac:dyDescent="0.25">
      <c r="F64" s="50">
        <f>SUM(F63-F61)</f>
        <v>50.056000000000012</v>
      </c>
    </row>
  </sheetData>
  <mergeCells count="10">
    <mergeCell ref="E12:F12"/>
    <mergeCell ref="G12:H12"/>
    <mergeCell ref="C50:C54"/>
    <mergeCell ref="D50:D54"/>
    <mergeCell ref="E8:F8"/>
    <mergeCell ref="G8:H8"/>
    <mergeCell ref="E9:F9"/>
    <mergeCell ref="G9:H9"/>
    <mergeCell ref="E10:F10"/>
    <mergeCell ref="G10:H10"/>
  </mergeCells>
  <pageMargins left="0" right="0" top="0.5" bottom="0.5" header="0.25" footer="0.25"/>
  <pageSetup scale="64" orientation="landscape" r:id="rId1"/>
  <headerFooter>
    <oddFooter>&amp;C&amp;A
Page 2 of 10&amp;R&amp;D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79BBF-6E3C-4809-A3B7-7BBEF74461A2}">
  <dimension ref="A3:B8"/>
  <sheetViews>
    <sheetView workbookViewId="0">
      <selection activeCell="B5" sqref="B5"/>
    </sheetView>
  </sheetViews>
  <sheetFormatPr defaultRowHeight="13.2" x14ac:dyDescent="0.25"/>
  <cols>
    <col min="1" max="1" width="17.88671875" bestFit="1" customWidth="1"/>
    <col min="2" max="2" width="25.21875" bestFit="1" customWidth="1"/>
  </cols>
  <sheetData>
    <row r="3" spans="1:2" x14ac:dyDescent="0.25">
      <c r="A3" s="914" t="s">
        <v>640</v>
      </c>
      <c r="B3" t="s">
        <v>646</v>
      </c>
    </row>
    <row r="4" spans="1:2" x14ac:dyDescent="0.25">
      <c r="A4" s="915" t="s">
        <v>472</v>
      </c>
      <c r="B4" s="865">
        <v>1515</v>
      </c>
    </row>
    <row r="5" spans="1:2" x14ac:dyDescent="0.25">
      <c r="A5" s="915" t="s">
        <v>471</v>
      </c>
      <c r="B5" s="865">
        <v>974</v>
      </c>
    </row>
    <row r="6" spans="1:2" x14ac:dyDescent="0.25">
      <c r="A6" s="915" t="s">
        <v>469</v>
      </c>
      <c r="B6" s="865">
        <v>489</v>
      </c>
    </row>
    <row r="7" spans="1:2" x14ac:dyDescent="0.25">
      <c r="A7" s="915" t="s">
        <v>470</v>
      </c>
      <c r="B7" s="865">
        <v>1046</v>
      </c>
    </row>
    <row r="8" spans="1:2" x14ac:dyDescent="0.25">
      <c r="A8" s="915" t="s">
        <v>642</v>
      </c>
      <c r="B8" s="865">
        <v>4024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579CC-17EF-477F-A8A7-EC654CE5AD2B}">
  <dimension ref="A3:B8"/>
  <sheetViews>
    <sheetView workbookViewId="0">
      <selection activeCell="A3" sqref="A3"/>
    </sheetView>
  </sheetViews>
  <sheetFormatPr defaultRowHeight="13.2" x14ac:dyDescent="0.25"/>
  <cols>
    <col min="1" max="1" width="17.88671875" bestFit="1" customWidth="1"/>
    <col min="2" max="2" width="26.44140625" bestFit="1" customWidth="1"/>
  </cols>
  <sheetData>
    <row r="3" spans="1:2" x14ac:dyDescent="0.25">
      <c r="A3" s="914" t="s">
        <v>640</v>
      </c>
      <c r="B3" t="s">
        <v>641</v>
      </c>
    </row>
    <row r="4" spans="1:2" x14ac:dyDescent="0.25">
      <c r="A4" s="915" t="s">
        <v>472</v>
      </c>
      <c r="B4" s="865">
        <v>7267.39</v>
      </c>
    </row>
    <row r="5" spans="1:2" x14ac:dyDescent="0.25">
      <c r="A5" s="915" t="s">
        <v>471</v>
      </c>
      <c r="B5" s="865">
        <v>4676.8999999999996</v>
      </c>
    </row>
    <row r="6" spans="1:2" x14ac:dyDescent="0.25">
      <c r="A6" s="915" t="s">
        <v>469</v>
      </c>
      <c r="B6" s="865">
        <v>2344.33</v>
      </c>
    </row>
    <row r="7" spans="1:2" x14ac:dyDescent="0.25">
      <c r="A7" s="915" t="s">
        <v>470</v>
      </c>
      <c r="B7" s="865">
        <v>5016.83</v>
      </c>
    </row>
    <row r="8" spans="1:2" x14ac:dyDescent="0.25">
      <c r="A8" s="915" t="s">
        <v>642</v>
      </c>
      <c r="B8" s="865">
        <v>19305.45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1363-5112-44BD-BEA6-4688DD433A75}">
  <dimension ref="A3:C8"/>
  <sheetViews>
    <sheetView workbookViewId="0">
      <selection activeCell="A3" sqref="A3"/>
    </sheetView>
  </sheetViews>
  <sheetFormatPr defaultRowHeight="13.2" x14ac:dyDescent="0.25"/>
  <cols>
    <col min="1" max="1" width="17.88671875" bestFit="1" customWidth="1"/>
    <col min="2" max="2" width="34.6640625" bestFit="1" customWidth="1"/>
    <col min="3" max="3" width="34.44140625" bestFit="1" customWidth="1"/>
  </cols>
  <sheetData>
    <row r="3" spans="1:3" x14ac:dyDescent="0.25">
      <c r="A3" s="914" t="s">
        <v>640</v>
      </c>
      <c r="B3" t="s">
        <v>647</v>
      </c>
      <c r="C3" t="s">
        <v>648</v>
      </c>
    </row>
    <row r="4" spans="1:3" x14ac:dyDescent="0.25">
      <c r="A4" s="915" t="s">
        <v>472</v>
      </c>
      <c r="B4" s="865">
        <v>908.24250000000006</v>
      </c>
      <c r="C4" s="865">
        <v>606.75749999999994</v>
      </c>
    </row>
    <row r="5" spans="1:3" x14ac:dyDescent="0.25">
      <c r="A5" s="915" t="s">
        <v>471</v>
      </c>
      <c r="B5" s="865">
        <v>583.91300000000001</v>
      </c>
      <c r="C5" s="865">
        <v>390.08699999999999</v>
      </c>
    </row>
    <row r="6" spans="1:3" x14ac:dyDescent="0.25">
      <c r="A6" s="915" t="s">
        <v>469</v>
      </c>
      <c r="B6" s="865">
        <v>336.62760000000003</v>
      </c>
      <c r="C6" s="865">
        <v>152.37239999999997</v>
      </c>
    </row>
    <row r="7" spans="1:3" x14ac:dyDescent="0.25">
      <c r="A7" s="915" t="s">
        <v>470</v>
      </c>
      <c r="B7" s="865">
        <v>627.077</v>
      </c>
      <c r="C7" s="865">
        <v>418.923</v>
      </c>
    </row>
    <row r="8" spans="1:3" x14ac:dyDescent="0.25">
      <c r="A8" s="915" t="s">
        <v>642</v>
      </c>
      <c r="B8" s="865">
        <v>2455.8600999999999</v>
      </c>
      <c r="C8" s="865">
        <v>1568.1398999999999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C245B-2D9C-4BC5-BC6E-FE0274C0FD5E}">
  <dimension ref="A3:C22"/>
  <sheetViews>
    <sheetView workbookViewId="0">
      <selection activeCell="A17" sqref="A17:B22"/>
    </sheetView>
  </sheetViews>
  <sheetFormatPr defaultRowHeight="13.2" x14ac:dyDescent="0.25"/>
  <cols>
    <col min="1" max="2" width="17.88671875" bestFit="1" customWidth="1"/>
    <col min="3" max="3" width="35" bestFit="1" customWidth="1"/>
    <col min="4" max="8" width="28.88671875" bestFit="1" customWidth="1"/>
    <col min="9" max="10" width="11.33203125" bestFit="1" customWidth="1"/>
    <col min="11" max="16" width="34.6640625" bestFit="1" customWidth="1"/>
    <col min="17" max="17" width="39.44140625" bestFit="1" customWidth="1"/>
    <col min="18" max="18" width="39.6640625" bestFit="1" customWidth="1"/>
  </cols>
  <sheetData>
    <row r="3" spans="1:3" x14ac:dyDescent="0.25">
      <c r="A3" s="914" t="s">
        <v>640</v>
      </c>
      <c r="B3" t="s">
        <v>643</v>
      </c>
      <c r="C3" t="s">
        <v>644</v>
      </c>
    </row>
    <row r="4" spans="1:3" x14ac:dyDescent="0.25">
      <c r="A4" s="915" t="s">
        <v>472</v>
      </c>
      <c r="B4" s="865">
        <v>4358.6171525</v>
      </c>
      <c r="C4" s="865">
        <v>2908.7728474999999</v>
      </c>
    </row>
    <row r="5" spans="1:3" x14ac:dyDescent="0.25">
      <c r="A5" s="915" t="s">
        <v>471</v>
      </c>
      <c r="B5" s="865">
        <v>2804.9707749999998</v>
      </c>
      <c r="C5" s="865">
        <v>1871.9292249999999</v>
      </c>
    </row>
    <row r="6" spans="1:3" x14ac:dyDescent="0.25">
      <c r="A6" s="915" t="s">
        <v>469</v>
      </c>
      <c r="B6" s="865">
        <v>1613.8367719999999</v>
      </c>
      <c r="C6" s="865">
        <v>730.49322800000004</v>
      </c>
    </row>
    <row r="7" spans="1:3" x14ac:dyDescent="0.25">
      <c r="A7" s="915" t="s">
        <v>470</v>
      </c>
      <c r="B7" s="865">
        <v>3008.8437925000003</v>
      </c>
      <c r="C7" s="865">
        <v>2007.9862075000001</v>
      </c>
    </row>
    <row r="8" spans="1:3" x14ac:dyDescent="0.25">
      <c r="A8" s="915" t="s">
        <v>642</v>
      </c>
      <c r="B8" s="865">
        <v>11786.268491999999</v>
      </c>
      <c r="C8" s="865">
        <v>7519.1815080000006</v>
      </c>
    </row>
    <row r="17" spans="1:2" x14ac:dyDescent="0.25">
      <c r="A17" s="914" t="s">
        <v>640</v>
      </c>
      <c r="B17" t="s">
        <v>645</v>
      </c>
    </row>
    <row r="18" spans="1:2" x14ac:dyDescent="0.25">
      <c r="A18" s="915" t="s">
        <v>472</v>
      </c>
      <c r="B18" s="865">
        <v>11</v>
      </c>
    </row>
    <row r="19" spans="1:2" x14ac:dyDescent="0.25">
      <c r="A19" s="915" t="s">
        <v>471</v>
      </c>
      <c r="B19" s="865">
        <v>19</v>
      </c>
    </row>
    <row r="20" spans="1:2" x14ac:dyDescent="0.25">
      <c r="A20" s="915" t="s">
        <v>469</v>
      </c>
      <c r="B20" s="865">
        <v>102</v>
      </c>
    </row>
    <row r="21" spans="1:2" x14ac:dyDescent="0.25">
      <c r="A21" s="915" t="s">
        <v>470</v>
      </c>
      <c r="B21" s="865">
        <v>22</v>
      </c>
    </row>
    <row r="22" spans="1:2" x14ac:dyDescent="0.25">
      <c r="A22" s="915" t="s">
        <v>642</v>
      </c>
      <c r="B22" s="865">
        <v>154</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56E45-3EF4-4B3B-B8EF-FCF90CFDFAB9}">
  <dimension ref="A1:M33"/>
  <sheetViews>
    <sheetView workbookViewId="0">
      <selection activeCell="F21" sqref="F21"/>
    </sheetView>
  </sheetViews>
  <sheetFormatPr defaultRowHeight="13.2" x14ac:dyDescent="0.25"/>
  <cols>
    <col min="1" max="1" width="27" bestFit="1" customWidth="1"/>
    <col min="2" max="2" width="13.21875" bestFit="1" customWidth="1"/>
    <col min="3" max="3" width="20.6640625" bestFit="1" customWidth="1"/>
    <col min="4" max="4" width="21.77734375" bestFit="1" customWidth="1"/>
    <col min="5" max="5" width="26.88671875" bestFit="1" customWidth="1"/>
    <col min="6" max="6" width="27.44140625" bestFit="1" customWidth="1"/>
    <col min="7" max="7" width="30" bestFit="1" customWidth="1"/>
    <col min="8" max="8" width="29.77734375" bestFit="1" customWidth="1"/>
    <col min="9" max="9" width="30.5546875" bestFit="1" customWidth="1"/>
    <col min="10" max="10" width="30.33203125" bestFit="1" customWidth="1"/>
    <col min="11" max="11" width="35.33203125" bestFit="1" customWidth="1"/>
    <col min="12" max="12" width="35.5546875" bestFit="1" customWidth="1"/>
    <col min="13" max="13" width="9.6640625" bestFit="1" customWidth="1"/>
  </cols>
  <sheetData>
    <row r="1" spans="1:13" x14ac:dyDescent="0.25">
      <c r="A1" t="s">
        <v>473</v>
      </c>
      <c r="B1" t="s">
        <v>468</v>
      </c>
      <c r="C1" t="s">
        <v>509</v>
      </c>
      <c r="D1" t="s">
        <v>510</v>
      </c>
      <c r="E1" t="s">
        <v>511</v>
      </c>
      <c r="F1" t="s">
        <v>512</v>
      </c>
      <c r="G1" t="s">
        <v>633</v>
      </c>
      <c r="H1" t="s">
        <v>634</v>
      </c>
      <c r="I1" t="s">
        <v>635</v>
      </c>
      <c r="J1" t="s">
        <v>636</v>
      </c>
      <c r="K1" t="s">
        <v>637</v>
      </c>
      <c r="L1" t="s">
        <v>638</v>
      </c>
      <c r="M1" t="s">
        <v>639</v>
      </c>
    </row>
    <row r="2" spans="1:13" x14ac:dyDescent="0.25">
      <c r="A2" s="865" t="s">
        <v>469</v>
      </c>
      <c r="B2">
        <v>30</v>
      </c>
      <c r="C2">
        <v>0</v>
      </c>
      <c r="D2">
        <v>746.26</v>
      </c>
      <c r="E2">
        <v>695.31</v>
      </c>
      <c r="F2">
        <v>695.31</v>
      </c>
      <c r="G2">
        <v>0</v>
      </c>
      <c r="H2">
        <v>0</v>
      </c>
      <c r="I2">
        <v>513.72538399999996</v>
      </c>
      <c r="J2">
        <v>232.53461600000003</v>
      </c>
      <c r="K2">
        <v>478.92952799999995</v>
      </c>
      <c r="L2">
        <v>216.380472</v>
      </c>
      <c r="M2">
        <v>1</v>
      </c>
    </row>
    <row r="3" spans="1:13" x14ac:dyDescent="0.25">
      <c r="A3" s="865" t="s">
        <v>470</v>
      </c>
      <c r="B3">
        <v>6</v>
      </c>
      <c r="C3">
        <v>0</v>
      </c>
      <c r="D3">
        <v>1596.98</v>
      </c>
      <c r="E3">
        <v>1487.97</v>
      </c>
      <c r="F3">
        <v>1487.97</v>
      </c>
      <c r="G3">
        <v>0</v>
      </c>
      <c r="H3">
        <v>0</v>
      </c>
      <c r="I3">
        <v>957.78875500000004</v>
      </c>
      <c r="J3">
        <v>639.19124499999998</v>
      </c>
      <c r="K3">
        <v>892.41000750000001</v>
      </c>
      <c r="L3">
        <v>595.55999250000002</v>
      </c>
      <c r="M3">
        <v>1</v>
      </c>
    </row>
    <row r="4" spans="1:13" x14ac:dyDescent="0.25">
      <c r="A4" s="865" t="s">
        <v>471</v>
      </c>
      <c r="B4">
        <v>2</v>
      </c>
      <c r="C4">
        <v>0</v>
      </c>
      <c r="D4">
        <v>1488.77</v>
      </c>
      <c r="E4">
        <v>1387.15</v>
      </c>
      <c r="F4">
        <v>1387.15</v>
      </c>
      <c r="G4">
        <v>0</v>
      </c>
      <c r="H4">
        <v>0</v>
      </c>
      <c r="I4">
        <v>892.88980749999996</v>
      </c>
      <c r="J4">
        <v>595.88019250000002</v>
      </c>
      <c r="K4">
        <v>831.94321250000007</v>
      </c>
      <c r="L4">
        <v>555.20678750000002</v>
      </c>
      <c r="M4">
        <v>1</v>
      </c>
    </row>
    <row r="5" spans="1:13" x14ac:dyDescent="0.25">
      <c r="A5" s="865" t="s">
        <v>472</v>
      </c>
      <c r="B5">
        <v>4</v>
      </c>
      <c r="C5">
        <v>0</v>
      </c>
      <c r="D5">
        <v>2313.39</v>
      </c>
      <c r="E5">
        <v>2155.4699999999998</v>
      </c>
      <c r="F5">
        <v>2155.4699999999998</v>
      </c>
      <c r="G5">
        <v>0</v>
      </c>
      <c r="H5">
        <v>0</v>
      </c>
      <c r="I5">
        <v>1387.4556525</v>
      </c>
      <c r="J5">
        <v>925.93434749999983</v>
      </c>
      <c r="K5">
        <v>1292.7431325</v>
      </c>
      <c r="L5">
        <v>862.7268674999998</v>
      </c>
      <c r="M5">
        <v>1</v>
      </c>
    </row>
    <row r="6" spans="1:13" x14ac:dyDescent="0.25">
      <c r="A6" s="865" t="s">
        <v>31</v>
      </c>
      <c r="B6">
        <v>42</v>
      </c>
      <c r="C6">
        <v>0</v>
      </c>
      <c r="D6">
        <v>44200.78</v>
      </c>
      <c r="E6">
        <v>41183.299999999996</v>
      </c>
      <c r="F6">
        <v>41183.299999999996</v>
      </c>
      <c r="M6">
        <v>1</v>
      </c>
    </row>
    <row r="7" spans="1:13" x14ac:dyDescent="0.25">
      <c r="A7" s="865" t="s">
        <v>3</v>
      </c>
      <c r="C7">
        <v>0</v>
      </c>
      <c r="D7">
        <v>530409.36</v>
      </c>
      <c r="E7">
        <v>494199.6</v>
      </c>
      <c r="F7">
        <v>494199.6</v>
      </c>
      <c r="M7">
        <v>1</v>
      </c>
    </row>
    <row r="8" spans="1:13" x14ac:dyDescent="0.25">
      <c r="A8" s="865" t="s">
        <v>476</v>
      </c>
      <c r="C8">
        <v>0</v>
      </c>
      <c r="D8">
        <v>530409.36</v>
      </c>
      <c r="E8">
        <v>494199.6</v>
      </c>
      <c r="F8">
        <v>-36209.760000000009</v>
      </c>
      <c r="M8">
        <v>1</v>
      </c>
    </row>
    <row r="9" spans="1:13" x14ac:dyDescent="0.25">
      <c r="A9" s="865" t="s">
        <v>477</v>
      </c>
      <c r="C9">
        <v>0</v>
      </c>
      <c r="D9">
        <v>0</v>
      </c>
      <c r="E9">
        <v>0</v>
      </c>
      <c r="F9">
        <v>-6.8267573558656675E-2</v>
      </c>
      <c r="M9">
        <v>1</v>
      </c>
    </row>
    <row r="10" spans="1:13" x14ac:dyDescent="0.25">
      <c r="A10" s="865" t="s">
        <v>469</v>
      </c>
      <c r="B10">
        <v>19</v>
      </c>
      <c r="C10">
        <v>0</v>
      </c>
      <c r="D10">
        <v>497.2</v>
      </c>
      <c r="E10">
        <v>515.17999999999995</v>
      </c>
      <c r="F10">
        <v>515.17999999999995</v>
      </c>
      <c r="G10">
        <v>0</v>
      </c>
      <c r="H10">
        <v>0</v>
      </c>
      <c r="I10">
        <v>342.27247999999997</v>
      </c>
      <c r="J10">
        <v>154.92752000000002</v>
      </c>
      <c r="K10">
        <v>354.64991199999997</v>
      </c>
      <c r="L10">
        <v>160.53008799999998</v>
      </c>
      <c r="M10">
        <v>2</v>
      </c>
    </row>
    <row r="11" spans="1:13" x14ac:dyDescent="0.25">
      <c r="A11" s="865" t="s">
        <v>470</v>
      </c>
      <c r="B11">
        <v>2</v>
      </c>
      <c r="C11">
        <v>0</v>
      </c>
      <c r="D11">
        <v>1063.99</v>
      </c>
      <c r="E11">
        <v>1102.49</v>
      </c>
      <c r="F11">
        <v>1102.49</v>
      </c>
      <c r="G11">
        <v>0</v>
      </c>
      <c r="H11">
        <v>0</v>
      </c>
      <c r="I11">
        <v>638.12800249999998</v>
      </c>
      <c r="J11">
        <v>425.86199750000003</v>
      </c>
      <c r="K11">
        <v>661.21837749999997</v>
      </c>
      <c r="L11">
        <v>441.27162250000003</v>
      </c>
      <c r="M11">
        <v>2</v>
      </c>
    </row>
    <row r="12" spans="1:13" x14ac:dyDescent="0.25">
      <c r="A12" s="865" t="s">
        <v>471</v>
      </c>
      <c r="B12">
        <v>3</v>
      </c>
      <c r="C12">
        <v>0</v>
      </c>
      <c r="D12">
        <v>991.9</v>
      </c>
      <c r="E12">
        <v>1027.79</v>
      </c>
      <c r="F12">
        <v>1027.79</v>
      </c>
      <c r="G12">
        <v>0</v>
      </c>
      <c r="H12">
        <v>0</v>
      </c>
      <c r="I12">
        <v>594.89202499999999</v>
      </c>
      <c r="J12">
        <v>397.00797499999999</v>
      </c>
      <c r="K12">
        <v>616.41705249999995</v>
      </c>
      <c r="L12">
        <v>411.37294750000001</v>
      </c>
      <c r="M12">
        <v>2</v>
      </c>
    </row>
    <row r="13" spans="1:13" x14ac:dyDescent="0.25">
      <c r="A13" s="865" t="s">
        <v>472</v>
      </c>
      <c r="B13">
        <v>1</v>
      </c>
      <c r="C13">
        <v>0</v>
      </c>
      <c r="D13">
        <v>1541.3</v>
      </c>
      <c r="E13">
        <v>1597.07</v>
      </c>
      <c r="F13">
        <v>1597.07</v>
      </c>
      <c r="G13">
        <v>0</v>
      </c>
      <c r="H13">
        <v>0</v>
      </c>
      <c r="I13">
        <v>924.39467500000001</v>
      </c>
      <c r="J13">
        <v>616.90532499999995</v>
      </c>
      <c r="K13">
        <v>957.84273250000001</v>
      </c>
      <c r="L13">
        <v>639.22726749999993</v>
      </c>
      <c r="M13">
        <v>2</v>
      </c>
    </row>
    <row r="14" spans="1:13" x14ac:dyDescent="0.25">
      <c r="A14" s="865" t="s">
        <v>31</v>
      </c>
      <c r="B14">
        <v>25</v>
      </c>
      <c r="C14">
        <v>0</v>
      </c>
      <c r="D14">
        <v>16091.779999999999</v>
      </c>
      <c r="E14">
        <v>16673.839999999997</v>
      </c>
      <c r="F14">
        <v>16673.839999999997</v>
      </c>
      <c r="M14">
        <v>2</v>
      </c>
    </row>
    <row r="15" spans="1:13" x14ac:dyDescent="0.25">
      <c r="A15" s="865" t="s">
        <v>3</v>
      </c>
      <c r="C15">
        <v>0</v>
      </c>
      <c r="D15">
        <v>193101.36</v>
      </c>
      <c r="E15">
        <v>200086.07999999996</v>
      </c>
      <c r="F15">
        <v>200086.07999999996</v>
      </c>
      <c r="M15">
        <v>2</v>
      </c>
    </row>
    <row r="16" spans="1:13" x14ac:dyDescent="0.25">
      <c r="A16" s="865" t="s">
        <v>476</v>
      </c>
      <c r="C16">
        <v>0</v>
      </c>
      <c r="D16">
        <v>193101.36</v>
      </c>
      <c r="E16">
        <v>200086.07999999996</v>
      </c>
      <c r="F16">
        <v>6984.7199999999721</v>
      </c>
      <c r="M16">
        <v>2</v>
      </c>
    </row>
    <row r="17" spans="1:13" x14ac:dyDescent="0.25">
      <c r="A17" s="865" t="s">
        <v>477</v>
      </c>
      <c r="C17">
        <v>0</v>
      </c>
      <c r="D17">
        <v>0</v>
      </c>
      <c r="E17">
        <v>0</v>
      </c>
      <c r="F17">
        <v>3.6171262594939635E-2</v>
      </c>
      <c r="M17">
        <v>2</v>
      </c>
    </row>
    <row r="18" spans="1:13" x14ac:dyDescent="0.25">
      <c r="A18" s="865" t="s">
        <v>469</v>
      </c>
      <c r="B18">
        <v>42</v>
      </c>
      <c r="C18">
        <v>0</v>
      </c>
      <c r="D18">
        <v>563.86</v>
      </c>
      <c r="E18">
        <v>591.28</v>
      </c>
      <c r="F18">
        <v>591.28</v>
      </c>
      <c r="G18">
        <v>0</v>
      </c>
      <c r="H18">
        <v>0</v>
      </c>
      <c r="I18">
        <v>388.161224</v>
      </c>
      <c r="J18">
        <v>175.69877600000001</v>
      </c>
      <c r="K18">
        <v>407.03715199999999</v>
      </c>
      <c r="L18">
        <v>184.24284799999998</v>
      </c>
      <c r="M18">
        <v>3</v>
      </c>
    </row>
    <row r="19" spans="1:13" x14ac:dyDescent="0.25">
      <c r="A19" s="865" t="s">
        <v>470</v>
      </c>
      <c r="B19">
        <v>8</v>
      </c>
      <c r="C19">
        <v>0</v>
      </c>
      <c r="D19">
        <v>1206.6600000000001</v>
      </c>
      <c r="E19">
        <v>1265.3399999999999</v>
      </c>
      <c r="F19">
        <v>1265.3399999999999</v>
      </c>
      <c r="G19">
        <v>0</v>
      </c>
      <c r="H19">
        <v>0</v>
      </c>
      <c r="I19">
        <v>723.69433500000002</v>
      </c>
      <c r="J19">
        <v>482.96566500000006</v>
      </c>
      <c r="K19">
        <v>758.88766499999997</v>
      </c>
      <c r="L19">
        <v>506.45233499999995</v>
      </c>
      <c r="M19">
        <v>3</v>
      </c>
    </row>
    <row r="20" spans="1:13" x14ac:dyDescent="0.25">
      <c r="A20" s="865" t="s">
        <v>471</v>
      </c>
      <c r="B20">
        <v>9</v>
      </c>
      <c r="C20">
        <v>0</v>
      </c>
      <c r="D20">
        <v>1124.8900000000001</v>
      </c>
      <c r="E20">
        <v>1179.6099999999999</v>
      </c>
      <c r="F20">
        <v>1179.6099999999999</v>
      </c>
      <c r="G20">
        <v>0</v>
      </c>
      <c r="H20">
        <v>0</v>
      </c>
      <c r="I20">
        <v>674.65277750000007</v>
      </c>
      <c r="J20">
        <v>450.23722250000003</v>
      </c>
      <c r="K20">
        <v>707.47109749999993</v>
      </c>
      <c r="L20">
        <v>472.13890249999997</v>
      </c>
      <c r="M20">
        <v>3</v>
      </c>
    </row>
    <row r="21" spans="1:13" x14ac:dyDescent="0.25">
      <c r="A21" s="865" t="s">
        <v>472</v>
      </c>
      <c r="B21">
        <v>4</v>
      </c>
      <c r="C21">
        <v>0</v>
      </c>
      <c r="D21">
        <v>1747.96</v>
      </c>
      <c r="E21">
        <v>1832.97</v>
      </c>
      <c r="F21">
        <v>1832.97</v>
      </c>
      <c r="G21">
        <v>0</v>
      </c>
      <c r="H21">
        <v>0</v>
      </c>
      <c r="I21">
        <v>1048.3390100000001</v>
      </c>
      <c r="J21">
        <v>699.62098999999989</v>
      </c>
      <c r="K21">
        <v>1099.3237575000001</v>
      </c>
      <c r="L21">
        <v>733.64624249999997</v>
      </c>
      <c r="M21">
        <v>3</v>
      </c>
    </row>
    <row r="22" spans="1:13" x14ac:dyDescent="0.25">
      <c r="A22" s="865" t="s">
        <v>31</v>
      </c>
      <c r="B22">
        <v>63</v>
      </c>
      <c r="C22">
        <v>0</v>
      </c>
      <c r="D22">
        <v>50451.25</v>
      </c>
      <c r="E22">
        <v>52904.849999999991</v>
      </c>
      <c r="F22">
        <v>52904.849999999991</v>
      </c>
      <c r="M22">
        <v>3</v>
      </c>
    </row>
    <row r="23" spans="1:13" x14ac:dyDescent="0.25">
      <c r="A23" s="865" t="s">
        <v>3</v>
      </c>
      <c r="C23">
        <v>0</v>
      </c>
      <c r="D23">
        <v>605415</v>
      </c>
      <c r="E23">
        <v>634858.19999999995</v>
      </c>
      <c r="F23">
        <v>634858.19999999995</v>
      </c>
      <c r="M23">
        <v>3</v>
      </c>
    </row>
    <row r="24" spans="1:13" x14ac:dyDescent="0.25">
      <c r="A24" s="865" t="s">
        <v>476</v>
      </c>
      <c r="C24">
        <v>0</v>
      </c>
      <c r="D24">
        <v>605415</v>
      </c>
      <c r="E24">
        <v>634858.19999999995</v>
      </c>
      <c r="F24">
        <v>29443.199999999953</v>
      </c>
      <c r="M24">
        <v>3</v>
      </c>
    </row>
    <row r="25" spans="1:13" x14ac:dyDescent="0.25">
      <c r="A25" s="865" t="s">
        <v>477</v>
      </c>
      <c r="C25">
        <v>0</v>
      </c>
      <c r="D25">
        <v>0</v>
      </c>
      <c r="E25">
        <v>0</v>
      </c>
      <c r="F25">
        <v>4.86330863952825E-2</v>
      </c>
      <c r="M25">
        <v>3</v>
      </c>
    </row>
    <row r="26" spans="1:13" x14ac:dyDescent="0.25">
      <c r="A26" s="865" t="s">
        <v>469</v>
      </c>
      <c r="B26">
        <v>11</v>
      </c>
      <c r="C26">
        <v>489</v>
      </c>
      <c r="D26">
        <v>537.01</v>
      </c>
      <c r="E26">
        <v>515.17999999999995</v>
      </c>
      <c r="F26">
        <v>515.17999999999995</v>
      </c>
      <c r="G26">
        <v>336.62760000000003</v>
      </c>
      <c r="H26">
        <v>152.37239999999997</v>
      </c>
      <c r="I26">
        <v>369.677684</v>
      </c>
      <c r="J26">
        <v>167.33231599999999</v>
      </c>
      <c r="K26">
        <v>354.64991199999997</v>
      </c>
      <c r="L26">
        <v>160.53008799999998</v>
      </c>
      <c r="M26">
        <v>4</v>
      </c>
    </row>
    <row r="27" spans="1:13" x14ac:dyDescent="0.25">
      <c r="A27" s="865" t="s">
        <v>470</v>
      </c>
      <c r="B27">
        <v>6</v>
      </c>
      <c r="C27">
        <v>1046</v>
      </c>
      <c r="D27">
        <v>1149.2</v>
      </c>
      <c r="E27">
        <v>1102.49</v>
      </c>
      <c r="F27">
        <v>1102.49</v>
      </c>
      <c r="G27">
        <v>627.077</v>
      </c>
      <c r="H27">
        <v>418.923</v>
      </c>
      <c r="I27">
        <v>689.23270000000002</v>
      </c>
      <c r="J27">
        <v>459.96730000000002</v>
      </c>
      <c r="K27">
        <v>661.21837749999997</v>
      </c>
      <c r="L27">
        <v>441.27162250000003</v>
      </c>
      <c r="M27">
        <v>4</v>
      </c>
    </row>
    <row r="28" spans="1:13" x14ac:dyDescent="0.25">
      <c r="A28" s="865" t="s">
        <v>471</v>
      </c>
      <c r="B28">
        <v>5</v>
      </c>
      <c r="C28">
        <v>974</v>
      </c>
      <c r="D28">
        <v>1071.3399999999999</v>
      </c>
      <c r="E28">
        <v>1027.79</v>
      </c>
      <c r="F28">
        <v>1027.79</v>
      </c>
      <c r="G28">
        <v>583.91300000000001</v>
      </c>
      <c r="H28">
        <v>390.08699999999999</v>
      </c>
      <c r="I28">
        <v>642.53616499999998</v>
      </c>
      <c r="J28">
        <v>428.80383499999994</v>
      </c>
      <c r="K28">
        <v>616.41705249999995</v>
      </c>
      <c r="L28">
        <v>411.37294750000001</v>
      </c>
      <c r="M28">
        <v>4</v>
      </c>
    </row>
    <row r="29" spans="1:13" x14ac:dyDescent="0.25">
      <c r="A29" s="865" t="s">
        <v>472</v>
      </c>
      <c r="B29">
        <v>2</v>
      </c>
      <c r="C29">
        <v>1515</v>
      </c>
      <c r="D29">
        <v>1664.74</v>
      </c>
      <c r="E29">
        <v>1597.07</v>
      </c>
      <c r="F29">
        <v>1597.07</v>
      </c>
      <c r="G29">
        <v>908.24250000000006</v>
      </c>
      <c r="H29">
        <v>606.75749999999994</v>
      </c>
      <c r="I29">
        <v>998.42781500000001</v>
      </c>
      <c r="J29">
        <v>666.312185</v>
      </c>
      <c r="K29">
        <v>957.84273250000001</v>
      </c>
      <c r="L29">
        <v>639.22726749999993</v>
      </c>
      <c r="M29">
        <v>4</v>
      </c>
    </row>
    <row r="30" spans="1:13" x14ac:dyDescent="0.25">
      <c r="A30" s="865" t="s">
        <v>31</v>
      </c>
      <c r="B30">
        <v>24</v>
      </c>
      <c r="C30">
        <v>19555</v>
      </c>
      <c r="D30">
        <v>21488.49</v>
      </c>
      <c r="E30">
        <v>20615.009999999998</v>
      </c>
      <c r="F30">
        <v>20615.009999999998</v>
      </c>
      <c r="M30">
        <v>4</v>
      </c>
    </row>
    <row r="31" spans="1:13" x14ac:dyDescent="0.25">
      <c r="A31" s="865" t="s">
        <v>3</v>
      </c>
      <c r="C31">
        <v>234660</v>
      </c>
      <c r="D31">
        <v>257861.88</v>
      </c>
      <c r="E31">
        <v>247380.12</v>
      </c>
      <c r="F31">
        <v>247380.12</v>
      </c>
      <c r="M31">
        <v>4</v>
      </c>
    </row>
    <row r="32" spans="1:13" x14ac:dyDescent="0.25">
      <c r="A32" s="865" t="s">
        <v>476</v>
      </c>
      <c r="C32">
        <v>0</v>
      </c>
      <c r="D32">
        <v>23201.880000000005</v>
      </c>
      <c r="E32">
        <v>12720.119999999995</v>
      </c>
      <c r="F32">
        <v>-10481.760000000009</v>
      </c>
      <c r="M32">
        <v>4</v>
      </c>
    </row>
    <row r="33" spans="1:13" x14ac:dyDescent="0.25">
      <c r="A33" s="865" t="s">
        <v>477</v>
      </c>
      <c r="C33">
        <v>0</v>
      </c>
      <c r="D33">
        <v>9.8874456660700605E-2</v>
      </c>
      <c r="E33">
        <v>5.4206596778317545E-2</v>
      </c>
      <c r="F33">
        <v>-4.064873799880777E-2</v>
      </c>
      <c r="M33">
        <v>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85D68-BDD4-4C8F-8DD4-CA49ABF428D6}">
  <dimension ref="A1:AB23"/>
  <sheetViews>
    <sheetView showGridLines="0" tabSelected="1" workbookViewId="0">
      <selection activeCell="D4" sqref="D4"/>
    </sheetView>
  </sheetViews>
  <sheetFormatPr defaultRowHeight="13.2" x14ac:dyDescent="0.25"/>
  <cols>
    <col min="1" max="1" width="8.88671875" style="916" customWidth="1"/>
    <col min="2" max="2" width="8.6640625" style="916" customWidth="1"/>
    <col min="3" max="8" width="8.88671875" style="916"/>
    <col min="9" max="9" width="8.88671875" style="916" customWidth="1"/>
    <col min="10" max="18" width="8.88671875" style="916"/>
    <col min="19" max="19" width="6.21875" style="916" customWidth="1"/>
    <col min="20" max="20" width="8.88671875" style="916"/>
    <col min="21" max="21" width="3.6640625" style="916" customWidth="1"/>
    <col min="22" max="22" width="5.33203125" style="916" customWidth="1"/>
    <col min="23" max="23" width="1.6640625" style="916" customWidth="1"/>
    <col min="24" max="24" width="3.5546875" style="916" customWidth="1"/>
    <col min="25" max="25" width="3.33203125" style="916" customWidth="1"/>
    <col min="26" max="26" width="2.77734375" style="916" customWidth="1"/>
    <col min="27" max="27" width="8" style="916" customWidth="1"/>
    <col min="28" max="28" width="4.6640625" style="916" customWidth="1"/>
    <col min="29" max="16384" width="8.88671875" style="916"/>
  </cols>
  <sheetData>
    <row r="1" spans="1:28" ht="11.4" customHeight="1" x14ac:dyDescent="0.25">
      <c r="A1" s="918" t="s">
        <v>649</v>
      </c>
      <c r="B1" s="918"/>
      <c r="C1" s="918"/>
      <c r="D1" s="918"/>
      <c r="E1" s="918"/>
      <c r="F1" s="918"/>
      <c r="G1" s="918"/>
      <c r="H1" s="918"/>
      <c r="I1" s="918"/>
      <c r="J1" s="918"/>
      <c r="K1" s="918"/>
      <c r="L1" s="918"/>
      <c r="M1" s="918"/>
      <c r="N1" s="918"/>
      <c r="O1" s="918"/>
      <c r="P1" s="918"/>
      <c r="Q1" s="918"/>
      <c r="R1" s="918"/>
      <c r="S1" s="918"/>
      <c r="T1" s="918"/>
      <c r="U1" s="918"/>
      <c r="V1" s="918"/>
      <c r="W1" s="918"/>
      <c r="X1" s="918"/>
      <c r="Y1" s="918"/>
      <c r="Z1" s="918"/>
      <c r="AA1" s="918"/>
      <c r="AB1" s="918"/>
    </row>
    <row r="2" spans="1:28" ht="13.2" customHeight="1" x14ac:dyDescent="0.25">
      <c r="A2" s="918"/>
      <c r="B2" s="918"/>
      <c r="C2" s="918"/>
      <c r="D2" s="918"/>
      <c r="E2" s="918"/>
      <c r="F2" s="918"/>
      <c r="G2" s="918"/>
      <c r="H2" s="918"/>
      <c r="I2" s="918"/>
      <c r="J2" s="918"/>
      <c r="K2" s="918"/>
      <c r="L2" s="918"/>
      <c r="M2" s="918"/>
      <c r="N2" s="918"/>
      <c r="O2" s="918"/>
      <c r="P2" s="918"/>
      <c r="Q2" s="918"/>
      <c r="R2" s="918"/>
      <c r="S2" s="918"/>
      <c r="T2" s="918"/>
      <c r="U2" s="918"/>
      <c r="V2" s="918"/>
      <c r="W2" s="918"/>
      <c r="X2" s="918"/>
      <c r="Y2" s="918"/>
      <c r="Z2" s="918"/>
      <c r="AA2" s="918"/>
      <c r="AB2" s="918"/>
    </row>
    <row r="11" spans="1:28" ht="15" customHeight="1" x14ac:dyDescent="0.25"/>
    <row r="12" spans="1:28" ht="17.399999999999999" customHeight="1" x14ac:dyDescent="0.25"/>
    <row r="13" spans="1:28" ht="17.399999999999999" customHeight="1" x14ac:dyDescent="0.25">
      <c r="A13" s="920" t="s">
        <v>662</v>
      </c>
      <c r="B13" s="920"/>
      <c r="C13" s="920"/>
    </row>
    <row r="14" spans="1:28" ht="20.399999999999999" customHeight="1" x14ac:dyDescent="0.3">
      <c r="A14" s="921">
        <f>'Data File'!C41</f>
        <v>0</v>
      </c>
      <c r="B14" s="921"/>
      <c r="C14" s="921"/>
    </row>
    <row r="16" spans="1:28" ht="20.399999999999999" x14ac:dyDescent="0.35">
      <c r="A16" s="922" t="s">
        <v>663</v>
      </c>
      <c r="B16" s="923"/>
      <c r="C16" s="923"/>
    </row>
    <row r="17" spans="1:3" ht="20.399999999999999" x14ac:dyDescent="0.35">
      <c r="A17" s="924">
        <f>'Data File'!C42</f>
        <v>132232.29999999999</v>
      </c>
      <c r="B17" s="924"/>
      <c r="C17" s="924"/>
    </row>
    <row r="19" spans="1:3" ht="20.399999999999999" x14ac:dyDescent="0.35">
      <c r="A19" s="925" t="s">
        <v>664</v>
      </c>
      <c r="B19" s="924"/>
      <c r="C19" s="924"/>
    </row>
    <row r="20" spans="1:3" ht="20.399999999999999" x14ac:dyDescent="0.35">
      <c r="A20" s="924">
        <f>'Data File'!C43</f>
        <v>0</v>
      </c>
      <c r="B20" s="924"/>
      <c r="C20" s="924"/>
    </row>
    <row r="22" spans="1:3" ht="15" x14ac:dyDescent="0.25">
      <c r="A22" s="920" t="s">
        <v>665</v>
      </c>
      <c r="B22" s="920"/>
      <c r="C22" s="920"/>
    </row>
    <row r="23" spans="1:3" ht="20.399999999999999" x14ac:dyDescent="0.35">
      <c r="A23" s="924">
        <f>'Data File'!C44</f>
        <v>1586787.5999999999</v>
      </c>
      <c r="B23" s="924"/>
      <c r="C23" s="924"/>
    </row>
  </sheetData>
  <mergeCells count="9">
    <mergeCell ref="A19:C19"/>
    <mergeCell ref="A20:C20"/>
    <mergeCell ref="A22:C22"/>
    <mergeCell ref="A23:C23"/>
    <mergeCell ref="A1:AB2"/>
    <mergeCell ref="A16:C16"/>
    <mergeCell ref="A13:C13"/>
    <mergeCell ref="A14:C14"/>
    <mergeCell ref="A17:C1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59ED1-81FC-4CA6-B9AF-0DD143C54928}">
  <sheetPr>
    <pageSetUpPr fitToPage="1"/>
  </sheetPr>
  <dimension ref="B1:O90"/>
  <sheetViews>
    <sheetView showGridLines="0" showWhiteSpace="0" view="pageBreakPreview" topLeftCell="A45" zoomScale="55" zoomScaleNormal="85" zoomScaleSheetLayoutView="55" workbookViewId="0">
      <selection activeCell="B56" sqref="B56:D58"/>
    </sheetView>
  </sheetViews>
  <sheetFormatPr defaultColWidth="9.21875" defaultRowHeight="16.8" outlineLevelRow="1" x14ac:dyDescent="0.25"/>
  <cols>
    <col min="1" max="1" width="1.77734375" style="403" customWidth="1"/>
    <col min="2" max="2" width="45.77734375" style="403" customWidth="1"/>
    <col min="3" max="3" width="27" style="403" customWidth="1"/>
    <col min="4" max="4" width="16.77734375" style="403" customWidth="1"/>
    <col min="5" max="5" width="38.21875" style="403" customWidth="1" collapsed="1"/>
    <col min="6" max="6" width="34.21875" style="403" customWidth="1"/>
    <col min="7" max="7" width="23.5546875" style="403" customWidth="1" collapsed="1"/>
    <col min="8" max="8" width="16.5546875" style="403" customWidth="1"/>
    <col min="9" max="16384" width="9.21875" style="403"/>
  </cols>
  <sheetData>
    <row r="1" spans="2:9" x14ac:dyDescent="0.25">
      <c r="B1" s="518"/>
      <c r="C1" s="518"/>
      <c r="D1" s="518"/>
    </row>
    <row r="2" spans="2:9" x14ac:dyDescent="0.25">
      <c r="B2" s="518"/>
      <c r="C2" s="518"/>
      <c r="D2" s="518"/>
    </row>
    <row r="3" spans="2:9" x14ac:dyDescent="0.25">
      <c r="B3" s="518"/>
      <c r="C3" s="518"/>
      <c r="D3" s="518"/>
    </row>
    <row r="4" spans="2:9" x14ac:dyDescent="0.25">
      <c r="B4" s="518"/>
      <c r="C4" s="518"/>
      <c r="D4" s="518"/>
    </row>
    <row r="5" spans="2:9" x14ac:dyDescent="0.25">
      <c r="B5" s="518"/>
      <c r="C5" s="518"/>
      <c r="D5" s="518"/>
    </row>
    <row r="6" spans="2:9" x14ac:dyDescent="0.25">
      <c r="B6" s="518"/>
      <c r="C6" s="518"/>
      <c r="D6" s="518"/>
    </row>
    <row r="7" spans="2:9" ht="21.6" customHeight="1" x14ac:dyDescent="0.25">
      <c r="B7" s="518"/>
      <c r="C7" s="518"/>
      <c r="D7" s="519"/>
    </row>
    <row r="8" spans="2:9" x14ac:dyDescent="0.25">
      <c r="B8" s="518"/>
      <c r="C8" s="518"/>
      <c r="D8" s="518"/>
    </row>
    <row r="9" spans="2:9" ht="23.4" outlineLevel="1" thickBot="1" x14ac:dyDescent="0.3">
      <c r="B9" s="517"/>
      <c r="C9" s="517"/>
      <c r="D9" s="517"/>
      <c r="E9" s="509"/>
      <c r="F9" s="408"/>
      <c r="G9" s="509"/>
      <c r="H9" s="408"/>
      <c r="I9" s="495"/>
    </row>
    <row r="10" spans="2:9" ht="52.5" customHeight="1" outlineLevel="1" thickTop="1" thickBot="1" x14ac:dyDescent="0.3">
      <c r="B10" s="732" t="s">
        <v>547</v>
      </c>
      <c r="C10" s="733"/>
      <c r="D10" s="734"/>
      <c r="E10" s="735" t="s">
        <v>561</v>
      </c>
      <c r="F10" s="736"/>
      <c r="G10" s="736"/>
      <c r="H10" s="737"/>
      <c r="I10" s="495"/>
    </row>
    <row r="11" spans="2:9" ht="23.4" outlineLevel="1" thickTop="1" x14ac:dyDescent="0.25">
      <c r="B11" s="738" t="s">
        <v>542</v>
      </c>
      <c r="C11" s="739"/>
      <c r="D11" s="740"/>
      <c r="E11" s="741">
        <v>500</v>
      </c>
      <c r="F11" s="742"/>
      <c r="G11" s="742"/>
      <c r="H11" s="743"/>
      <c r="I11" s="495"/>
    </row>
    <row r="12" spans="2:9" ht="22.8" outlineLevel="1" x14ac:dyDescent="0.25">
      <c r="B12" s="744" t="s">
        <v>541</v>
      </c>
      <c r="C12" s="745"/>
      <c r="D12" s="746"/>
      <c r="E12" s="747">
        <v>1000</v>
      </c>
      <c r="F12" s="748"/>
      <c r="G12" s="748"/>
      <c r="H12" s="749"/>
      <c r="I12" s="495"/>
    </row>
    <row r="13" spans="2:9" ht="22.8" outlineLevel="1" x14ac:dyDescent="0.25">
      <c r="B13" s="744" t="s">
        <v>539</v>
      </c>
      <c r="C13" s="745"/>
      <c r="D13" s="746"/>
      <c r="E13" s="747">
        <v>3000</v>
      </c>
      <c r="F13" s="748"/>
      <c r="G13" s="748"/>
      <c r="H13" s="749"/>
      <c r="I13" s="495"/>
    </row>
    <row r="14" spans="2:9" ht="22.8" outlineLevel="1" x14ac:dyDescent="0.25">
      <c r="B14" s="744" t="s">
        <v>538</v>
      </c>
      <c r="C14" s="745"/>
      <c r="D14" s="746"/>
      <c r="E14" s="747">
        <v>6000</v>
      </c>
      <c r="F14" s="748"/>
      <c r="G14" s="748"/>
      <c r="H14" s="749"/>
      <c r="I14" s="495"/>
    </row>
    <row r="15" spans="2:9" ht="22.8" outlineLevel="1" x14ac:dyDescent="0.25">
      <c r="B15" s="744" t="s">
        <v>537</v>
      </c>
      <c r="C15" s="745"/>
      <c r="D15" s="746"/>
      <c r="E15" s="747" t="s">
        <v>559</v>
      </c>
      <c r="F15" s="748"/>
      <c r="G15" s="748"/>
      <c r="H15" s="749"/>
      <c r="I15" s="495"/>
    </row>
    <row r="16" spans="2:9" ht="22.8" outlineLevel="1" x14ac:dyDescent="0.25">
      <c r="B16" s="744" t="s">
        <v>534</v>
      </c>
      <c r="C16" s="745"/>
      <c r="D16" s="746"/>
      <c r="E16" s="747" t="s">
        <v>556</v>
      </c>
      <c r="F16" s="748"/>
      <c r="G16" s="748"/>
      <c r="H16" s="749"/>
      <c r="I16" s="495"/>
    </row>
    <row r="17" spans="2:9" ht="22.8" outlineLevel="1" x14ac:dyDescent="0.25">
      <c r="B17" s="744" t="s">
        <v>24</v>
      </c>
      <c r="C17" s="745"/>
      <c r="D17" s="746"/>
      <c r="E17" s="747" t="s">
        <v>556</v>
      </c>
      <c r="F17" s="748"/>
      <c r="G17" s="748"/>
      <c r="H17" s="749"/>
      <c r="I17" s="495"/>
    </row>
    <row r="18" spans="2:9" ht="22.8" outlineLevel="1" x14ac:dyDescent="0.25">
      <c r="B18" s="744" t="s">
        <v>531</v>
      </c>
      <c r="C18" s="745"/>
      <c r="D18" s="746"/>
      <c r="E18" s="747" t="s">
        <v>554</v>
      </c>
      <c r="F18" s="748"/>
      <c r="G18" s="748"/>
      <c r="H18" s="749"/>
      <c r="I18" s="495"/>
    </row>
    <row r="19" spans="2:9" ht="22.8" outlineLevel="1" x14ac:dyDescent="0.25">
      <c r="B19" s="744" t="s">
        <v>528</v>
      </c>
      <c r="C19" s="745"/>
      <c r="D19" s="746"/>
      <c r="E19" s="747" t="s">
        <v>552</v>
      </c>
      <c r="F19" s="748"/>
      <c r="G19" s="748"/>
      <c r="H19" s="749"/>
      <c r="I19" s="495"/>
    </row>
    <row r="20" spans="2:9" ht="22.8" outlineLevel="1" x14ac:dyDescent="0.25">
      <c r="B20" s="744" t="s">
        <v>526</v>
      </c>
      <c r="C20" s="745"/>
      <c r="D20" s="746"/>
      <c r="E20" s="747" t="s">
        <v>552</v>
      </c>
      <c r="F20" s="748"/>
      <c r="G20" s="748"/>
      <c r="H20" s="749"/>
      <c r="I20" s="495"/>
    </row>
    <row r="21" spans="2:9" ht="22.8" outlineLevel="1" x14ac:dyDescent="0.25">
      <c r="B21" s="505" t="s">
        <v>523</v>
      </c>
      <c r="C21" s="504"/>
      <c r="D21" s="503"/>
      <c r="E21" s="511"/>
      <c r="F21" s="516" t="s">
        <v>522</v>
      </c>
      <c r="G21" s="516"/>
      <c r="H21" s="510"/>
      <c r="I21" s="495"/>
    </row>
    <row r="22" spans="2:9" ht="23.4" outlineLevel="1" thickBot="1" x14ac:dyDescent="0.3">
      <c r="B22" s="744" t="s">
        <v>520</v>
      </c>
      <c r="C22" s="745"/>
      <c r="D22" s="746"/>
      <c r="E22" s="747" t="s">
        <v>550</v>
      </c>
      <c r="F22" s="748"/>
      <c r="G22" s="748"/>
      <c r="H22" s="749"/>
      <c r="I22" s="495"/>
    </row>
    <row r="23" spans="2:9" ht="24" customHeight="1" thickTop="1" x14ac:dyDescent="0.25">
      <c r="B23" s="750" t="s">
        <v>473</v>
      </c>
      <c r="C23" s="751"/>
      <c r="D23" s="752"/>
      <c r="E23" s="759" t="s">
        <v>561</v>
      </c>
      <c r="F23" s="760"/>
      <c r="G23" s="760"/>
      <c r="H23" s="761"/>
    </row>
    <row r="24" spans="2:9" ht="16.5" customHeight="1" x14ac:dyDescent="0.25">
      <c r="B24" s="753"/>
      <c r="C24" s="754"/>
      <c r="D24" s="755"/>
      <c r="E24" s="762"/>
      <c r="F24" s="763"/>
      <c r="G24" s="763"/>
      <c r="H24" s="764"/>
    </row>
    <row r="25" spans="2:9" ht="17.25" customHeight="1" thickBot="1" x14ac:dyDescent="0.3">
      <c r="B25" s="756"/>
      <c r="C25" s="757"/>
      <c r="D25" s="758"/>
      <c r="E25" s="765"/>
      <c r="F25" s="766"/>
      <c r="G25" s="766"/>
      <c r="H25" s="767"/>
    </row>
    <row r="26" spans="2:9" ht="31.5" customHeight="1" thickTop="1" x14ac:dyDescent="0.25">
      <c r="B26" s="768" t="s">
        <v>548</v>
      </c>
      <c r="C26" s="769"/>
      <c r="D26" s="770"/>
      <c r="E26" s="771"/>
      <c r="F26" s="772"/>
      <c r="G26" s="772"/>
      <c r="H26" s="773"/>
    </row>
    <row r="27" spans="2:9" ht="31.5" customHeight="1" x14ac:dyDescent="0.25">
      <c r="B27" s="774" t="s">
        <v>514</v>
      </c>
      <c r="C27" s="775"/>
      <c r="D27" s="776"/>
      <c r="E27" s="777"/>
      <c r="F27" s="778"/>
      <c r="G27" s="778"/>
      <c r="H27" s="779"/>
    </row>
    <row r="28" spans="2:9" ht="31.5" customHeight="1" thickBot="1" x14ac:dyDescent="0.3">
      <c r="B28" s="780" t="s">
        <v>472</v>
      </c>
      <c r="C28" s="781"/>
      <c r="D28" s="782"/>
      <c r="E28" s="783"/>
      <c r="F28" s="784"/>
      <c r="G28" s="784"/>
      <c r="H28" s="785"/>
    </row>
    <row r="29" spans="2:9" ht="23.4" hidden="1" outlineLevel="1" thickTop="1" x14ac:dyDescent="0.25">
      <c r="B29" s="405" t="s">
        <v>10</v>
      </c>
      <c r="C29" s="404"/>
      <c r="D29" s="404"/>
      <c r="E29" s="406" t="e">
        <f>SUM(#REF!-#REF!)</f>
        <v>#REF!</v>
      </c>
      <c r="F29" s="407"/>
      <c r="G29" s="406" t="e">
        <f>SUM(#REF!-#REF!)</f>
        <v>#REF!</v>
      </c>
      <c r="H29" s="407"/>
    </row>
    <row r="30" spans="2:9" ht="24" hidden="1" outlineLevel="1" thickTop="1" thickBot="1" x14ac:dyDescent="0.3">
      <c r="B30" s="396" t="s">
        <v>11</v>
      </c>
      <c r="C30" s="399"/>
      <c r="D30" s="399"/>
      <c r="E30" s="397" t="e">
        <f>SUM(E29/#REF!)</f>
        <v>#REF!</v>
      </c>
      <c r="F30" s="398"/>
      <c r="G30" s="397" t="e">
        <f>SUM(G29/#REF!)</f>
        <v>#REF!</v>
      </c>
      <c r="H30" s="398"/>
    </row>
    <row r="31" spans="2:9" ht="23.4" outlineLevel="1" thickTop="1" x14ac:dyDescent="0.25">
      <c r="B31" s="494"/>
      <c r="C31" s="409"/>
      <c r="D31" s="409"/>
      <c r="E31" s="509"/>
      <c r="F31" s="408"/>
      <c r="G31" s="509"/>
      <c r="H31" s="408"/>
      <c r="I31" s="495"/>
    </row>
    <row r="32" spans="2:9" ht="22.8" outlineLevel="1" x14ac:dyDescent="0.25">
      <c r="B32" s="494" t="s">
        <v>513</v>
      </c>
      <c r="C32" s="409"/>
      <c r="D32" s="409"/>
      <c r="E32" s="509"/>
      <c r="F32" s="408"/>
      <c r="G32" s="509"/>
      <c r="H32" s="408"/>
      <c r="I32" s="495"/>
    </row>
    <row r="33" spans="2:9" ht="22.8" outlineLevel="1" x14ac:dyDescent="0.25">
      <c r="B33" s="409"/>
      <c r="C33" s="409"/>
      <c r="D33" s="409"/>
      <c r="E33" s="509"/>
      <c r="F33" s="408"/>
      <c r="G33" s="509"/>
      <c r="H33" s="408"/>
      <c r="I33" s="495"/>
    </row>
    <row r="34" spans="2:9" ht="22.8" outlineLevel="1" x14ac:dyDescent="0.25">
      <c r="B34" s="409"/>
      <c r="C34" s="409"/>
      <c r="D34" s="409"/>
      <c r="E34" s="509"/>
      <c r="F34" s="408"/>
      <c r="G34" s="509"/>
      <c r="H34" s="408"/>
      <c r="I34" s="495"/>
    </row>
    <row r="35" spans="2:9" ht="22.8" outlineLevel="1" x14ac:dyDescent="0.25">
      <c r="B35" s="409"/>
      <c r="C35" s="409"/>
      <c r="D35" s="409"/>
      <c r="E35" s="509"/>
      <c r="F35" s="408"/>
      <c r="G35" s="509"/>
      <c r="H35" s="408"/>
      <c r="I35" s="495"/>
    </row>
    <row r="36" spans="2:9" ht="22.8" outlineLevel="1" x14ac:dyDescent="0.25">
      <c r="B36" s="409"/>
      <c r="C36" s="409"/>
      <c r="D36" s="409"/>
      <c r="E36" s="509"/>
      <c r="F36" s="408"/>
      <c r="G36" s="509"/>
      <c r="H36" s="408"/>
      <c r="I36" s="495"/>
    </row>
    <row r="37" spans="2:9" ht="22.8" outlineLevel="1" x14ac:dyDescent="0.25">
      <c r="B37" s="409"/>
      <c r="C37" s="409"/>
      <c r="D37" s="409"/>
      <c r="E37" s="509"/>
      <c r="F37" s="408"/>
      <c r="G37" s="509"/>
      <c r="H37" s="408"/>
      <c r="I37" s="495"/>
    </row>
    <row r="38" spans="2:9" ht="22.8" outlineLevel="1" x14ac:dyDescent="0.25">
      <c r="B38" s="409"/>
      <c r="C38" s="409"/>
      <c r="D38" s="409"/>
      <c r="E38" s="509"/>
      <c r="F38" s="408"/>
      <c r="G38" s="509"/>
      <c r="H38" s="408"/>
      <c r="I38" s="495"/>
    </row>
    <row r="39" spans="2:9" ht="22.8" outlineLevel="1" x14ac:dyDescent="0.25">
      <c r="B39" s="409"/>
      <c r="C39" s="409"/>
      <c r="D39" s="409"/>
      <c r="E39" s="509"/>
      <c r="F39" s="408"/>
      <c r="G39" s="509"/>
      <c r="H39" s="408"/>
      <c r="I39" s="495"/>
    </row>
    <row r="40" spans="2:9" ht="22.8" outlineLevel="1" x14ac:dyDescent="0.25">
      <c r="B40" s="409"/>
      <c r="C40" s="409"/>
      <c r="D40" s="409"/>
      <c r="E40" s="509"/>
      <c r="F40" s="408"/>
      <c r="G40" s="509"/>
      <c r="H40" s="408"/>
      <c r="I40" s="495"/>
    </row>
    <row r="41" spans="2:9" ht="23.4" outlineLevel="1" thickBot="1" x14ac:dyDescent="0.3">
      <c r="B41" s="409"/>
      <c r="C41" s="409"/>
      <c r="D41" s="409"/>
      <c r="E41" s="509"/>
      <c r="F41" s="408"/>
      <c r="G41" s="509"/>
      <c r="H41" s="408"/>
      <c r="I41" s="495"/>
    </row>
    <row r="42" spans="2:9" ht="24" outlineLevel="1" thickTop="1" thickBot="1" x14ac:dyDescent="0.3">
      <c r="B42" s="786" t="s">
        <v>547</v>
      </c>
      <c r="C42" s="787"/>
      <c r="D42" s="788"/>
      <c r="E42" s="735" t="s">
        <v>549</v>
      </c>
      <c r="F42" s="736"/>
      <c r="G42" s="736"/>
      <c r="H42" s="737"/>
      <c r="I42" s="495"/>
    </row>
    <row r="43" spans="2:9" ht="24" outlineLevel="1" thickTop="1" thickBot="1" x14ac:dyDescent="0.3">
      <c r="B43" s="789"/>
      <c r="C43" s="790"/>
      <c r="D43" s="791"/>
      <c r="E43" s="735" t="s">
        <v>560</v>
      </c>
      <c r="F43" s="737"/>
      <c r="G43" s="736" t="s">
        <v>543</v>
      </c>
      <c r="H43" s="737"/>
      <c r="I43" s="495"/>
    </row>
    <row r="44" spans="2:9" ht="23.4" outlineLevel="1" thickTop="1" x14ac:dyDescent="0.25">
      <c r="B44" s="738" t="s">
        <v>542</v>
      </c>
      <c r="C44" s="739"/>
      <c r="D44" s="740"/>
      <c r="E44" s="515">
        <v>500</v>
      </c>
      <c r="F44" s="514"/>
      <c r="G44" s="741" t="s">
        <v>551</v>
      </c>
      <c r="H44" s="743"/>
      <c r="I44" s="495"/>
    </row>
    <row r="45" spans="2:9" ht="22.8" outlineLevel="1" x14ac:dyDescent="0.25">
      <c r="B45" s="744" t="s">
        <v>541</v>
      </c>
      <c r="C45" s="745"/>
      <c r="D45" s="746"/>
      <c r="E45" s="513">
        <v>1000</v>
      </c>
      <c r="F45" s="512"/>
      <c r="G45" s="747" t="s">
        <v>551</v>
      </c>
      <c r="H45" s="749"/>
      <c r="I45" s="495"/>
    </row>
    <row r="46" spans="2:9" ht="22.8" outlineLevel="1" x14ac:dyDescent="0.25">
      <c r="B46" s="744" t="s">
        <v>539</v>
      </c>
      <c r="C46" s="745"/>
      <c r="D46" s="746"/>
      <c r="E46" s="513">
        <v>3000</v>
      </c>
      <c r="F46" s="512"/>
      <c r="G46" s="747" t="s">
        <v>551</v>
      </c>
      <c r="H46" s="749"/>
      <c r="I46" s="495"/>
    </row>
    <row r="47" spans="2:9" ht="22.8" outlineLevel="1" x14ac:dyDescent="0.25">
      <c r="B47" s="744" t="s">
        <v>538</v>
      </c>
      <c r="C47" s="745"/>
      <c r="D47" s="746"/>
      <c r="E47" s="513">
        <v>6000</v>
      </c>
      <c r="F47" s="512"/>
      <c r="G47" s="747" t="s">
        <v>551</v>
      </c>
      <c r="H47" s="749"/>
      <c r="I47" s="495"/>
    </row>
    <row r="48" spans="2:9" ht="53.25" customHeight="1" outlineLevel="1" x14ac:dyDescent="0.25">
      <c r="B48" s="744" t="s">
        <v>537</v>
      </c>
      <c r="C48" s="745"/>
      <c r="D48" s="746"/>
      <c r="E48" s="747" t="s">
        <v>559</v>
      </c>
      <c r="F48" s="749"/>
      <c r="G48" s="792" t="s">
        <v>558</v>
      </c>
      <c r="H48" s="793"/>
      <c r="I48" s="495"/>
    </row>
    <row r="49" spans="2:9" ht="46.5" customHeight="1" outlineLevel="1" x14ac:dyDescent="0.25">
      <c r="B49" s="744" t="s">
        <v>534</v>
      </c>
      <c r="C49" s="745"/>
      <c r="D49" s="746"/>
      <c r="E49" s="747" t="s">
        <v>556</v>
      </c>
      <c r="F49" s="749"/>
      <c r="G49" s="792" t="s">
        <v>557</v>
      </c>
      <c r="H49" s="793"/>
      <c r="I49" s="495"/>
    </row>
    <row r="50" spans="2:9" ht="54" customHeight="1" outlineLevel="1" x14ac:dyDescent="0.25">
      <c r="B50" s="744" t="s">
        <v>24</v>
      </c>
      <c r="C50" s="745"/>
      <c r="D50" s="746"/>
      <c r="E50" s="747" t="s">
        <v>556</v>
      </c>
      <c r="F50" s="749"/>
      <c r="G50" s="792" t="s">
        <v>555</v>
      </c>
      <c r="H50" s="793"/>
      <c r="I50" s="495"/>
    </row>
    <row r="51" spans="2:9" ht="22.8" outlineLevel="1" x14ac:dyDescent="0.25">
      <c r="B51" s="744" t="s">
        <v>531</v>
      </c>
      <c r="C51" s="745"/>
      <c r="D51" s="746"/>
      <c r="E51" s="747" t="s">
        <v>554</v>
      </c>
      <c r="F51" s="749"/>
      <c r="G51" s="747" t="s">
        <v>1</v>
      </c>
      <c r="H51" s="749"/>
      <c r="I51" s="495"/>
    </row>
    <row r="52" spans="2:9" ht="22.8" outlineLevel="1" x14ac:dyDescent="0.25">
      <c r="B52" s="744" t="s">
        <v>528</v>
      </c>
      <c r="C52" s="745"/>
      <c r="D52" s="746"/>
      <c r="E52" s="747" t="s">
        <v>552</v>
      </c>
      <c r="F52" s="749"/>
      <c r="G52" s="747" t="s">
        <v>553</v>
      </c>
      <c r="H52" s="749"/>
      <c r="I52" s="495"/>
    </row>
    <row r="53" spans="2:9" ht="22.8" outlineLevel="1" x14ac:dyDescent="0.25">
      <c r="B53" s="744" t="s">
        <v>526</v>
      </c>
      <c r="C53" s="745"/>
      <c r="D53" s="746"/>
      <c r="E53" s="747" t="s">
        <v>552</v>
      </c>
      <c r="F53" s="749"/>
      <c r="G53" s="747" t="s">
        <v>551</v>
      </c>
      <c r="H53" s="749"/>
      <c r="I53" s="495"/>
    </row>
    <row r="54" spans="2:9" ht="22.8" outlineLevel="1" x14ac:dyDescent="0.25">
      <c r="B54" s="744" t="s">
        <v>523</v>
      </c>
      <c r="C54" s="745"/>
      <c r="D54" s="746"/>
      <c r="E54" s="794" t="s">
        <v>522</v>
      </c>
      <c r="F54" s="795"/>
      <c r="G54" s="794" t="s">
        <v>522</v>
      </c>
      <c r="H54" s="795"/>
      <c r="I54" s="495"/>
    </row>
    <row r="55" spans="2:9" ht="23.4" outlineLevel="1" thickBot="1" x14ac:dyDescent="0.3">
      <c r="B55" s="744" t="s">
        <v>520</v>
      </c>
      <c r="C55" s="745"/>
      <c r="D55" s="746"/>
      <c r="E55" s="796" t="s">
        <v>550</v>
      </c>
      <c r="F55" s="797"/>
      <c r="G55" s="797"/>
      <c r="H55" s="798"/>
      <c r="I55" s="495"/>
    </row>
    <row r="56" spans="2:9" ht="17.399999999999999" outlineLevel="1" thickTop="1" x14ac:dyDescent="0.25">
      <c r="B56" s="799" t="s">
        <v>473</v>
      </c>
      <c r="C56" s="800"/>
      <c r="D56" s="801"/>
      <c r="E56" s="808" t="s">
        <v>549</v>
      </c>
      <c r="F56" s="809"/>
      <c r="G56" s="809"/>
      <c r="H56" s="810"/>
      <c r="I56" s="495"/>
    </row>
    <row r="57" spans="2:9" outlineLevel="1" x14ac:dyDescent="0.25">
      <c r="B57" s="802"/>
      <c r="C57" s="803"/>
      <c r="D57" s="804"/>
      <c r="E57" s="811"/>
      <c r="F57" s="812"/>
      <c r="G57" s="812"/>
      <c r="H57" s="813"/>
      <c r="I57" s="495"/>
    </row>
    <row r="58" spans="2:9" ht="17.399999999999999" outlineLevel="1" thickBot="1" x14ac:dyDescent="0.3">
      <c r="B58" s="805"/>
      <c r="C58" s="806"/>
      <c r="D58" s="807"/>
      <c r="E58" s="814"/>
      <c r="F58" s="815"/>
      <c r="G58" s="815"/>
      <c r="H58" s="816"/>
      <c r="I58" s="495"/>
    </row>
    <row r="59" spans="2:9" ht="21.6" outlineLevel="1" thickTop="1" x14ac:dyDescent="0.25">
      <c r="B59" s="768" t="s">
        <v>548</v>
      </c>
      <c r="C59" s="769"/>
      <c r="D59" s="770"/>
      <c r="E59" s="817"/>
      <c r="F59" s="818"/>
      <c r="G59" s="818"/>
      <c r="H59" s="819"/>
      <c r="I59" s="495"/>
    </row>
    <row r="60" spans="2:9" ht="21" outlineLevel="1" x14ac:dyDescent="0.25">
      <c r="B60" s="774" t="s">
        <v>514</v>
      </c>
      <c r="C60" s="775"/>
      <c r="D60" s="776"/>
      <c r="E60" s="820"/>
      <c r="F60" s="821"/>
      <c r="G60" s="821"/>
      <c r="H60" s="822"/>
      <c r="I60" s="495"/>
    </row>
    <row r="61" spans="2:9" ht="21.6" outlineLevel="1" thickBot="1" x14ac:dyDescent="0.3">
      <c r="B61" s="780" t="s">
        <v>472</v>
      </c>
      <c r="C61" s="781"/>
      <c r="D61" s="782"/>
      <c r="E61" s="823"/>
      <c r="F61" s="824"/>
      <c r="G61" s="824"/>
      <c r="H61" s="825"/>
      <c r="I61" s="495"/>
    </row>
    <row r="62" spans="2:9" ht="23.4" outlineLevel="1" thickTop="1" x14ac:dyDescent="0.25">
      <c r="B62" s="494" t="s">
        <v>513</v>
      </c>
      <c r="C62" s="409"/>
      <c r="D62" s="409"/>
      <c r="E62" s="509"/>
      <c r="F62" s="408"/>
      <c r="G62" s="509"/>
      <c r="H62" s="408"/>
      <c r="I62" s="495"/>
    </row>
    <row r="63" spans="2:9" ht="22.8" outlineLevel="1" x14ac:dyDescent="0.25">
      <c r="C63" s="409"/>
      <c r="D63" s="409"/>
      <c r="E63" s="509"/>
      <c r="F63" s="408"/>
      <c r="G63" s="509"/>
      <c r="H63" s="408"/>
      <c r="I63" s="495"/>
    </row>
    <row r="64" spans="2:9" ht="22.8" outlineLevel="1" x14ac:dyDescent="0.25">
      <c r="B64" s="409"/>
      <c r="C64" s="409"/>
      <c r="D64" s="409"/>
      <c r="E64" s="509"/>
      <c r="F64" s="408"/>
      <c r="G64" s="509"/>
      <c r="H64" s="408"/>
      <c r="I64" s="495"/>
    </row>
    <row r="65" spans="2:9" ht="22.8" outlineLevel="1" x14ac:dyDescent="0.25">
      <c r="B65" s="409"/>
      <c r="C65" s="409"/>
      <c r="D65" s="409"/>
      <c r="E65" s="509"/>
      <c r="F65" s="408"/>
      <c r="G65" s="509"/>
      <c r="H65" s="408"/>
      <c r="I65" s="495"/>
    </row>
    <row r="66" spans="2:9" ht="22.8" outlineLevel="1" x14ac:dyDescent="0.25">
      <c r="B66" s="409"/>
      <c r="C66" s="409"/>
      <c r="D66" s="409"/>
      <c r="E66" s="509"/>
      <c r="F66" s="408"/>
      <c r="G66" s="509"/>
      <c r="H66" s="408"/>
      <c r="I66" s="495"/>
    </row>
    <row r="67" spans="2:9" ht="22.8" outlineLevel="1" x14ac:dyDescent="0.25">
      <c r="B67" s="409"/>
      <c r="C67" s="409"/>
      <c r="D67" s="409"/>
      <c r="E67" s="509"/>
      <c r="F67" s="408"/>
      <c r="G67" s="509"/>
      <c r="H67" s="408"/>
      <c r="I67" s="495"/>
    </row>
    <row r="68" spans="2:9" ht="22.8" outlineLevel="1" x14ac:dyDescent="0.25">
      <c r="B68" s="409"/>
      <c r="C68" s="409"/>
      <c r="D68" s="409"/>
      <c r="E68" s="509"/>
      <c r="F68" s="408"/>
      <c r="G68" s="509"/>
      <c r="H68" s="408"/>
      <c r="I68" s="495"/>
    </row>
    <row r="69" spans="2:9" ht="17.25" customHeight="1" outlineLevel="1" thickBot="1" x14ac:dyDescent="0.3">
      <c r="B69" s="409"/>
      <c r="C69" s="409"/>
      <c r="D69" s="409"/>
      <c r="E69" s="509"/>
      <c r="F69" s="408"/>
      <c r="G69" s="509"/>
      <c r="H69" s="408"/>
      <c r="I69" s="495"/>
    </row>
    <row r="70" spans="2:9" ht="45.75" customHeight="1" outlineLevel="1" thickTop="1" thickBot="1" x14ac:dyDescent="0.3">
      <c r="B70" s="786" t="s">
        <v>547</v>
      </c>
      <c r="C70" s="787"/>
      <c r="D70" s="788"/>
      <c r="E70" s="735" t="s">
        <v>546</v>
      </c>
      <c r="F70" s="736"/>
      <c r="G70" s="736"/>
      <c r="H70" s="737"/>
      <c r="I70" s="495"/>
    </row>
    <row r="71" spans="2:9" ht="47.25" customHeight="1" outlineLevel="1" thickTop="1" thickBot="1" x14ac:dyDescent="0.3">
      <c r="B71" s="789"/>
      <c r="C71" s="790"/>
      <c r="D71" s="791"/>
      <c r="E71" s="508" t="s">
        <v>545</v>
      </c>
      <c r="F71" s="507" t="s">
        <v>544</v>
      </c>
      <c r="G71" s="736" t="s">
        <v>543</v>
      </c>
      <c r="H71" s="737"/>
      <c r="I71" s="495"/>
    </row>
    <row r="72" spans="2:9" ht="29.25" customHeight="1" outlineLevel="1" thickTop="1" x14ac:dyDescent="0.25">
      <c r="B72" s="738" t="s">
        <v>542</v>
      </c>
      <c r="C72" s="739"/>
      <c r="D72" s="740"/>
      <c r="E72" s="506" t="s">
        <v>540</v>
      </c>
      <c r="F72" s="506">
        <v>1500</v>
      </c>
      <c r="G72" s="826">
        <v>3000</v>
      </c>
      <c r="H72" s="827"/>
      <c r="I72" s="495"/>
    </row>
    <row r="73" spans="2:9" ht="29.25" customHeight="1" outlineLevel="1" x14ac:dyDescent="0.25">
      <c r="B73" s="744" t="s">
        <v>541</v>
      </c>
      <c r="C73" s="745"/>
      <c r="D73" s="746"/>
      <c r="E73" s="502" t="s">
        <v>540</v>
      </c>
      <c r="F73" s="502">
        <v>3000</v>
      </c>
      <c r="G73" s="828">
        <v>6000</v>
      </c>
      <c r="H73" s="829"/>
      <c r="I73" s="495"/>
    </row>
    <row r="74" spans="2:9" ht="29.25" customHeight="1" outlineLevel="1" x14ac:dyDescent="0.25">
      <c r="B74" s="744" t="s">
        <v>539</v>
      </c>
      <c r="C74" s="745"/>
      <c r="D74" s="746"/>
      <c r="E74" s="502">
        <v>2250</v>
      </c>
      <c r="F74" s="502">
        <v>3000</v>
      </c>
      <c r="G74" s="828">
        <v>6000</v>
      </c>
      <c r="H74" s="829"/>
      <c r="I74" s="495"/>
    </row>
    <row r="75" spans="2:9" ht="29.25" customHeight="1" outlineLevel="1" x14ac:dyDescent="0.25">
      <c r="B75" s="744" t="s">
        <v>538</v>
      </c>
      <c r="C75" s="745"/>
      <c r="D75" s="746"/>
      <c r="E75" s="502">
        <v>4500</v>
      </c>
      <c r="F75" s="502">
        <v>6000</v>
      </c>
      <c r="G75" s="828">
        <v>12000</v>
      </c>
      <c r="H75" s="829"/>
      <c r="I75" s="495"/>
    </row>
    <row r="76" spans="2:9" ht="29.25" customHeight="1" outlineLevel="1" x14ac:dyDescent="0.25">
      <c r="B76" s="744" t="s">
        <v>537</v>
      </c>
      <c r="C76" s="745"/>
      <c r="D76" s="746"/>
      <c r="E76" s="502" t="s">
        <v>536</v>
      </c>
      <c r="F76" s="502" t="s">
        <v>535</v>
      </c>
      <c r="G76" s="828" t="s">
        <v>524</v>
      </c>
      <c r="H76" s="829"/>
      <c r="I76" s="495"/>
    </row>
    <row r="77" spans="2:9" ht="29.25" customHeight="1" outlineLevel="1" x14ac:dyDescent="0.25">
      <c r="B77" s="744" t="s">
        <v>534</v>
      </c>
      <c r="C77" s="745"/>
      <c r="D77" s="746"/>
      <c r="E77" s="502" t="s">
        <v>533</v>
      </c>
      <c r="F77" s="502" t="s">
        <v>532</v>
      </c>
      <c r="G77" s="828" t="s">
        <v>524</v>
      </c>
      <c r="H77" s="829"/>
      <c r="I77" s="495"/>
    </row>
    <row r="78" spans="2:9" ht="29.25" customHeight="1" outlineLevel="1" x14ac:dyDescent="0.25">
      <c r="B78" s="744" t="s">
        <v>24</v>
      </c>
      <c r="C78" s="745"/>
      <c r="D78" s="746"/>
      <c r="E78" s="502" t="s">
        <v>533</v>
      </c>
      <c r="F78" s="502" t="s">
        <v>532</v>
      </c>
      <c r="G78" s="828" t="s">
        <v>524</v>
      </c>
      <c r="H78" s="829"/>
      <c r="I78" s="495"/>
    </row>
    <row r="79" spans="2:9" ht="29.25" customHeight="1" outlineLevel="1" x14ac:dyDescent="0.25">
      <c r="B79" s="744" t="s">
        <v>531</v>
      </c>
      <c r="C79" s="745"/>
      <c r="D79" s="746"/>
      <c r="E79" s="502" t="s">
        <v>530</v>
      </c>
      <c r="F79" s="502" t="s">
        <v>525</v>
      </c>
      <c r="G79" s="828" t="s">
        <v>529</v>
      </c>
      <c r="H79" s="829"/>
      <c r="I79" s="495"/>
    </row>
    <row r="80" spans="2:9" ht="29.25" customHeight="1" outlineLevel="1" x14ac:dyDescent="0.25">
      <c r="B80" s="744" t="s">
        <v>528</v>
      </c>
      <c r="C80" s="745"/>
      <c r="D80" s="746"/>
      <c r="E80" s="502" t="s">
        <v>527</v>
      </c>
      <c r="F80" s="502" t="s">
        <v>525</v>
      </c>
      <c r="G80" s="828" t="s">
        <v>524</v>
      </c>
      <c r="H80" s="829"/>
      <c r="I80" s="495"/>
    </row>
    <row r="81" spans="2:15" ht="29.25" customHeight="1" outlineLevel="1" x14ac:dyDescent="0.25">
      <c r="B81" s="744" t="s">
        <v>526</v>
      </c>
      <c r="C81" s="745"/>
      <c r="D81" s="746"/>
      <c r="E81" s="502" t="s">
        <v>522</v>
      </c>
      <c r="F81" s="502" t="s">
        <v>525</v>
      </c>
      <c r="G81" s="828" t="s">
        <v>524</v>
      </c>
      <c r="H81" s="829"/>
      <c r="I81" s="495"/>
    </row>
    <row r="82" spans="2:15" ht="29.25" customHeight="1" outlineLevel="1" x14ac:dyDescent="0.25">
      <c r="B82" s="744" t="s">
        <v>523</v>
      </c>
      <c r="C82" s="745"/>
      <c r="D82" s="746"/>
      <c r="E82" s="502" t="s">
        <v>522</v>
      </c>
      <c r="F82" s="501" t="s">
        <v>522</v>
      </c>
      <c r="G82" s="830" t="s">
        <v>522</v>
      </c>
      <c r="H82" s="831"/>
      <c r="I82" s="495"/>
      <c r="O82" s="403" t="s">
        <v>521</v>
      </c>
    </row>
    <row r="83" spans="2:15" ht="29.25" customHeight="1" outlineLevel="1" thickBot="1" x14ac:dyDescent="0.3">
      <c r="B83" s="500" t="s">
        <v>520</v>
      </c>
      <c r="C83" s="499"/>
      <c r="D83" s="498"/>
      <c r="E83" s="497" t="s">
        <v>519</v>
      </c>
      <c r="F83" s="496" t="s">
        <v>518</v>
      </c>
      <c r="G83" s="832" t="s">
        <v>517</v>
      </c>
      <c r="H83" s="833"/>
      <c r="I83" s="495"/>
    </row>
    <row r="84" spans="2:15" ht="27.75" customHeight="1" thickTop="1" x14ac:dyDescent="0.25">
      <c r="B84" s="799" t="s">
        <v>473</v>
      </c>
      <c r="C84" s="800"/>
      <c r="D84" s="801"/>
      <c r="E84" s="808" t="s">
        <v>516</v>
      </c>
      <c r="F84" s="809"/>
      <c r="G84" s="809"/>
      <c r="H84" s="810"/>
    </row>
    <row r="85" spans="2:15" ht="27.75" customHeight="1" x14ac:dyDescent="0.25">
      <c r="B85" s="802"/>
      <c r="C85" s="803"/>
      <c r="D85" s="804"/>
      <c r="E85" s="811"/>
      <c r="F85" s="812"/>
      <c r="G85" s="812"/>
      <c r="H85" s="813"/>
    </row>
    <row r="86" spans="2:15" ht="27.75" customHeight="1" thickBot="1" x14ac:dyDescent="0.3">
      <c r="B86" s="805"/>
      <c r="C86" s="806"/>
      <c r="D86" s="807"/>
      <c r="E86" s="814"/>
      <c r="F86" s="815"/>
      <c r="G86" s="815"/>
      <c r="H86" s="816"/>
    </row>
    <row r="87" spans="2:15" ht="27.75" customHeight="1" thickTop="1" x14ac:dyDescent="0.25">
      <c r="B87" s="768" t="s">
        <v>515</v>
      </c>
      <c r="C87" s="769"/>
      <c r="D87" s="770"/>
      <c r="E87" s="817"/>
      <c r="F87" s="818"/>
      <c r="G87" s="818"/>
      <c r="H87" s="819"/>
    </row>
    <row r="88" spans="2:15" ht="27.75" customHeight="1" x14ac:dyDescent="0.25">
      <c r="B88" s="774" t="s">
        <v>514</v>
      </c>
      <c r="C88" s="775"/>
      <c r="D88" s="776"/>
      <c r="E88" s="820"/>
      <c r="F88" s="821"/>
      <c r="G88" s="821"/>
      <c r="H88" s="822"/>
    </row>
    <row r="89" spans="2:15" ht="27.75" customHeight="1" thickBot="1" x14ac:dyDescent="0.3">
      <c r="B89" s="780" t="s">
        <v>472</v>
      </c>
      <c r="C89" s="781"/>
      <c r="D89" s="782"/>
      <c r="E89" s="823"/>
      <c r="F89" s="824"/>
      <c r="G89" s="824"/>
      <c r="H89" s="825"/>
    </row>
    <row r="90" spans="2:15" ht="17.399999999999999" thickTop="1" x14ac:dyDescent="0.25">
      <c r="B90" s="494" t="s">
        <v>513</v>
      </c>
    </row>
  </sheetData>
  <mergeCells count="109">
    <mergeCell ref="B82:D82"/>
    <mergeCell ref="G82:H82"/>
    <mergeCell ref="B89:D89"/>
    <mergeCell ref="E89:H89"/>
    <mergeCell ref="G83:H83"/>
    <mergeCell ref="B84:D86"/>
    <mergeCell ref="E84:H86"/>
    <mergeCell ref="B87:D87"/>
    <mergeCell ref="E87:H87"/>
    <mergeCell ref="B88:D88"/>
    <mergeCell ref="E88:H88"/>
    <mergeCell ref="B77:D77"/>
    <mergeCell ref="G77:H77"/>
    <mergeCell ref="B78:D78"/>
    <mergeCell ref="G78:H78"/>
    <mergeCell ref="B79:D79"/>
    <mergeCell ref="G79:H79"/>
    <mergeCell ref="B80:D80"/>
    <mergeCell ref="G80:H80"/>
    <mergeCell ref="B81:D81"/>
    <mergeCell ref="G81:H81"/>
    <mergeCell ref="B72:D72"/>
    <mergeCell ref="G72:H72"/>
    <mergeCell ref="B73:D73"/>
    <mergeCell ref="G73:H73"/>
    <mergeCell ref="B74:D74"/>
    <mergeCell ref="G74:H74"/>
    <mergeCell ref="B75:D75"/>
    <mergeCell ref="G75:H75"/>
    <mergeCell ref="B76:D76"/>
    <mergeCell ref="G76:H76"/>
    <mergeCell ref="B59:D59"/>
    <mergeCell ref="E59:H59"/>
    <mergeCell ref="B60:D60"/>
    <mergeCell ref="E60:H60"/>
    <mergeCell ref="B61:D61"/>
    <mergeCell ref="E61:H61"/>
    <mergeCell ref="B70:D71"/>
    <mergeCell ref="E70:H70"/>
    <mergeCell ref="G71:H71"/>
    <mergeCell ref="B53:D53"/>
    <mergeCell ref="E53:F53"/>
    <mergeCell ref="G53:H53"/>
    <mergeCell ref="B54:D54"/>
    <mergeCell ref="E54:F54"/>
    <mergeCell ref="G54:H54"/>
    <mergeCell ref="B55:D55"/>
    <mergeCell ref="E55:H55"/>
    <mergeCell ref="B56:D58"/>
    <mergeCell ref="E56:H58"/>
    <mergeCell ref="B50:D50"/>
    <mergeCell ref="E50:F50"/>
    <mergeCell ref="G50:H50"/>
    <mergeCell ref="B51:D51"/>
    <mergeCell ref="E51:F51"/>
    <mergeCell ref="G51:H51"/>
    <mergeCell ref="B52:D52"/>
    <mergeCell ref="E52:F52"/>
    <mergeCell ref="G52:H52"/>
    <mergeCell ref="B46:D46"/>
    <mergeCell ref="G46:H46"/>
    <mergeCell ref="B47:D47"/>
    <mergeCell ref="G47:H47"/>
    <mergeCell ref="B48:D48"/>
    <mergeCell ref="E48:F48"/>
    <mergeCell ref="G48:H48"/>
    <mergeCell ref="B49:D49"/>
    <mergeCell ref="E49:F49"/>
    <mergeCell ref="G49:H49"/>
    <mergeCell ref="B28:D28"/>
    <mergeCell ref="E28:H28"/>
    <mergeCell ref="B42:D43"/>
    <mergeCell ref="E42:H42"/>
    <mergeCell ref="E43:F43"/>
    <mergeCell ref="G43:H43"/>
    <mergeCell ref="B44:D44"/>
    <mergeCell ref="G44:H44"/>
    <mergeCell ref="B45:D45"/>
    <mergeCell ref="G45:H45"/>
    <mergeCell ref="B20:D20"/>
    <mergeCell ref="E20:H20"/>
    <mergeCell ref="B22:D22"/>
    <mergeCell ref="E22:H22"/>
    <mergeCell ref="B23:D25"/>
    <mergeCell ref="E23:H25"/>
    <mergeCell ref="B26:D26"/>
    <mergeCell ref="E26:H26"/>
    <mergeCell ref="B27:D27"/>
    <mergeCell ref="E27:H27"/>
    <mergeCell ref="B15:D15"/>
    <mergeCell ref="E15:H15"/>
    <mergeCell ref="B16:D16"/>
    <mergeCell ref="E16:H16"/>
    <mergeCell ref="B17:D17"/>
    <mergeCell ref="E17:H17"/>
    <mergeCell ref="B18:D18"/>
    <mergeCell ref="E18:H18"/>
    <mergeCell ref="B19:D19"/>
    <mergeCell ref="E19:H19"/>
    <mergeCell ref="B10:D10"/>
    <mergeCell ref="E10:H10"/>
    <mergeCell ref="B11:D11"/>
    <mergeCell ref="E11:H11"/>
    <mergeCell ref="B12:D12"/>
    <mergeCell ref="E12:H12"/>
    <mergeCell ref="B13:D13"/>
    <mergeCell ref="E13:H13"/>
    <mergeCell ref="B14:D14"/>
    <mergeCell ref="E14:H14"/>
  </mergeCells>
  <printOptions horizontalCentered="1"/>
  <pageMargins left="0.25" right="0.25" top="0.75" bottom="0.75" header="0.3" footer="0.3"/>
  <pageSetup scale="64" fitToHeight="0" orientation="landscape" r:id="rId1"/>
  <headerFooter>
    <oddFooter xml:space="preserve">&amp;C
</oddFooter>
  </headerFooter>
  <rowBreaks count="3" manualBreakCount="3">
    <brk id="35" min="1" max="8" man="1"/>
    <brk id="63" min="1" max="8" man="1"/>
    <brk id="92" min="1" max="8"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2884F-F63B-40CE-9F73-8EC2F5EFD1BC}">
  <dimension ref="A1:AC124"/>
  <sheetViews>
    <sheetView workbookViewId="0">
      <selection sqref="A1:XFD2"/>
    </sheetView>
  </sheetViews>
  <sheetFormatPr defaultColWidth="1.77734375" defaultRowHeight="13.2" x14ac:dyDescent="0.25"/>
  <cols>
    <col min="1" max="1" width="35.21875" style="520" customWidth="1"/>
    <col min="2" max="7" width="27.21875" style="520" customWidth="1"/>
    <col min="8" max="19" width="21.44140625" style="520" customWidth="1"/>
    <col min="20" max="29" width="22.44140625" style="520" customWidth="1"/>
    <col min="30" max="16384" width="1.77734375" style="520"/>
  </cols>
  <sheetData>
    <row r="1" spans="1:26" ht="27" customHeight="1" x14ac:dyDescent="0.25">
      <c r="C1" s="521"/>
      <c r="D1" s="522"/>
    </row>
    <row r="2" spans="1:26" ht="53.55" customHeight="1" x14ac:dyDescent="0.25">
      <c r="A2" s="523"/>
      <c r="B2" s="524"/>
    </row>
    <row r="3" spans="1:26" ht="20.100000000000001" customHeight="1" thickBot="1" x14ac:dyDescent="0.3">
      <c r="A3" s="525" t="s">
        <v>562</v>
      </c>
      <c r="B3" s="526"/>
      <c r="C3" s="526"/>
      <c r="D3" s="526"/>
      <c r="E3" s="526"/>
      <c r="F3" s="526"/>
      <c r="G3" s="526"/>
      <c r="H3" s="526"/>
      <c r="I3" s="526"/>
      <c r="J3" s="526"/>
      <c r="K3" s="526"/>
      <c r="L3" s="526"/>
      <c r="M3" s="526"/>
      <c r="N3" s="526"/>
      <c r="O3" s="526"/>
      <c r="P3" s="526"/>
      <c r="Q3" s="526"/>
      <c r="R3" s="526"/>
      <c r="S3" s="526"/>
    </row>
    <row r="4" spans="1:26" s="531" customFormat="1" ht="63.6" thickTop="1" x14ac:dyDescent="0.5">
      <c r="A4" s="527" t="s">
        <v>563</v>
      </c>
      <c r="B4" s="528" t="s">
        <v>564</v>
      </c>
      <c r="C4" s="528" t="s">
        <v>565</v>
      </c>
      <c r="D4" s="528" t="s">
        <v>566</v>
      </c>
      <c r="E4" s="529"/>
      <c r="F4" s="529"/>
      <c r="G4" s="529"/>
      <c r="H4" s="529"/>
      <c r="I4" s="529"/>
      <c r="J4" s="529"/>
      <c r="K4" s="529"/>
      <c r="L4" s="530"/>
      <c r="M4" s="530"/>
      <c r="N4" s="530"/>
      <c r="O4" s="530"/>
      <c r="P4" s="530"/>
      <c r="Q4" s="530"/>
      <c r="R4" s="530"/>
      <c r="S4" s="530"/>
    </row>
    <row r="5" spans="1:26" ht="33" hidden="1" customHeight="1" x14ac:dyDescent="0.25">
      <c r="A5" s="532" t="s">
        <v>567</v>
      </c>
      <c r="B5" s="533" t="s">
        <v>568</v>
      </c>
      <c r="C5" s="533" t="s">
        <v>569</v>
      </c>
      <c r="D5" s="533" t="s">
        <v>569</v>
      </c>
      <c r="E5" s="534"/>
      <c r="F5" s="534"/>
      <c r="G5" s="534"/>
      <c r="H5" s="534"/>
      <c r="I5" s="534"/>
      <c r="J5" s="534"/>
      <c r="K5" s="534"/>
      <c r="L5" s="535"/>
      <c r="M5" s="535"/>
      <c r="N5" s="535"/>
      <c r="O5" s="535"/>
      <c r="P5" s="532"/>
      <c r="Q5" s="532"/>
      <c r="R5" s="532"/>
      <c r="S5" s="535"/>
    </row>
    <row r="6" spans="1:26" s="540" customFormat="1" x14ac:dyDescent="0.25">
      <c r="A6" s="536" t="s">
        <v>570</v>
      </c>
      <c r="B6" s="537"/>
      <c r="C6" s="537"/>
      <c r="D6" s="537"/>
      <c r="E6" s="538"/>
      <c r="F6" s="538"/>
      <c r="G6" s="538"/>
      <c r="H6" s="538"/>
      <c r="I6" s="538"/>
      <c r="J6" s="538"/>
      <c r="K6" s="538"/>
      <c r="L6" s="538"/>
      <c r="M6" s="538"/>
      <c r="N6" s="538"/>
      <c r="O6" s="538"/>
      <c r="P6" s="538"/>
      <c r="Q6" s="538"/>
      <c r="R6" s="538"/>
      <c r="S6" s="538"/>
      <c r="T6" s="539"/>
      <c r="U6" s="539"/>
    </row>
    <row r="7" spans="1:26" x14ac:dyDescent="0.25">
      <c r="A7" s="541" t="s">
        <v>571</v>
      </c>
      <c r="B7" s="542">
        <v>4000</v>
      </c>
      <c r="C7" s="542">
        <v>1500</v>
      </c>
      <c r="D7" s="542">
        <v>500</v>
      </c>
      <c r="E7" s="543"/>
      <c r="F7" s="544"/>
      <c r="G7" s="544"/>
      <c r="H7" s="544"/>
      <c r="I7" s="544"/>
      <c r="J7" s="544"/>
      <c r="K7" s="544"/>
      <c r="L7" s="544"/>
      <c r="M7" s="544"/>
      <c r="N7" s="543"/>
      <c r="O7" s="543"/>
      <c r="P7" s="544"/>
      <c r="Q7" s="544"/>
      <c r="R7" s="544"/>
      <c r="S7" s="544"/>
      <c r="T7" s="545"/>
      <c r="U7" s="545"/>
      <c r="V7" s="545"/>
      <c r="W7" s="545"/>
      <c r="X7" s="545"/>
      <c r="Y7" s="545"/>
      <c r="Z7" s="545"/>
    </row>
    <row r="8" spans="1:26" x14ac:dyDescent="0.25">
      <c r="A8" s="541" t="s">
        <v>572</v>
      </c>
      <c r="B8" s="546">
        <v>8000</v>
      </c>
      <c r="C8" s="546">
        <v>3000</v>
      </c>
      <c r="D8" s="546">
        <v>1000</v>
      </c>
      <c r="E8" s="547"/>
      <c r="F8" s="548"/>
      <c r="G8" s="548"/>
      <c r="H8" s="548"/>
      <c r="I8" s="548"/>
      <c r="J8" s="548"/>
      <c r="K8" s="548"/>
      <c r="L8" s="548"/>
      <c r="M8" s="548"/>
      <c r="N8" s="547"/>
      <c r="O8" s="547"/>
      <c r="P8" s="548"/>
      <c r="Q8" s="548"/>
      <c r="R8" s="548"/>
      <c r="S8" s="548"/>
      <c r="T8" s="545"/>
      <c r="U8" s="545"/>
      <c r="V8" s="545"/>
      <c r="W8" s="545"/>
      <c r="X8" s="545"/>
      <c r="Y8" s="545"/>
      <c r="Z8" s="545"/>
    </row>
    <row r="9" spans="1:26" x14ac:dyDescent="0.25">
      <c r="A9" s="541" t="s">
        <v>573</v>
      </c>
      <c r="B9" s="542">
        <v>5000</v>
      </c>
      <c r="C9" s="542">
        <v>3000</v>
      </c>
      <c r="D9" s="542">
        <v>3000</v>
      </c>
      <c r="E9" s="543"/>
      <c r="F9" s="544"/>
      <c r="G9" s="544"/>
      <c r="H9" s="544"/>
      <c r="I9" s="544"/>
      <c r="J9" s="544"/>
      <c r="K9" s="544"/>
      <c r="L9" s="544"/>
      <c r="M9" s="544"/>
      <c r="N9" s="543"/>
      <c r="O9" s="543"/>
      <c r="P9" s="544"/>
      <c r="Q9" s="544"/>
      <c r="R9" s="544"/>
      <c r="S9" s="544"/>
      <c r="T9" s="545"/>
      <c r="U9" s="545"/>
      <c r="V9" s="545"/>
      <c r="W9" s="545"/>
      <c r="X9" s="545"/>
      <c r="Y9" s="545"/>
      <c r="Z9" s="545"/>
    </row>
    <row r="10" spans="1:26" x14ac:dyDescent="0.25">
      <c r="A10" s="541" t="s">
        <v>574</v>
      </c>
      <c r="B10" s="546">
        <v>10000</v>
      </c>
      <c r="C10" s="546">
        <v>6000</v>
      </c>
      <c r="D10" s="546">
        <v>6000</v>
      </c>
      <c r="E10" s="547"/>
      <c r="F10" s="548"/>
      <c r="G10" s="548"/>
      <c r="H10" s="548"/>
      <c r="I10" s="548"/>
      <c r="J10" s="548"/>
      <c r="K10" s="548"/>
      <c r="L10" s="548"/>
      <c r="M10" s="548"/>
      <c r="N10" s="547"/>
      <c r="O10" s="547"/>
      <c r="P10" s="548"/>
      <c r="Q10" s="548"/>
      <c r="R10" s="548"/>
      <c r="S10" s="548"/>
      <c r="T10" s="545"/>
      <c r="U10" s="545"/>
      <c r="V10" s="545"/>
      <c r="W10" s="545"/>
      <c r="X10" s="545"/>
      <c r="Y10" s="545"/>
      <c r="Z10" s="545"/>
    </row>
    <row r="11" spans="1:26" ht="26.4" x14ac:dyDescent="0.25">
      <c r="A11" s="541" t="s">
        <v>575</v>
      </c>
      <c r="B11" s="542" t="s">
        <v>576</v>
      </c>
      <c r="C11" s="542" t="s">
        <v>577</v>
      </c>
      <c r="D11" s="542" t="s">
        <v>577</v>
      </c>
      <c r="E11" s="543"/>
      <c r="F11" s="544"/>
      <c r="G11" s="544"/>
      <c r="H11" s="544"/>
      <c r="I11" s="544"/>
      <c r="J11" s="544"/>
      <c r="K11" s="544"/>
      <c r="L11" s="544"/>
      <c r="M11" s="544"/>
      <c r="N11" s="543"/>
      <c r="O11" s="543"/>
      <c r="P11" s="544"/>
      <c r="Q11" s="544"/>
      <c r="R11" s="544"/>
      <c r="S11" s="544"/>
      <c r="T11" s="545"/>
      <c r="U11" s="545"/>
      <c r="V11" s="545"/>
      <c r="W11" s="545"/>
      <c r="X11" s="545"/>
      <c r="Y11" s="545"/>
      <c r="Z11" s="545"/>
    </row>
    <row r="12" spans="1:26" x14ac:dyDescent="0.25">
      <c r="A12" s="541" t="s">
        <v>578</v>
      </c>
      <c r="B12" s="546" t="s">
        <v>579</v>
      </c>
      <c r="C12" s="546" t="s">
        <v>580</v>
      </c>
      <c r="D12" s="546" t="s">
        <v>581</v>
      </c>
      <c r="E12" s="547"/>
      <c r="F12" s="548"/>
      <c r="G12" s="548"/>
      <c r="H12" s="548"/>
      <c r="I12" s="548"/>
      <c r="J12" s="548"/>
      <c r="K12" s="548"/>
      <c r="L12" s="548"/>
      <c r="M12" s="548"/>
      <c r="N12" s="547"/>
      <c r="O12" s="547"/>
      <c r="P12" s="548"/>
      <c r="Q12" s="548"/>
      <c r="R12" s="548"/>
      <c r="S12" s="548"/>
      <c r="T12" s="545"/>
      <c r="U12" s="545"/>
      <c r="V12" s="545"/>
      <c r="W12" s="545"/>
      <c r="X12" s="545"/>
      <c r="Y12" s="545"/>
      <c r="Z12" s="545"/>
    </row>
    <row r="13" spans="1:26" x14ac:dyDescent="0.25">
      <c r="A13" s="541" t="s">
        <v>582</v>
      </c>
      <c r="B13" s="542" t="s">
        <v>583</v>
      </c>
      <c r="C13" s="542" t="s">
        <v>584</v>
      </c>
      <c r="D13" s="542" t="s">
        <v>585</v>
      </c>
      <c r="E13" s="543"/>
      <c r="F13" s="544"/>
      <c r="G13" s="544"/>
      <c r="H13" s="544"/>
      <c r="I13" s="544"/>
      <c r="J13" s="544"/>
      <c r="K13" s="544"/>
      <c r="L13" s="544"/>
      <c r="M13" s="544"/>
      <c r="N13" s="543"/>
      <c r="O13" s="543"/>
      <c r="P13" s="544"/>
      <c r="Q13" s="544"/>
      <c r="R13" s="544"/>
      <c r="S13" s="544"/>
      <c r="T13" s="545"/>
      <c r="U13" s="545"/>
      <c r="V13" s="545"/>
      <c r="W13" s="545"/>
      <c r="X13" s="545"/>
      <c r="Y13" s="545"/>
      <c r="Z13" s="545"/>
    </row>
    <row r="14" spans="1:26" x14ac:dyDescent="0.25">
      <c r="A14" s="541" t="s">
        <v>24</v>
      </c>
      <c r="B14" s="546" t="s">
        <v>583</v>
      </c>
      <c r="C14" s="546" t="s">
        <v>584</v>
      </c>
      <c r="D14" s="546" t="s">
        <v>585</v>
      </c>
      <c r="E14" s="547"/>
      <c r="F14" s="548"/>
      <c r="G14" s="548"/>
      <c r="H14" s="548"/>
      <c r="I14" s="548"/>
      <c r="J14" s="548"/>
      <c r="K14" s="548"/>
      <c r="L14" s="548"/>
      <c r="M14" s="548"/>
      <c r="N14" s="547"/>
      <c r="O14" s="547"/>
      <c r="P14" s="548"/>
      <c r="Q14" s="548"/>
      <c r="R14" s="548"/>
      <c r="S14" s="548"/>
      <c r="T14" s="545"/>
      <c r="U14" s="545"/>
      <c r="V14" s="545"/>
      <c r="W14" s="545"/>
      <c r="X14" s="545"/>
      <c r="Y14" s="545"/>
      <c r="Z14" s="545"/>
    </row>
    <row r="15" spans="1:26" ht="26.4" x14ac:dyDescent="0.25">
      <c r="A15" s="541" t="s">
        <v>586</v>
      </c>
      <c r="B15" s="542" t="s">
        <v>576</v>
      </c>
      <c r="C15" s="542" t="s">
        <v>587</v>
      </c>
      <c r="D15" s="542" t="s">
        <v>587</v>
      </c>
      <c r="E15" s="543"/>
      <c r="F15" s="544"/>
      <c r="G15" s="544"/>
      <c r="H15" s="544"/>
      <c r="I15" s="544"/>
      <c r="J15" s="544"/>
      <c r="K15" s="544"/>
      <c r="L15" s="544"/>
      <c r="M15" s="544"/>
      <c r="N15" s="543"/>
      <c r="O15" s="543"/>
      <c r="P15" s="544"/>
      <c r="Q15" s="544"/>
      <c r="R15" s="544"/>
      <c r="S15" s="544"/>
      <c r="T15" s="545"/>
      <c r="U15" s="545"/>
      <c r="V15" s="545"/>
      <c r="W15" s="545"/>
      <c r="X15" s="545"/>
      <c r="Y15" s="545"/>
      <c r="Z15" s="545"/>
    </row>
    <row r="16" spans="1:26" ht="26.4" x14ac:dyDescent="0.25">
      <c r="A16" s="541" t="s">
        <v>588</v>
      </c>
      <c r="B16" s="546" t="s">
        <v>579</v>
      </c>
      <c r="C16" s="546" t="s">
        <v>580</v>
      </c>
      <c r="D16" s="546" t="s">
        <v>581</v>
      </c>
      <c r="E16" s="547"/>
      <c r="F16" s="548"/>
      <c r="G16" s="548"/>
      <c r="H16" s="548"/>
      <c r="I16" s="548"/>
      <c r="J16" s="548"/>
      <c r="K16" s="548"/>
      <c r="L16" s="548"/>
      <c r="M16" s="548"/>
      <c r="N16" s="547"/>
      <c r="O16" s="547"/>
      <c r="P16" s="548"/>
      <c r="Q16" s="548"/>
      <c r="R16" s="548"/>
      <c r="S16" s="548"/>
      <c r="T16" s="545"/>
      <c r="U16" s="545"/>
      <c r="V16" s="545"/>
      <c r="W16" s="545"/>
      <c r="X16" s="545"/>
      <c r="Y16" s="545"/>
      <c r="Z16" s="545"/>
    </row>
    <row r="17" spans="1:26" ht="78.75" customHeight="1" x14ac:dyDescent="0.25">
      <c r="A17" s="541" t="s">
        <v>589</v>
      </c>
      <c r="B17" s="542" t="s">
        <v>590</v>
      </c>
      <c r="C17" s="542" t="s">
        <v>591</v>
      </c>
      <c r="D17" s="542" t="s">
        <v>592</v>
      </c>
      <c r="E17" s="543"/>
      <c r="F17" s="544"/>
      <c r="G17" s="544"/>
      <c r="H17" s="544"/>
      <c r="I17" s="544"/>
      <c r="J17" s="544"/>
      <c r="K17" s="544"/>
      <c r="L17" s="544"/>
      <c r="M17" s="544"/>
      <c r="N17" s="543"/>
      <c r="O17" s="543"/>
      <c r="P17" s="544"/>
      <c r="Q17" s="544"/>
      <c r="R17" s="544"/>
      <c r="S17" s="544"/>
      <c r="T17" s="545"/>
      <c r="U17" s="545"/>
      <c r="V17" s="545"/>
      <c r="W17" s="545"/>
      <c r="X17" s="545"/>
      <c r="Y17" s="545"/>
      <c r="Z17" s="545"/>
    </row>
    <row r="18" spans="1:26" ht="26.4" x14ac:dyDescent="0.25">
      <c r="A18" s="541" t="s">
        <v>593</v>
      </c>
      <c r="B18" s="546" t="s">
        <v>594</v>
      </c>
      <c r="C18" s="546" t="s">
        <v>594</v>
      </c>
      <c r="D18" s="546" t="s">
        <v>576</v>
      </c>
      <c r="E18" s="547"/>
      <c r="F18" s="548"/>
      <c r="G18" s="548"/>
      <c r="H18" s="548"/>
      <c r="I18" s="548"/>
      <c r="J18" s="548"/>
      <c r="K18" s="548"/>
      <c r="L18" s="548"/>
      <c r="M18" s="548"/>
      <c r="N18" s="547"/>
      <c r="O18" s="547"/>
      <c r="P18" s="548"/>
      <c r="Q18" s="548"/>
      <c r="R18" s="548"/>
      <c r="S18" s="548"/>
      <c r="T18" s="545"/>
      <c r="U18" s="545"/>
      <c r="V18" s="545"/>
      <c r="W18" s="545"/>
      <c r="X18" s="545"/>
      <c r="Y18" s="545"/>
      <c r="Z18" s="545"/>
    </row>
    <row r="19" spans="1:26" ht="26.4" x14ac:dyDescent="0.25">
      <c r="A19" s="541" t="s">
        <v>595</v>
      </c>
      <c r="B19" s="542" t="s">
        <v>596</v>
      </c>
      <c r="C19" s="542" t="s">
        <v>576</v>
      </c>
      <c r="D19" s="542" t="s">
        <v>576</v>
      </c>
      <c r="E19" s="543"/>
      <c r="F19" s="544"/>
      <c r="G19" s="544"/>
      <c r="H19" s="544"/>
      <c r="I19" s="544"/>
      <c r="J19" s="544"/>
      <c r="K19" s="544"/>
      <c r="L19" s="544"/>
      <c r="M19" s="544"/>
      <c r="N19" s="543"/>
      <c r="O19" s="543"/>
      <c r="P19" s="544"/>
      <c r="Q19" s="544"/>
      <c r="R19" s="544"/>
      <c r="S19" s="544"/>
      <c r="T19" s="545"/>
      <c r="U19" s="545"/>
      <c r="V19" s="545"/>
      <c r="W19" s="545"/>
      <c r="X19" s="545"/>
      <c r="Y19" s="545"/>
      <c r="Z19" s="545"/>
    </row>
    <row r="20" spans="1:26" x14ac:dyDescent="0.25">
      <c r="A20" s="541" t="s">
        <v>597</v>
      </c>
      <c r="B20" s="546" t="s">
        <v>598</v>
      </c>
      <c r="C20" s="546" t="s">
        <v>599</v>
      </c>
      <c r="D20" s="546" t="s">
        <v>600</v>
      </c>
      <c r="E20" s="547"/>
      <c r="F20" s="548"/>
      <c r="G20" s="548"/>
      <c r="H20" s="548"/>
      <c r="I20" s="548"/>
      <c r="J20" s="548"/>
      <c r="K20" s="548"/>
      <c r="L20" s="548"/>
      <c r="M20" s="548"/>
      <c r="N20" s="547"/>
      <c r="O20" s="547"/>
      <c r="P20" s="548"/>
      <c r="Q20" s="548"/>
      <c r="R20" s="548"/>
      <c r="S20" s="548"/>
      <c r="T20" s="545"/>
      <c r="U20" s="545"/>
      <c r="V20" s="545"/>
      <c r="W20" s="545"/>
      <c r="X20" s="545"/>
      <c r="Y20" s="545"/>
      <c r="Z20" s="545"/>
    </row>
    <row r="21" spans="1:26" x14ac:dyDescent="0.25">
      <c r="A21" s="541" t="s">
        <v>601</v>
      </c>
      <c r="B21" s="542" t="s">
        <v>602</v>
      </c>
      <c r="C21" s="542" t="s">
        <v>600</v>
      </c>
      <c r="D21" s="542" t="s">
        <v>600</v>
      </c>
      <c r="E21" s="543"/>
      <c r="F21" s="544"/>
      <c r="G21" s="544"/>
      <c r="H21" s="544"/>
      <c r="I21" s="544"/>
      <c r="J21" s="544"/>
      <c r="K21" s="544"/>
      <c r="L21" s="544"/>
      <c r="M21" s="544"/>
      <c r="N21" s="543"/>
      <c r="O21" s="543"/>
      <c r="P21" s="544"/>
      <c r="Q21" s="544"/>
      <c r="R21" s="544"/>
      <c r="S21" s="544"/>
      <c r="T21" s="545"/>
      <c r="U21" s="545"/>
      <c r="V21" s="545"/>
      <c r="W21" s="545"/>
      <c r="X21" s="545"/>
      <c r="Y21" s="545"/>
      <c r="Z21" s="545"/>
    </row>
    <row r="22" spans="1:26" x14ac:dyDescent="0.25">
      <c r="A22" s="541" t="s">
        <v>603</v>
      </c>
      <c r="B22" s="546" t="s">
        <v>579</v>
      </c>
      <c r="C22" s="546" t="s">
        <v>577</v>
      </c>
      <c r="D22" s="546" t="s">
        <v>577</v>
      </c>
      <c r="E22" s="547"/>
      <c r="F22" s="548"/>
      <c r="G22" s="548"/>
      <c r="H22" s="548"/>
      <c r="I22" s="548"/>
      <c r="J22" s="548"/>
      <c r="K22" s="548"/>
      <c r="L22" s="548"/>
      <c r="M22" s="548"/>
      <c r="N22" s="547"/>
      <c r="O22" s="547"/>
      <c r="P22" s="548"/>
      <c r="Q22" s="548"/>
      <c r="R22" s="548"/>
      <c r="S22" s="548"/>
      <c r="T22" s="545"/>
      <c r="U22" s="545"/>
      <c r="V22" s="545"/>
      <c r="W22" s="545"/>
      <c r="X22" s="545"/>
      <c r="Y22" s="545"/>
      <c r="Z22" s="545"/>
    </row>
    <row r="23" spans="1:26" ht="26.4" x14ac:dyDescent="0.25">
      <c r="A23" s="541" t="s">
        <v>604</v>
      </c>
      <c r="B23" s="542" t="s">
        <v>602</v>
      </c>
      <c r="C23" s="542" t="s">
        <v>596</v>
      </c>
      <c r="D23" s="542" t="s">
        <v>576</v>
      </c>
      <c r="E23" s="549"/>
      <c r="F23" s="544"/>
      <c r="G23" s="544"/>
      <c r="H23" s="544"/>
      <c r="I23" s="544"/>
      <c r="J23" s="544"/>
      <c r="K23" s="544"/>
      <c r="L23" s="544"/>
      <c r="M23" s="544"/>
      <c r="N23" s="543"/>
      <c r="O23" s="543"/>
      <c r="P23" s="544"/>
      <c r="Q23" s="544"/>
      <c r="R23" s="544"/>
      <c r="S23" s="544"/>
      <c r="T23" s="545"/>
      <c r="U23" s="545"/>
      <c r="V23" s="545"/>
      <c r="W23" s="545"/>
      <c r="X23" s="545"/>
      <c r="Y23" s="545"/>
      <c r="Z23" s="545"/>
    </row>
    <row r="24" spans="1:26" ht="26.4" x14ac:dyDescent="0.25">
      <c r="A24" s="541" t="s">
        <v>605</v>
      </c>
      <c r="B24" s="546" t="s">
        <v>606</v>
      </c>
      <c r="C24" s="546" t="s">
        <v>607</v>
      </c>
      <c r="D24" s="546" t="s">
        <v>608</v>
      </c>
      <c r="E24" s="547"/>
      <c r="F24" s="548"/>
      <c r="G24" s="548"/>
      <c r="H24" s="548"/>
      <c r="I24" s="548"/>
      <c r="J24" s="548"/>
      <c r="K24" s="548"/>
      <c r="L24" s="548"/>
      <c r="M24" s="548"/>
      <c r="N24" s="547"/>
      <c r="O24" s="547"/>
      <c r="P24" s="548"/>
      <c r="Q24" s="548"/>
      <c r="R24" s="548"/>
      <c r="S24" s="548"/>
      <c r="T24" s="545"/>
      <c r="U24" s="545"/>
      <c r="V24" s="545"/>
      <c r="W24" s="545"/>
      <c r="X24" s="545"/>
      <c r="Y24" s="545"/>
      <c r="Z24" s="545"/>
    </row>
    <row r="25" spans="1:26" ht="26.4" x14ac:dyDescent="0.25">
      <c r="A25" s="541" t="s">
        <v>609</v>
      </c>
      <c r="B25" s="542" t="s">
        <v>576</v>
      </c>
      <c r="C25" s="542" t="s">
        <v>587</v>
      </c>
      <c r="D25" s="542" t="s">
        <v>587</v>
      </c>
      <c r="E25" s="543"/>
      <c r="F25" s="544"/>
      <c r="G25" s="544"/>
      <c r="H25" s="544"/>
      <c r="I25" s="544"/>
      <c r="J25" s="544"/>
      <c r="K25" s="544"/>
      <c r="L25" s="544"/>
      <c r="M25" s="544"/>
      <c r="N25" s="543"/>
      <c r="O25" s="543"/>
      <c r="P25" s="544"/>
      <c r="Q25" s="544"/>
      <c r="R25" s="544"/>
      <c r="S25" s="544"/>
      <c r="T25" s="545"/>
      <c r="U25" s="545"/>
      <c r="V25" s="545"/>
      <c r="W25" s="545"/>
      <c r="X25" s="545"/>
      <c r="Y25" s="545"/>
      <c r="Z25" s="545"/>
    </row>
    <row r="26" spans="1:26" ht="26.4" x14ac:dyDescent="0.25">
      <c r="A26" s="541" t="s">
        <v>610</v>
      </c>
      <c r="B26" s="546" t="s">
        <v>576</v>
      </c>
      <c r="C26" s="546" t="s">
        <v>587</v>
      </c>
      <c r="D26" s="546" t="s">
        <v>587</v>
      </c>
      <c r="E26" s="547"/>
      <c r="F26" s="548"/>
      <c r="G26" s="548"/>
      <c r="H26" s="548"/>
      <c r="I26" s="548"/>
      <c r="J26" s="548"/>
      <c r="K26" s="548"/>
      <c r="L26" s="548"/>
      <c r="M26" s="548"/>
      <c r="N26" s="547"/>
      <c r="O26" s="547"/>
      <c r="P26" s="548"/>
      <c r="Q26" s="548"/>
      <c r="R26" s="548"/>
      <c r="S26" s="548"/>
      <c r="T26" s="545"/>
      <c r="U26" s="545"/>
      <c r="V26" s="545"/>
      <c r="W26" s="545"/>
      <c r="X26" s="545"/>
      <c r="Y26" s="545"/>
      <c r="Z26" s="545"/>
    </row>
    <row r="27" spans="1:26" ht="26.4" x14ac:dyDescent="0.25">
      <c r="A27" s="541" t="s">
        <v>611</v>
      </c>
      <c r="B27" s="542" t="s">
        <v>576</v>
      </c>
      <c r="C27" s="542" t="s">
        <v>587</v>
      </c>
      <c r="D27" s="542" t="s">
        <v>587</v>
      </c>
      <c r="E27" s="543"/>
      <c r="F27" s="544"/>
      <c r="G27" s="544"/>
      <c r="H27" s="544"/>
      <c r="I27" s="544"/>
      <c r="J27" s="544"/>
      <c r="K27" s="544"/>
      <c r="L27" s="544"/>
      <c r="M27" s="544"/>
      <c r="N27" s="543"/>
      <c r="O27" s="543"/>
      <c r="P27" s="544"/>
      <c r="Q27" s="544"/>
      <c r="R27" s="544"/>
      <c r="S27" s="544"/>
      <c r="T27" s="545"/>
      <c r="U27" s="545"/>
      <c r="V27" s="545"/>
      <c r="W27" s="545"/>
      <c r="X27" s="545"/>
      <c r="Y27" s="545"/>
      <c r="Z27" s="545"/>
    </row>
    <row r="28" spans="1:26" ht="26.4" x14ac:dyDescent="0.25">
      <c r="A28" s="541" t="s">
        <v>612</v>
      </c>
      <c r="B28" s="546" t="s">
        <v>613</v>
      </c>
      <c r="C28" s="546" t="s">
        <v>613</v>
      </c>
      <c r="D28" s="546" t="s">
        <v>613</v>
      </c>
      <c r="E28" s="547"/>
      <c r="F28" s="548"/>
      <c r="G28" s="548"/>
      <c r="H28" s="548"/>
      <c r="I28" s="548"/>
      <c r="J28" s="548"/>
      <c r="K28" s="548"/>
      <c r="L28" s="548"/>
      <c r="M28" s="548"/>
      <c r="N28" s="547"/>
      <c r="O28" s="547"/>
      <c r="P28" s="548"/>
      <c r="Q28" s="548"/>
      <c r="R28" s="548"/>
      <c r="S28" s="548"/>
      <c r="T28" s="545"/>
      <c r="U28" s="545"/>
      <c r="V28" s="545"/>
      <c r="W28" s="545"/>
      <c r="X28" s="545"/>
      <c r="Y28" s="545"/>
      <c r="Z28" s="545"/>
    </row>
    <row r="29" spans="1:26" ht="26.4" x14ac:dyDescent="0.25">
      <c r="A29" s="541" t="s">
        <v>614</v>
      </c>
      <c r="B29" s="542" t="s">
        <v>615</v>
      </c>
      <c r="C29" s="542" t="s">
        <v>616</v>
      </c>
      <c r="D29" s="542" t="s">
        <v>615</v>
      </c>
      <c r="E29" s="543"/>
      <c r="F29" s="544"/>
      <c r="G29" s="544"/>
      <c r="H29" s="544"/>
      <c r="I29" s="544"/>
      <c r="J29" s="544"/>
      <c r="K29" s="544"/>
      <c r="L29" s="544"/>
      <c r="M29" s="544"/>
      <c r="N29" s="543"/>
      <c r="O29" s="543"/>
      <c r="P29" s="544"/>
      <c r="Q29" s="544"/>
      <c r="R29" s="544"/>
      <c r="S29" s="544"/>
      <c r="T29" s="545"/>
      <c r="U29" s="545"/>
      <c r="V29" s="545"/>
      <c r="W29" s="545"/>
      <c r="X29" s="545"/>
      <c r="Y29" s="545"/>
      <c r="Z29" s="545"/>
    </row>
    <row r="30" spans="1:26" ht="26.4" x14ac:dyDescent="0.25">
      <c r="A30" s="541" t="s">
        <v>617</v>
      </c>
      <c r="B30" s="546" t="s">
        <v>615</v>
      </c>
      <c r="C30" s="546" t="s">
        <v>616</v>
      </c>
      <c r="D30" s="546" t="s">
        <v>615</v>
      </c>
      <c r="E30" s="547"/>
      <c r="F30" s="548"/>
      <c r="G30" s="548"/>
      <c r="H30" s="548"/>
      <c r="I30" s="548"/>
      <c r="J30" s="548"/>
      <c r="K30" s="548"/>
      <c r="L30" s="548"/>
      <c r="M30" s="548"/>
      <c r="N30" s="547"/>
      <c r="O30" s="547"/>
      <c r="P30" s="548"/>
      <c r="Q30" s="548"/>
      <c r="R30" s="548"/>
      <c r="S30" s="548"/>
      <c r="T30" s="545"/>
      <c r="U30" s="545"/>
      <c r="V30" s="545"/>
      <c r="W30" s="545"/>
      <c r="X30" s="545"/>
      <c r="Y30" s="545"/>
      <c r="Z30" s="545"/>
    </row>
    <row r="31" spans="1:26" ht="39.6" x14ac:dyDescent="0.25">
      <c r="A31" s="541" t="s">
        <v>618</v>
      </c>
      <c r="B31" s="542" t="s">
        <v>619</v>
      </c>
      <c r="C31" s="542" t="s">
        <v>620</v>
      </c>
      <c r="D31" s="542" t="s">
        <v>620</v>
      </c>
      <c r="E31" s="543"/>
      <c r="F31" s="544"/>
      <c r="G31" s="544"/>
      <c r="H31" s="544"/>
      <c r="I31" s="544"/>
      <c r="J31" s="544"/>
      <c r="K31" s="544"/>
      <c r="L31" s="544"/>
      <c r="M31" s="544"/>
      <c r="N31" s="543"/>
      <c r="O31" s="543"/>
      <c r="P31" s="544"/>
      <c r="Q31" s="544"/>
      <c r="R31" s="544"/>
      <c r="S31" s="544"/>
      <c r="T31" s="545"/>
      <c r="U31" s="545"/>
      <c r="V31" s="545"/>
      <c r="W31" s="545"/>
      <c r="X31" s="545"/>
      <c r="Y31" s="545"/>
      <c r="Z31" s="545"/>
    </row>
    <row r="32" spans="1:26" ht="89.25" customHeight="1" x14ac:dyDescent="0.25">
      <c r="A32" s="541" t="s">
        <v>621</v>
      </c>
      <c r="B32" s="542" t="s">
        <v>622</v>
      </c>
      <c r="C32" s="542" t="s">
        <v>623</v>
      </c>
      <c r="D32" s="542" t="s">
        <v>623</v>
      </c>
      <c r="E32" s="544"/>
      <c r="F32" s="544"/>
      <c r="G32" s="544"/>
      <c r="H32" s="544"/>
      <c r="I32" s="544"/>
      <c r="J32" s="544"/>
      <c r="K32" s="544"/>
      <c r="L32" s="544"/>
      <c r="M32" s="544"/>
      <c r="N32" s="543"/>
      <c r="O32" s="543"/>
      <c r="P32" s="544"/>
      <c r="Q32" s="544"/>
      <c r="R32" s="544"/>
      <c r="S32" s="544"/>
      <c r="T32" s="545"/>
      <c r="U32" s="545"/>
      <c r="V32" s="545"/>
      <c r="W32" s="545"/>
      <c r="X32" s="545"/>
      <c r="Y32" s="545"/>
      <c r="Z32" s="545"/>
    </row>
    <row r="33" spans="1:29" ht="25.2" customHeight="1" thickBot="1" x14ac:dyDescent="0.3">
      <c r="A33" s="550" t="s">
        <v>624</v>
      </c>
      <c r="B33" s="551"/>
      <c r="C33" s="551"/>
      <c r="D33" s="551"/>
      <c r="E33" s="547"/>
      <c r="F33" s="548"/>
      <c r="G33" s="548"/>
      <c r="H33" s="548"/>
      <c r="I33" s="548"/>
      <c r="J33" s="548"/>
      <c r="K33" s="548"/>
      <c r="L33" s="548"/>
      <c r="M33" s="548"/>
      <c r="N33" s="547"/>
      <c r="O33" s="547"/>
      <c r="P33" s="548"/>
      <c r="Q33" s="548"/>
      <c r="R33" s="548"/>
      <c r="S33" s="548"/>
      <c r="T33" s="545"/>
      <c r="U33" s="545"/>
      <c r="V33" s="545"/>
      <c r="W33" s="545"/>
      <c r="X33" s="545"/>
      <c r="Y33" s="545"/>
      <c r="Z33" s="545"/>
    </row>
    <row r="34" spans="1:29" ht="9" customHeight="1" thickTop="1" x14ac:dyDescent="0.3">
      <c r="A34" s="552"/>
      <c r="B34" s="553"/>
      <c r="C34" s="553"/>
      <c r="D34" s="554"/>
      <c r="E34" s="554"/>
      <c r="F34" s="554"/>
      <c r="G34" s="554"/>
      <c r="H34" s="554"/>
      <c r="I34" s="554"/>
      <c r="J34" s="554"/>
      <c r="K34" s="554"/>
      <c r="L34" s="554"/>
      <c r="M34" s="554"/>
      <c r="N34" s="554"/>
      <c r="O34" s="554"/>
      <c r="P34" s="554"/>
      <c r="Q34" s="554"/>
      <c r="R34" s="554"/>
      <c r="S34" s="554"/>
    </row>
    <row r="35" spans="1:29" ht="20.100000000000001" customHeight="1" thickBot="1" x14ac:dyDescent="0.3">
      <c r="A35" s="525" t="s">
        <v>625</v>
      </c>
      <c r="B35" s="555"/>
      <c r="C35" s="555"/>
      <c r="D35" s="555"/>
      <c r="E35" s="555"/>
      <c r="F35" s="555"/>
      <c r="G35" s="555"/>
      <c r="H35" s="555"/>
      <c r="I35" s="555"/>
      <c r="J35" s="555"/>
      <c r="K35" s="555"/>
      <c r="L35" s="526"/>
      <c r="M35" s="526"/>
      <c r="N35" s="526"/>
      <c r="O35" s="526"/>
      <c r="P35" s="526"/>
      <c r="Q35" s="556"/>
      <c r="R35" s="556"/>
      <c r="S35" s="556"/>
    </row>
    <row r="36" spans="1:29" ht="13.8" thickTop="1" x14ac:dyDescent="0.25">
      <c r="A36" s="557" t="s">
        <v>626</v>
      </c>
      <c r="B36" s="558" t="s">
        <v>627</v>
      </c>
      <c r="C36" s="558" t="s">
        <v>565</v>
      </c>
      <c r="D36" s="558" t="s">
        <v>566</v>
      </c>
      <c r="E36" s="534"/>
      <c r="F36" s="534"/>
      <c r="G36" s="534"/>
      <c r="H36" s="534"/>
      <c r="I36" s="534"/>
      <c r="J36" s="534"/>
      <c r="K36" s="534"/>
      <c r="L36" s="534"/>
      <c r="M36" s="534"/>
      <c r="N36" s="534"/>
      <c r="O36" s="534"/>
      <c r="P36" s="535"/>
      <c r="Q36" s="535"/>
      <c r="R36" s="535"/>
      <c r="S36" s="534"/>
    </row>
    <row r="37" spans="1:29" x14ac:dyDescent="0.25">
      <c r="A37" s="541" t="s">
        <v>628</v>
      </c>
      <c r="B37" s="559">
        <v>501.01</v>
      </c>
      <c r="C37" s="559">
        <v>661.64</v>
      </c>
      <c r="D37" s="559">
        <v>720.23</v>
      </c>
      <c r="E37" s="560"/>
      <c r="F37" s="560"/>
      <c r="G37" s="560"/>
      <c r="H37" s="560"/>
      <c r="I37" s="560"/>
      <c r="J37" s="560"/>
      <c r="K37" s="560"/>
      <c r="L37" s="560"/>
      <c r="M37" s="560"/>
      <c r="N37" s="560"/>
      <c r="O37" s="560"/>
      <c r="P37" s="561"/>
      <c r="Q37" s="561"/>
      <c r="R37" s="561"/>
      <c r="S37" s="560"/>
      <c r="T37" s="545"/>
      <c r="U37" s="545"/>
      <c r="V37" s="545"/>
      <c r="W37" s="545"/>
      <c r="X37" s="545"/>
      <c r="Y37" s="545"/>
      <c r="Z37" s="545"/>
      <c r="AA37" s="545"/>
      <c r="AB37" s="545"/>
      <c r="AC37" s="545"/>
    </row>
    <row r="38" spans="1:29" x14ac:dyDescent="0.25">
      <c r="A38" s="541" t="s">
        <v>629</v>
      </c>
      <c r="B38" s="562">
        <v>1162.3399999999999</v>
      </c>
      <c r="C38" s="562">
        <v>1535.01</v>
      </c>
      <c r="D38" s="562">
        <v>1670.94</v>
      </c>
      <c r="E38" s="563"/>
      <c r="F38" s="563"/>
      <c r="G38" s="563"/>
      <c r="H38" s="563"/>
      <c r="I38" s="563"/>
      <c r="J38" s="563"/>
      <c r="K38" s="563"/>
      <c r="L38" s="563"/>
      <c r="M38" s="563"/>
      <c r="N38" s="563"/>
      <c r="O38" s="563"/>
      <c r="P38" s="564"/>
      <c r="Q38" s="564"/>
      <c r="R38" s="564"/>
      <c r="S38" s="563"/>
      <c r="T38" s="545"/>
      <c r="U38" s="545"/>
      <c r="V38" s="545"/>
      <c r="W38" s="545"/>
      <c r="X38" s="545"/>
      <c r="Y38" s="545"/>
      <c r="Z38" s="545"/>
      <c r="AA38" s="545"/>
      <c r="AB38" s="545"/>
      <c r="AC38" s="545"/>
    </row>
    <row r="39" spans="1:29" x14ac:dyDescent="0.25">
      <c r="A39" s="541" t="s">
        <v>630</v>
      </c>
      <c r="B39" s="559">
        <v>951.92</v>
      </c>
      <c r="C39" s="559">
        <v>1257.1199999999999</v>
      </c>
      <c r="D39" s="559">
        <v>1368.44</v>
      </c>
      <c r="E39" s="560"/>
      <c r="F39" s="560"/>
      <c r="G39" s="560"/>
      <c r="H39" s="560"/>
      <c r="I39" s="560"/>
      <c r="J39" s="560"/>
      <c r="K39" s="560"/>
      <c r="L39" s="560"/>
      <c r="M39" s="560"/>
      <c r="N39" s="560"/>
      <c r="O39" s="560"/>
      <c r="P39" s="561"/>
      <c r="Q39" s="561"/>
      <c r="R39" s="561"/>
      <c r="S39" s="560"/>
      <c r="T39" s="545"/>
      <c r="U39" s="545"/>
      <c r="V39" s="545"/>
      <c r="W39" s="545"/>
      <c r="X39" s="545"/>
      <c r="Y39" s="545"/>
      <c r="Z39" s="545"/>
      <c r="AA39" s="545"/>
      <c r="AB39" s="545"/>
      <c r="AC39" s="545"/>
    </row>
    <row r="40" spans="1:29" x14ac:dyDescent="0.25">
      <c r="A40" s="541" t="s">
        <v>631</v>
      </c>
      <c r="B40" s="562">
        <v>951.92</v>
      </c>
      <c r="C40" s="562">
        <v>1257.1199999999999</v>
      </c>
      <c r="D40" s="562">
        <v>1368.44</v>
      </c>
      <c r="E40" s="563"/>
      <c r="F40" s="563"/>
      <c r="G40" s="563"/>
      <c r="H40" s="563"/>
      <c r="I40" s="563"/>
      <c r="J40" s="563"/>
      <c r="K40" s="563"/>
      <c r="L40" s="563"/>
      <c r="M40" s="563"/>
      <c r="N40" s="563"/>
      <c r="O40" s="563"/>
      <c r="P40" s="564"/>
      <c r="Q40" s="564"/>
      <c r="R40" s="564"/>
      <c r="S40" s="563"/>
      <c r="T40" s="545"/>
      <c r="U40" s="545"/>
      <c r="V40" s="545"/>
      <c r="W40" s="545"/>
      <c r="X40" s="545"/>
      <c r="Y40" s="545"/>
      <c r="Z40" s="545"/>
      <c r="AA40" s="545"/>
      <c r="AB40" s="545"/>
      <c r="AC40" s="545"/>
    </row>
    <row r="41" spans="1:29" ht="28.35" customHeight="1" thickBot="1" x14ac:dyDescent="0.3">
      <c r="A41" s="541" t="s">
        <v>632</v>
      </c>
      <c r="B41" s="565">
        <v>1377.77</v>
      </c>
      <c r="C41" s="565">
        <v>1819.51</v>
      </c>
      <c r="D41" s="565">
        <v>1980.64</v>
      </c>
      <c r="E41" s="560"/>
      <c r="F41" s="560"/>
      <c r="G41" s="560"/>
      <c r="H41" s="560"/>
      <c r="I41" s="560"/>
      <c r="J41" s="560"/>
      <c r="K41" s="560"/>
      <c r="L41" s="560"/>
      <c r="M41" s="560"/>
      <c r="N41" s="560"/>
      <c r="O41" s="560"/>
      <c r="P41" s="561"/>
      <c r="Q41" s="561"/>
      <c r="R41" s="561"/>
      <c r="S41" s="560"/>
      <c r="T41" s="545"/>
      <c r="U41" s="545"/>
      <c r="V41" s="545"/>
      <c r="W41" s="545"/>
      <c r="X41" s="545"/>
      <c r="Y41" s="545"/>
      <c r="Z41" s="545"/>
      <c r="AA41" s="545"/>
      <c r="AB41" s="545"/>
      <c r="AC41" s="545"/>
    </row>
    <row r="42" spans="1:29" ht="13.8" thickTop="1" x14ac:dyDescent="0.25">
      <c r="A42" s="566"/>
      <c r="B42" s="567"/>
      <c r="C42" s="567"/>
      <c r="D42" s="567"/>
      <c r="E42" s="567"/>
      <c r="F42" s="567"/>
      <c r="G42" s="567"/>
      <c r="H42" s="567"/>
      <c r="I42" s="567"/>
      <c r="J42" s="567"/>
      <c r="K42" s="568"/>
      <c r="L42" s="568"/>
      <c r="M42" s="568"/>
      <c r="N42" s="567"/>
      <c r="O42" s="567"/>
      <c r="P42" s="568"/>
      <c r="Q42" s="568"/>
      <c r="R42" s="568"/>
      <c r="S42" s="567"/>
    </row>
    <row r="43" spans="1:29" ht="27" customHeight="1" x14ac:dyDescent="0.3">
      <c r="A43" s="569"/>
      <c r="B43" s="570"/>
      <c r="C43" s="569"/>
      <c r="D43" s="569"/>
    </row>
    <row r="44" spans="1:29" ht="33.75" customHeight="1" x14ac:dyDescent="0.3">
      <c r="A44" s="569"/>
      <c r="B44" s="570"/>
      <c r="C44" s="569"/>
      <c r="D44" s="569"/>
    </row>
    <row r="45" spans="1:29" ht="21" x14ac:dyDescent="0.4">
      <c r="A45" s="571"/>
      <c r="B45" s="572"/>
    </row>
    <row r="46" spans="1:29" ht="7.35" customHeight="1" x14ac:dyDescent="0.25">
      <c r="A46" s="573"/>
      <c r="B46" s="572"/>
    </row>
    <row r="47" spans="1:29" ht="39.6" customHeight="1" x14ac:dyDescent="0.25">
      <c r="A47" s="574"/>
      <c r="B47" s="575"/>
      <c r="C47" s="574"/>
      <c r="D47" s="574"/>
      <c r="E47" s="574"/>
    </row>
    <row r="48" spans="1:29" ht="47.1" customHeight="1" x14ac:dyDescent="0.25">
      <c r="A48" s="574"/>
      <c r="B48" s="574"/>
      <c r="C48" s="574"/>
      <c r="D48" s="574"/>
      <c r="E48" s="574"/>
    </row>
    <row r="49" spans="1:5" x14ac:dyDescent="0.25">
      <c r="A49" s="574"/>
      <c r="B49" s="574"/>
      <c r="C49" s="574"/>
      <c r="D49" s="574"/>
      <c r="E49" s="574"/>
    </row>
    <row r="50" spans="1:5" x14ac:dyDescent="0.25">
      <c r="A50" s="574"/>
      <c r="B50" s="574"/>
      <c r="C50" s="574"/>
      <c r="D50" s="574"/>
      <c r="E50" s="574"/>
    </row>
    <row r="51" spans="1:5" x14ac:dyDescent="0.25">
      <c r="A51" s="576"/>
      <c r="B51" s="576"/>
      <c r="C51" s="576"/>
      <c r="D51" s="576"/>
      <c r="E51" s="576"/>
    </row>
    <row r="52" spans="1:5" ht="25.5" customHeight="1" x14ac:dyDescent="0.25">
      <c r="A52" s="574"/>
      <c r="B52" s="574"/>
      <c r="C52" s="574"/>
      <c r="D52" s="574"/>
      <c r="E52" s="574"/>
    </row>
    <row r="53" spans="1:5" ht="44.7" customHeight="1" x14ac:dyDescent="0.25">
      <c r="A53" s="574"/>
      <c r="B53" s="574"/>
      <c r="C53" s="574"/>
      <c r="D53" s="574"/>
      <c r="E53" s="574"/>
    </row>
    <row r="54" spans="1:5" ht="63.75" customHeight="1" x14ac:dyDescent="0.25">
      <c r="A54" s="574"/>
      <c r="B54" s="574"/>
      <c r="C54" s="574"/>
      <c r="D54" s="574"/>
      <c r="E54" s="574"/>
    </row>
    <row r="55" spans="1:5" ht="50.1" customHeight="1" x14ac:dyDescent="0.25">
      <c r="A55" s="574"/>
      <c r="B55" s="574"/>
      <c r="C55" s="574"/>
      <c r="D55" s="574"/>
      <c r="E55" s="574"/>
    </row>
    <row r="56" spans="1:5" x14ac:dyDescent="0.25">
      <c r="A56" s="574"/>
      <c r="B56" s="574"/>
      <c r="C56" s="574"/>
      <c r="D56" s="574"/>
      <c r="E56" s="574"/>
    </row>
    <row r="57" spans="1:5" ht="19.350000000000001" customHeight="1" x14ac:dyDescent="0.25">
      <c r="A57" s="574"/>
      <c r="B57" s="574"/>
      <c r="C57" s="574"/>
      <c r="D57" s="574"/>
      <c r="E57" s="574"/>
    </row>
    <row r="58" spans="1:5" ht="25.5" customHeight="1" x14ac:dyDescent="0.25">
      <c r="A58" s="574"/>
      <c r="B58" s="574"/>
      <c r="C58" s="574"/>
      <c r="D58" s="574"/>
      <c r="E58" s="574"/>
    </row>
    <row r="59" spans="1:5" ht="25.5" customHeight="1" x14ac:dyDescent="0.25">
      <c r="A59" s="574"/>
      <c r="B59" s="574"/>
      <c r="C59" s="574"/>
      <c r="D59" s="574"/>
      <c r="E59" s="574"/>
    </row>
    <row r="60" spans="1:5" ht="25.5" customHeight="1" x14ac:dyDescent="0.25">
      <c r="A60" s="574"/>
      <c r="B60" s="574"/>
      <c r="C60" s="574"/>
      <c r="D60" s="574"/>
      <c r="E60" s="574"/>
    </row>
    <row r="61" spans="1:5" ht="25.5" customHeight="1" x14ac:dyDescent="0.25">
      <c r="A61" s="574"/>
      <c r="B61" s="574"/>
      <c r="C61" s="574"/>
      <c r="D61" s="574"/>
      <c r="E61" s="574"/>
    </row>
    <row r="62" spans="1:5" ht="25.5" customHeight="1" x14ac:dyDescent="0.25">
      <c r="A62" s="574"/>
      <c r="B62" s="574"/>
      <c r="C62" s="574"/>
      <c r="D62" s="574"/>
      <c r="E62" s="574"/>
    </row>
    <row r="63" spans="1:5" ht="8.25" customHeight="1" x14ac:dyDescent="0.25">
      <c r="A63" s="574"/>
      <c r="B63" s="574"/>
      <c r="C63" s="574"/>
      <c r="D63" s="574"/>
      <c r="E63" s="574"/>
    </row>
    <row r="64" spans="1:5" ht="28.35" customHeight="1" x14ac:dyDescent="0.25">
      <c r="A64" s="574"/>
      <c r="B64" s="574"/>
      <c r="C64" s="574"/>
      <c r="D64" s="574"/>
      <c r="E64" s="574"/>
    </row>
    <row r="65" spans="1:5" ht="89.25" customHeight="1" x14ac:dyDescent="0.25">
      <c r="A65" s="574"/>
      <c r="B65" s="574"/>
      <c r="C65" s="574"/>
      <c r="D65" s="574"/>
      <c r="E65" s="574"/>
    </row>
    <row r="66" spans="1:5" ht="25.5" customHeight="1" x14ac:dyDescent="0.25">
      <c r="A66" s="576"/>
      <c r="B66" s="576"/>
      <c r="C66" s="576"/>
      <c r="D66" s="576"/>
      <c r="E66" s="576"/>
    </row>
    <row r="67" spans="1:5" ht="63.75" customHeight="1" x14ac:dyDescent="0.25">
      <c r="A67" s="574"/>
      <c r="B67" s="574"/>
      <c r="C67" s="574"/>
      <c r="D67" s="574"/>
      <c r="E67" s="574"/>
    </row>
    <row r="68" spans="1:5" ht="38.25" customHeight="1" x14ac:dyDescent="0.25">
      <c r="A68" s="574"/>
      <c r="B68" s="574"/>
      <c r="C68" s="574"/>
      <c r="D68" s="574"/>
      <c r="E68" s="574"/>
    </row>
    <row r="69" spans="1:5" ht="38.25" customHeight="1" x14ac:dyDescent="0.25">
      <c r="A69" s="574"/>
      <c r="B69" s="574"/>
      <c r="C69" s="574"/>
      <c r="D69" s="574"/>
      <c r="E69" s="574"/>
    </row>
    <row r="70" spans="1:5" ht="38.25" customHeight="1" x14ac:dyDescent="0.25">
      <c r="A70" s="574"/>
      <c r="B70" s="574"/>
      <c r="C70" s="574"/>
      <c r="D70" s="574"/>
      <c r="E70" s="574"/>
    </row>
    <row r="71" spans="1:5" ht="6" customHeight="1" x14ac:dyDescent="0.25">
      <c r="A71" s="574"/>
      <c r="B71" s="574"/>
      <c r="C71" s="574"/>
      <c r="D71" s="574"/>
      <c r="E71" s="574"/>
    </row>
    <row r="72" spans="1:5" ht="25.5" customHeight="1" x14ac:dyDescent="0.25">
      <c r="A72" s="574"/>
      <c r="B72" s="574"/>
      <c r="C72" s="574"/>
      <c r="D72" s="574"/>
      <c r="E72" s="574"/>
    </row>
    <row r="73" spans="1:5" ht="38.25" customHeight="1" x14ac:dyDescent="0.25">
      <c r="A73" s="574"/>
      <c r="B73" s="574"/>
      <c r="C73" s="574"/>
      <c r="D73" s="574"/>
      <c r="E73" s="574"/>
    </row>
    <row r="74" spans="1:5" ht="38.25" customHeight="1" x14ac:dyDescent="0.25">
      <c r="A74" s="574"/>
      <c r="B74" s="574"/>
      <c r="C74" s="574"/>
      <c r="D74" s="574"/>
      <c r="E74" s="574"/>
    </row>
    <row r="75" spans="1:5" ht="26.7" customHeight="1" x14ac:dyDescent="0.25">
      <c r="A75" s="574"/>
      <c r="B75" s="574"/>
      <c r="C75" s="574"/>
      <c r="D75" s="574"/>
      <c r="E75" s="574"/>
    </row>
    <row r="76" spans="1:5" ht="24.75" customHeight="1" x14ac:dyDescent="0.25">
      <c r="A76" s="574"/>
      <c r="B76" s="574"/>
      <c r="C76" s="574"/>
      <c r="D76" s="574"/>
      <c r="E76" s="574"/>
    </row>
    <row r="77" spans="1:5" ht="13.95" customHeight="1" x14ac:dyDescent="0.25">
      <c r="A77" s="574"/>
      <c r="B77" s="574"/>
      <c r="C77" s="574"/>
      <c r="D77" s="574"/>
      <c r="E77" s="574"/>
    </row>
    <row r="78" spans="1:5" ht="51" customHeight="1" x14ac:dyDescent="0.25">
      <c r="A78" s="574"/>
      <c r="B78" s="574"/>
      <c r="C78" s="574"/>
      <c r="D78" s="574"/>
      <c r="E78" s="574"/>
    </row>
    <row r="79" spans="1:5" ht="51" customHeight="1" x14ac:dyDescent="0.25">
      <c r="A79" s="574"/>
      <c r="B79" s="574"/>
      <c r="C79" s="574"/>
      <c r="D79" s="574"/>
      <c r="E79" s="574"/>
    </row>
    <row r="80" spans="1:5" ht="51" customHeight="1" x14ac:dyDescent="0.25">
      <c r="A80" s="574"/>
      <c r="B80" s="574"/>
      <c r="C80" s="574"/>
      <c r="D80" s="574"/>
      <c r="E80" s="574"/>
    </row>
    <row r="81" spans="1:5" ht="25.5" customHeight="1" x14ac:dyDescent="0.25">
      <c r="A81" s="574"/>
      <c r="B81" s="574"/>
      <c r="C81" s="574"/>
      <c r="D81" s="574"/>
      <c r="E81" s="574"/>
    </row>
    <row r="82" spans="1:5" ht="38.25" customHeight="1" x14ac:dyDescent="0.25">
      <c r="A82" s="574"/>
      <c r="B82" s="574"/>
      <c r="C82" s="574"/>
      <c r="D82" s="574"/>
      <c r="E82" s="574"/>
    </row>
    <row r="83" spans="1:5" ht="20.55" customHeight="1" x14ac:dyDescent="0.25">
      <c r="A83" s="574"/>
      <c r="B83" s="574"/>
      <c r="C83" s="574"/>
      <c r="D83" s="574"/>
      <c r="E83" s="574"/>
    </row>
    <row r="84" spans="1:5" ht="25.5" customHeight="1" x14ac:dyDescent="0.25">
      <c r="A84" s="574"/>
      <c r="B84" s="574"/>
      <c r="C84" s="574"/>
      <c r="D84" s="574"/>
      <c r="E84" s="574"/>
    </row>
    <row r="85" spans="1:5" ht="38.25" customHeight="1" x14ac:dyDescent="0.25">
      <c r="A85" s="574"/>
      <c r="B85" s="574"/>
      <c r="C85" s="574"/>
      <c r="D85" s="574"/>
      <c r="E85" s="574"/>
    </row>
    <row r="86" spans="1:5" ht="38.25" customHeight="1" x14ac:dyDescent="0.25">
      <c r="A86" s="574"/>
      <c r="B86" s="574"/>
      <c r="C86" s="574"/>
      <c r="D86" s="574"/>
      <c r="E86" s="574"/>
    </row>
    <row r="87" spans="1:5" ht="33" customHeight="1" x14ac:dyDescent="0.25">
      <c r="A87" s="576"/>
      <c r="B87" s="576"/>
      <c r="C87" s="576"/>
      <c r="D87" s="576"/>
      <c r="E87" s="576"/>
    </row>
    <row r="88" spans="1:5" ht="44.7" customHeight="1" x14ac:dyDescent="0.25">
      <c r="A88" s="576"/>
      <c r="B88" s="576"/>
      <c r="C88" s="576"/>
      <c r="D88" s="576"/>
      <c r="E88" s="576"/>
    </row>
    <row r="89" spans="1:5" ht="38.25" customHeight="1" x14ac:dyDescent="0.25">
      <c r="A89" s="576"/>
      <c r="B89" s="576"/>
      <c r="C89" s="576"/>
      <c r="D89" s="576"/>
      <c r="E89" s="576"/>
    </row>
    <row r="90" spans="1:5" ht="38.25" customHeight="1" x14ac:dyDescent="0.25">
      <c r="A90" s="574"/>
      <c r="B90" s="574"/>
      <c r="C90" s="574"/>
      <c r="D90" s="574"/>
      <c r="E90" s="574"/>
    </row>
    <row r="91" spans="1:5" ht="38.25" customHeight="1" x14ac:dyDescent="0.25">
      <c r="A91" s="574"/>
      <c r="B91" s="574"/>
      <c r="C91" s="574"/>
      <c r="D91" s="574"/>
      <c r="E91" s="574"/>
    </row>
    <row r="92" spans="1:5" ht="29.55" customHeight="1" x14ac:dyDescent="0.25">
      <c r="A92" s="574"/>
      <c r="B92" s="574"/>
      <c r="C92" s="574"/>
      <c r="D92" s="574"/>
      <c r="E92" s="574"/>
    </row>
    <row r="93" spans="1:5" ht="63.75" customHeight="1" x14ac:dyDescent="0.25">
      <c r="A93" s="574"/>
      <c r="B93" s="574"/>
      <c r="C93" s="574"/>
      <c r="D93" s="574"/>
      <c r="E93" s="574"/>
    </row>
    <row r="94" spans="1:5" ht="51" customHeight="1" x14ac:dyDescent="0.25">
      <c r="A94" s="574"/>
      <c r="B94" s="574"/>
      <c r="C94" s="574"/>
      <c r="D94" s="574"/>
      <c r="E94" s="574"/>
    </row>
    <row r="95" spans="1:5" ht="17.25" customHeight="1" x14ac:dyDescent="0.25">
      <c r="A95" s="574"/>
      <c r="B95" s="574"/>
      <c r="C95" s="574"/>
      <c r="D95" s="574"/>
      <c r="E95" s="574"/>
    </row>
    <row r="96" spans="1:5" ht="39.6" customHeight="1" x14ac:dyDescent="0.25">
      <c r="A96" s="574"/>
      <c r="B96" s="574"/>
      <c r="C96" s="574"/>
      <c r="D96" s="574"/>
      <c r="E96" s="574"/>
    </row>
    <row r="97" spans="1:5" ht="127.5" customHeight="1" x14ac:dyDescent="0.25">
      <c r="A97" s="574"/>
      <c r="B97" s="574"/>
      <c r="C97" s="574"/>
      <c r="D97" s="574"/>
      <c r="E97" s="574"/>
    </row>
    <row r="98" spans="1:5" ht="27" customHeight="1" x14ac:dyDescent="0.25">
      <c r="A98" s="574"/>
      <c r="B98" s="574"/>
      <c r="C98" s="574"/>
      <c r="D98" s="574"/>
      <c r="E98" s="574"/>
    </row>
    <row r="99" spans="1:5" ht="38.25" customHeight="1" x14ac:dyDescent="0.25">
      <c r="A99" s="576"/>
      <c r="B99" s="576"/>
      <c r="C99" s="576"/>
      <c r="D99" s="576"/>
      <c r="E99" s="576"/>
    </row>
    <row r="100" spans="1:5" ht="25.5" customHeight="1" x14ac:dyDescent="0.25">
      <c r="A100" s="576"/>
      <c r="B100" s="576"/>
      <c r="C100" s="576"/>
      <c r="D100" s="576"/>
      <c r="E100" s="576"/>
    </row>
    <row r="101" spans="1:5" ht="25.35" customHeight="1" x14ac:dyDescent="0.25">
      <c r="A101" s="576"/>
      <c r="B101" s="576"/>
      <c r="C101" s="576"/>
      <c r="D101" s="576"/>
      <c r="E101" s="576"/>
    </row>
    <row r="102" spans="1:5" ht="76.95" customHeight="1" x14ac:dyDescent="0.25">
      <c r="A102" s="576"/>
      <c r="B102" s="576"/>
      <c r="C102" s="576"/>
      <c r="D102" s="576"/>
      <c r="E102" s="576"/>
    </row>
    <row r="103" spans="1:5" ht="51" customHeight="1" x14ac:dyDescent="0.25">
      <c r="A103" s="574"/>
      <c r="B103" s="574"/>
      <c r="C103" s="574"/>
      <c r="D103" s="574"/>
      <c r="E103" s="574"/>
    </row>
    <row r="104" spans="1:5" ht="51" customHeight="1" x14ac:dyDescent="0.25">
      <c r="A104" s="574"/>
      <c r="B104" s="574"/>
      <c r="C104" s="574"/>
      <c r="D104" s="574"/>
      <c r="E104" s="574"/>
    </row>
    <row r="105" spans="1:5" x14ac:dyDescent="0.25">
      <c r="A105" s="574"/>
      <c r="B105" s="574"/>
      <c r="C105" s="574"/>
      <c r="D105" s="574"/>
      <c r="E105" s="574"/>
    </row>
    <row r="106" spans="1:5" x14ac:dyDescent="0.25">
      <c r="A106" s="574"/>
      <c r="B106" s="574"/>
      <c r="C106" s="574"/>
      <c r="D106" s="574"/>
      <c r="E106" s="574"/>
    </row>
    <row r="107" spans="1:5" ht="53.25" customHeight="1" x14ac:dyDescent="0.25">
      <c r="A107" s="574"/>
      <c r="B107" s="574"/>
      <c r="C107" s="574"/>
      <c r="D107" s="574"/>
      <c r="E107" s="574"/>
    </row>
    <row r="108" spans="1:5" x14ac:dyDescent="0.25">
      <c r="A108" s="576"/>
      <c r="B108" s="576"/>
      <c r="C108" s="576"/>
      <c r="D108" s="576"/>
      <c r="E108" s="576"/>
    </row>
    <row r="109" spans="1:5" x14ac:dyDescent="0.25">
      <c r="A109" s="576"/>
      <c r="B109" s="576"/>
      <c r="C109" s="576"/>
      <c r="D109" s="576"/>
      <c r="E109" s="576"/>
    </row>
    <row r="110" spans="1:5" ht="39.6" customHeight="1" x14ac:dyDescent="0.25">
      <c r="A110" s="576"/>
      <c r="B110" s="576"/>
      <c r="C110" s="576"/>
      <c r="D110" s="576"/>
      <c r="E110" s="576"/>
    </row>
    <row r="111" spans="1:5" ht="53.25" customHeight="1" x14ac:dyDescent="0.25">
      <c r="A111" s="574"/>
      <c r="B111" s="574"/>
      <c r="C111" s="574"/>
      <c r="D111" s="574"/>
      <c r="E111" s="574"/>
    </row>
    <row r="112" spans="1:5" ht="29.1" customHeight="1" x14ac:dyDescent="0.25">
      <c r="A112" s="574"/>
      <c r="B112" s="574"/>
      <c r="C112" s="574"/>
      <c r="D112" s="574"/>
      <c r="E112" s="574"/>
    </row>
    <row r="113" spans="1:5" x14ac:dyDescent="0.25">
      <c r="A113" s="576"/>
      <c r="B113" s="576"/>
      <c r="C113" s="576"/>
      <c r="D113" s="576"/>
      <c r="E113" s="576"/>
    </row>
    <row r="114" spans="1:5" x14ac:dyDescent="0.25">
      <c r="A114" s="576"/>
      <c r="B114" s="576"/>
      <c r="C114" s="576"/>
      <c r="D114" s="576"/>
      <c r="E114" s="576"/>
    </row>
    <row r="115" spans="1:5" ht="26.25" customHeight="1" x14ac:dyDescent="0.25">
      <c r="A115" s="576"/>
      <c r="B115" s="576"/>
      <c r="C115" s="576"/>
      <c r="D115" s="576"/>
      <c r="E115" s="576"/>
    </row>
    <row r="116" spans="1:5" x14ac:dyDescent="0.25">
      <c r="A116" s="576"/>
      <c r="B116" s="576"/>
      <c r="C116" s="576"/>
      <c r="D116" s="576"/>
      <c r="E116" s="576"/>
    </row>
    <row r="117" spans="1:5" x14ac:dyDescent="0.25">
      <c r="A117" s="574"/>
      <c r="B117" s="574"/>
      <c r="C117" s="574"/>
      <c r="D117" s="574"/>
      <c r="E117" s="574"/>
    </row>
    <row r="118" spans="1:5" x14ac:dyDescent="0.25">
      <c r="A118" s="574"/>
      <c r="B118" s="574"/>
      <c r="C118" s="574"/>
      <c r="D118" s="574"/>
      <c r="E118" s="574"/>
    </row>
    <row r="119" spans="1:5" x14ac:dyDescent="0.25">
      <c r="A119" s="574"/>
      <c r="B119" s="574"/>
      <c r="C119" s="574"/>
      <c r="D119" s="574"/>
      <c r="E119" s="574"/>
    </row>
    <row r="120" spans="1:5" x14ac:dyDescent="0.25">
      <c r="A120" s="574"/>
      <c r="B120" s="574"/>
      <c r="C120" s="574"/>
      <c r="D120" s="574"/>
      <c r="E120" s="574"/>
    </row>
    <row r="121" spans="1:5" x14ac:dyDescent="0.25">
      <c r="A121" s="574"/>
      <c r="B121" s="574"/>
      <c r="C121" s="574"/>
      <c r="D121" s="574"/>
      <c r="E121" s="574"/>
    </row>
    <row r="122" spans="1:5" x14ac:dyDescent="0.25">
      <c r="A122" s="574"/>
      <c r="B122" s="574"/>
      <c r="C122" s="574"/>
      <c r="D122" s="574"/>
      <c r="E122" s="574"/>
    </row>
    <row r="123" spans="1:5" x14ac:dyDescent="0.25">
      <c r="A123" s="577"/>
      <c r="B123" s="577"/>
      <c r="C123" s="577"/>
      <c r="D123" s="577"/>
      <c r="E123" s="577"/>
    </row>
    <row r="124" spans="1:5" x14ac:dyDescent="0.25">
      <c r="A124" s="577"/>
      <c r="B124" s="577"/>
      <c r="C124" s="577"/>
      <c r="D124" s="577"/>
      <c r="E124" s="57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6:J63"/>
  <sheetViews>
    <sheetView showGridLines="0" view="pageBreakPreview" topLeftCell="A20" zoomScaleNormal="100" zoomScaleSheetLayoutView="100" workbookViewId="0">
      <selection activeCell="B5" sqref="B5"/>
    </sheetView>
  </sheetViews>
  <sheetFormatPr defaultColWidth="9.21875" defaultRowHeight="13.2" outlineLevelRow="1" outlineLevelCol="1" x14ac:dyDescent="0.25"/>
  <cols>
    <col min="1" max="1" width="1.77734375" style="1" customWidth="1"/>
    <col min="2" max="2" width="44.77734375" style="1" customWidth="1"/>
    <col min="3" max="4" width="8.77734375" style="1" customWidth="1"/>
    <col min="5" max="5" width="32.77734375" style="1" hidden="1" customWidth="1" outlineLevel="1"/>
    <col min="6" max="6" width="32.21875" style="1" hidden="1" customWidth="1" outlineLevel="1"/>
    <col min="7" max="7" width="36.77734375" style="1" customWidth="1" collapsed="1"/>
    <col min="8" max="10" width="36.77734375" style="1" customWidth="1"/>
    <col min="11" max="11" width="2.77734375" style="1" customWidth="1"/>
    <col min="12" max="12" width="9.21875" style="1" customWidth="1"/>
    <col min="13" max="16384" width="9.21875" style="1"/>
  </cols>
  <sheetData>
    <row r="6" spans="2:10" ht="19.2" customHeight="1" x14ac:dyDescent="0.25">
      <c r="B6" s="4" t="s">
        <v>145</v>
      </c>
    </row>
    <row r="7" spans="2:10" ht="19.2" customHeight="1" x14ac:dyDescent="0.25">
      <c r="B7" s="9" t="s">
        <v>436</v>
      </c>
      <c r="C7" s="10"/>
      <c r="D7" s="10"/>
      <c r="E7" s="10"/>
      <c r="F7" s="10"/>
    </row>
    <row r="8" spans="2:10" ht="15" x14ac:dyDescent="0.25">
      <c r="E8" s="583" t="s">
        <v>312</v>
      </c>
      <c r="F8" s="583"/>
      <c r="G8" s="583" t="s">
        <v>387</v>
      </c>
      <c r="H8" s="583"/>
      <c r="I8" s="583" t="s">
        <v>387</v>
      </c>
      <c r="J8" s="583"/>
    </row>
    <row r="9" spans="2:10" ht="16.2" customHeight="1" x14ac:dyDescent="0.25">
      <c r="B9" s="11" t="s">
        <v>0</v>
      </c>
      <c r="C9" s="12"/>
      <c r="D9" s="13"/>
      <c r="E9" s="584" t="s">
        <v>156</v>
      </c>
      <c r="F9" s="584"/>
      <c r="G9" s="584" t="s">
        <v>384</v>
      </c>
      <c r="H9" s="584"/>
      <c r="I9" s="584" t="s">
        <v>384</v>
      </c>
      <c r="J9" s="584"/>
    </row>
    <row r="10" spans="2:10" hidden="1" outlineLevel="1" x14ac:dyDescent="0.25">
      <c r="B10" s="7"/>
      <c r="C10" s="2"/>
      <c r="D10" s="14"/>
      <c r="E10" s="585" t="s">
        <v>64</v>
      </c>
      <c r="F10" s="586"/>
      <c r="G10" s="585" t="s">
        <v>64</v>
      </c>
      <c r="H10" s="586"/>
      <c r="I10" s="585" t="s">
        <v>64</v>
      </c>
      <c r="J10" s="586"/>
    </row>
    <row r="11" spans="2:10" collapsed="1" x14ac:dyDescent="0.25">
      <c r="B11" s="15"/>
      <c r="C11" s="16"/>
      <c r="D11" s="17"/>
      <c r="E11" s="84" t="s">
        <v>6</v>
      </c>
      <c r="F11" s="93" t="s">
        <v>7</v>
      </c>
      <c r="G11" s="84" t="s">
        <v>6</v>
      </c>
      <c r="H11" s="93" t="s">
        <v>7</v>
      </c>
      <c r="I11" s="84" t="s">
        <v>6</v>
      </c>
      <c r="J11" s="93" t="s">
        <v>7</v>
      </c>
    </row>
    <row r="12" spans="2:10" x14ac:dyDescent="0.25">
      <c r="B12" s="8" t="s">
        <v>166</v>
      </c>
      <c r="C12" s="3"/>
      <c r="D12" s="18"/>
      <c r="E12" s="578" t="s">
        <v>54</v>
      </c>
      <c r="F12" s="579"/>
      <c r="G12" s="578" t="s">
        <v>54</v>
      </c>
      <c r="H12" s="579"/>
      <c r="I12" s="578" t="s">
        <v>54</v>
      </c>
      <c r="J12" s="579"/>
    </row>
    <row r="13" spans="2:10" ht="26.4" x14ac:dyDescent="0.25">
      <c r="B13" s="19" t="s">
        <v>167</v>
      </c>
      <c r="C13" s="20"/>
      <c r="D13" s="21"/>
      <c r="E13" s="378" t="s">
        <v>37</v>
      </c>
      <c r="F13" s="86" t="s">
        <v>158</v>
      </c>
      <c r="G13" s="22" t="s">
        <v>37</v>
      </c>
      <c r="H13" s="86" t="s">
        <v>383</v>
      </c>
      <c r="I13" s="22" t="s">
        <v>37</v>
      </c>
      <c r="J13" s="86" t="s">
        <v>383</v>
      </c>
    </row>
    <row r="14" spans="2:10" x14ac:dyDescent="0.25">
      <c r="B14" s="8" t="s">
        <v>18</v>
      </c>
      <c r="C14" s="3"/>
      <c r="D14" s="18"/>
      <c r="E14" s="379"/>
      <c r="F14" s="23"/>
      <c r="G14" s="85"/>
      <c r="H14" s="86"/>
      <c r="I14" s="85"/>
      <c r="J14" s="86"/>
    </row>
    <row r="15" spans="2:10" x14ac:dyDescent="0.25">
      <c r="B15" s="8" t="s">
        <v>27</v>
      </c>
      <c r="C15" s="3"/>
      <c r="D15" s="18"/>
      <c r="E15" s="380" t="s">
        <v>148</v>
      </c>
      <c r="F15" s="25">
        <v>2000</v>
      </c>
      <c r="G15" s="24" t="s">
        <v>386</v>
      </c>
      <c r="H15" s="25">
        <v>500</v>
      </c>
      <c r="I15" s="24">
        <v>1500</v>
      </c>
      <c r="J15" s="25">
        <v>2500</v>
      </c>
    </row>
    <row r="16" spans="2:10" x14ac:dyDescent="0.25">
      <c r="B16" s="8" t="s">
        <v>28</v>
      </c>
      <c r="C16" s="3"/>
      <c r="D16" s="18"/>
      <c r="E16" s="380" t="s">
        <v>148</v>
      </c>
      <c r="F16" s="25">
        <v>6000</v>
      </c>
      <c r="G16" s="24" t="s">
        <v>386</v>
      </c>
      <c r="H16" s="25">
        <v>1500</v>
      </c>
      <c r="I16" s="24">
        <v>3000</v>
      </c>
      <c r="J16" s="25">
        <v>5000</v>
      </c>
    </row>
    <row r="17" spans="2:10" x14ac:dyDescent="0.25">
      <c r="B17" s="8" t="s">
        <v>19</v>
      </c>
      <c r="C17" s="3"/>
      <c r="D17" s="18"/>
      <c r="E17" s="381">
        <v>1</v>
      </c>
      <c r="F17" s="26">
        <v>0.7</v>
      </c>
      <c r="G17" s="92" t="s">
        <v>338</v>
      </c>
      <c r="H17" s="26">
        <v>0.7</v>
      </c>
      <c r="I17" s="92">
        <v>1</v>
      </c>
      <c r="J17" s="26">
        <v>0.7</v>
      </c>
    </row>
    <row r="18" spans="2:10" x14ac:dyDescent="0.25">
      <c r="B18" s="8" t="s">
        <v>20</v>
      </c>
      <c r="C18" s="3"/>
      <c r="D18" s="18"/>
      <c r="E18" s="382" t="s">
        <v>148</v>
      </c>
      <c r="F18" s="88">
        <v>6000</v>
      </c>
      <c r="G18" s="24" t="s">
        <v>386</v>
      </c>
      <c r="H18" s="88">
        <v>2500</v>
      </c>
      <c r="I18" s="24">
        <v>2500</v>
      </c>
      <c r="J18" s="88">
        <v>3500</v>
      </c>
    </row>
    <row r="19" spans="2:10" x14ac:dyDescent="0.25">
      <c r="B19" s="8" t="s">
        <v>21</v>
      </c>
      <c r="C19" s="20"/>
      <c r="D19" s="21"/>
      <c r="E19" s="382" t="s">
        <v>148</v>
      </c>
      <c r="F19" s="88">
        <v>18000</v>
      </c>
      <c r="G19" s="24" t="s">
        <v>386</v>
      </c>
      <c r="H19" s="88">
        <v>7500</v>
      </c>
      <c r="I19" s="24">
        <v>5000</v>
      </c>
      <c r="J19" s="88">
        <v>7000</v>
      </c>
    </row>
    <row r="20" spans="2:10" x14ac:dyDescent="0.25">
      <c r="B20" s="27" t="s">
        <v>155</v>
      </c>
      <c r="C20" s="3"/>
      <c r="D20" s="18"/>
      <c r="E20" s="383"/>
      <c r="F20" s="28"/>
      <c r="G20" s="83"/>
      <c r="H20" s="28"/>
      <c r="I20" s="83"/>
      <c r="J20" s="28"/>
    </row>
    <row r="21" spans="2:10" x14ac:dyDescent="0.25">
      <c r="B21" s="27"/>
      <c r="C21" s="3"/>
      <c r="D21" s="18"/>
      <c r="E21" s="383"/>
      <c r="F21" s="28"/>
      <c r="G21" s="83"/>
      <c r="H21" s="28"/>
      <c r="I21" s="83"/>
      <c r="J21" s="28"/>
    </row>
    <row r="22" spans="2:10" x14ac:dyDescent="0.25">
      <c r="B22" s="8" t="s">
        <v>35</v>
      </c>
      <c r="C22" s="3"/>
      <c r="D22" s="18"/>
      <c r="E22" s="380" t="s">
        <v>55</v>
      </c>
      <c r="F22" s="25" t="s">
        <v>65</v>
      </c>
      <c r="G22" s="24" t="s">
        <v>62</v>
      </c>
      <c r="H22" s="25" t="s">
        <v>65</v>
      </c>
      <c r="I22" s="24" t="s">
        <v>65</v>
      </c>
      <c r="J22" s="25" t="s">
        <v>65</v>
      </c>
    </row>
    <row r="23" spans="2:10" ht="26.4" x14ac:dyDescent="0.25">
      <c r="B23" s="8" t="s">
        <v>36</v>
      </c>
      <c r="C23" s="3"/>
      <c r="D23" s="18"/>
      <c r="E23" s="380" t="s">
        <v>143</v>
      </c>
      <c r="F23" s="25" t="s">
        <v>65</v>
      </c>
      <c r="G23" s="24" t="s">
        <v>339</v>
      </c>
      <c r="H23" s="25" t="s">
        <v>65</v>
      </c>
      <c r="I23" s="24" t="s">
        <v>65</v>
      </c>
      <c r="J23" s="25" t="s">
        <v>65</v>
      </c>
    </row>
    <row r="24" spans="2:10" x14ac:dyDescent="0.25">
      <c r="B24" s="27"/>
      <c r="C24" s="3"/>
      <c r="D24" s="18"/>
      <c r="E24" s="383"/>
      <c r="F24" s="28"/>
      <c r="G24" s="83"/>
      <c r="H24" s="28"/>
      <c r="I24" s="83"/>
      <c r="J24" s="28"/>
    </row>
    <row r="25" spans="2:10" x14ac:dyDescent="0.25">
      <c r="B25" s="8" t="s">
        <v>22</v>
      </c>
      <c r="C25" s="3"/>
      <c r="D25" s="18"/>
      <c r="E25" s="383" t="s">
        <v>58</v>
      </c>
      <c r="F25" s="25" t="s">
        <v>65</v>
      </c>
      <c r="G25" s="83" t="s">
        <v>58</v>
      </c>
      <c r="H25" s="25" t="s">
        <v>65</v>
      </c>
      <c r="I25" s="83" t="s">
        <v>65</v>
      </c>
      <c r="J25" s="25" t="s">
        <v>65</v>
      </c>
    </row>
    <row r="26" spans="2:10" x14ac:dyDescent="0.25">
      <c r="B26" s="8" t="s">
        <v>16</v>
      </c>
      <c r="C26" s="3"/>
      <c r="D26" s="18"/>
      <c r="E26" s="383" t="s">
        <v>149</v>
      </c>
      <c r="F26" s="25" t="s">
        <v>65</v>
      </c>
      <c r="G26" s="83" t="s">
        <v>385</v>
      </c>
      <c r="H26" s="25" t="s">
        <v>65</v>
      </c>
      <c r="I26" s="83" t="s">
        <v>65</v>
      </c>
      <c r="J26" s="25" t="s">
        <v>65</v>
      </c>
    </row>
    <row r="27" spans="2:10" x14ac:dyDescent="0.25">
      <c r="B27" s="8" t="s">
        <v>13</v>
      </c>
      <c r="C27" s="3"/>
      <c r="D27" s="18"/>
      <c r="E27" s="383" t="s">
        <v>150</v>
      </c>
      <c r="F27" s="25" t="s">
        <v>65</v>
      </c>
      <c r="G27" s="83" t="s">
        <v>58</v>
      </c>
      <c r="H27" s="25" t="s">
        <v>65</v>
      </c>
      <c r="I27" s="83" t="s">
        <v>65</v>
      </c>
      <c r="J27" s="25" t="s">
        <v>65</v>
      </c>
    </row>
    <row r="28" spans="2:10" x14ac:dyDescent="0.25">
      <c r="B28" s="8" t="s">
        <v>23</v>
      </c>
      <c r="C28" s="3"/>
      <c r="D28" s="18"/>
      <c r="E28" s="383" t="s">
        <v>151</v>
      </c>
      <c r="F28" s="25" t="s">
        <v>65</v>
      </c>
      <c r="G28" s="83" t="s">
        <v>337</v>
      </c>
      <c r="H28" s="25" t="s">
        <v>65</v>
      </c>
      <c r="I28" s="83" t="s">
        <v>65</v>
      </c>
      <c r="J28" s="25" t="s">
        <v>65</v>
      </c>
    </row>
    <row r="29" spans="2:10" x14ac:dyDescent="0.25">
      <c r="B29" s="8" t="s">
        <v>14</v>
      </c>
      <c r="C29" s="3"/>
      <c r="D29" s="18"/>
      <c r="E29" s="380" t="s">
        <v>56</v>
      </c>
      <c r="F29" s="25" t="s">
        <v>56</v>
      </c>
      <c r="G29" s="24" t="s">
        <v>56</v>
      </c>
      <c r="H29" s="25" t="s">
        <v>56</v>
      </c>
      <c r="I29" s="24" t="s">
        <v>65</v>
      </c>
      <c r="J29" s="25" t="s">
        <v>56</v>
      </c>
    </row>
    <row r="30" spans="2:10" x14ac:dyDescent="0.25">
      <c r="B30" s="8" t="s">
        <v>24</v>
      </c>
      <c r="C30" s="3"/>
      <c r="D30" s="18"/>
      <c r="E30" s="380" t="s">
        <v>57</v>
      </c>
      <c r="F30" s="25" t="s">
        <v>152</v>
      </c>
      <c r="G30" s="24" t="s">
        <v>57</v>
      </c>
      <c r="H30" s="25" t="s">
        <v>152</v>
      </c>
      <c r="I30" s="24" t="s">
        <v>65</v>
      </c>
      <c r="J30" s="25" t="s">
        <v>152</v>
      </c>
    </row>
    <row r="31" spans="2:10" x14ac:dyDescent="0.25">
      <c r="B31" s="8"/>
      <c r="C31" s="3"/>
      <c r="D31" s="18"/>
      <c r="E31" s="380"/>
      <c r="F31" s="25"/>
      <c r="G31" s="24"/>
      <c r="H31" s="25"/>
      <c r="I31" s="24"/>
      <c r="J31" s="25"/>
    </row>
    <row r="32" spans="2:10" x14ac:dyDescent="0.25">
      <c r="B32" s="8" t="s">
        <v>59</v>
      </c>
      <c r="C32" s="3"/>
      <c r="D32" s="18"/>
      <c r="E32" s="383" t="s">
        <v>149</v>
      </c>
      <c r="F32" s="25" t="s">
        <v>65</v>
      </c>
      <c r="G32" s="83" t="s">
        <v>385</v>
      </c>
      <c r="H32" s="25" t="s">
        <v>65</v>
      </c>
      <c r="I32" s="24" t="s">
        <v>65</v>
      </c>
      <c r="J32" s="25" t="s">
        <v>65</v>
      </c>
    </row>
    <row r="33" spans="2:10" x14ac:dyDescent="0.25">
      <c r="B33" s="8" t="s">
        <v>60</v>
      </c>
      <c r="C33" s="3"/>
      <c r="D33" s="18"/>
      <c r="E33" s="382" t="s">
        <v>143</v>
      </c>
      <c r="F33" s="25" t="s">
        <v>65</v>
      </c>
      <c r="G33" s="24" t="s">
        <v>55</v>
      </c>
      <c r="H33" s="25" t="s">
        <v>65</v>
      </c>
      <c r="I33" s="24" t="s">
        <v>65</v>
      </c>
      <c r="J33" s="25" t="s">
        <v>65</v>
      </c>
    </row>
    <row r="34" spans="2:10" x14ac:dyDescent="0.25">
      <c r="B34" s="8"/>
      <c r="C34" s="3"/>
      <c r="D34" s="18"/>
      <c r="E34" s="22"/>
      <c r="F34" s="87"/>
      <c r="G34" s="22"/>
      <c r="H34" s="87"/>
      <c r="I34" s="22"/>
      <c r="J34" s="87"/>
    </row>
    <row r="35" spans="2:10" ht="39.6" x14ac:dyDescent="0.25">
      <c r="B35" s="63" t="s">
        <v>4</v>
      </c>
      <c r="C35" s="64"/>
      <c r="D35" s="65"/>
      <c r="E35" s="66"/>
      <c r="F35" s="67" t="s">
        <v>153</v>
      </c>
      <c r="G35" s="66"/>
      <c r="H35" s="67"/>
      <c r="I35" s="66"/>
      <c r="J35" s="67"/>
    </row>
    <row r="36" spans="2:10" x14ac:dyDescent="0.25">
      <c r="B36" s="27" t="s">
        <v>144</v>
      </c>
      <c r="C36" s="3"/>
      <c r="D36" s="18"/>
      <c r="E36" s="89">
        <v>0</v>
      </c>
      <c r="F36" s="25"/>
      <c r="G36" s="89">
        <v>0</v>
      </c>
      <c r="H36" s="25"/>
      <c r="I36" s="89" t="s">
        <v>437</v>
      </c>
      <c r="J36" s="25"/>
    </row>
    <row r="37" spans="2:10" x14ac:dyDescent="0.25">
      <c r="B37" s="27" t="s">
        <v>169</v>
      </c>
      <c r="C37" s="3"/>
      <c r="D37" s="18"/>
      <c r="E37" s="22" t="s">
        <v>141</v>
      </c>
      <c r="G37" s="22" t="s">
        <v>141</v>
      </c>
      <c r="H37" s="29"/>
      <c r="I37" s="22" t="s">
        <v>141</v>
      </c>
      <c r="J37" s="29"/>
    </row>
    <row r="38" spans="2:10" x14ac:dyDescent="0.25">
      <c r="B38" s="27" t="s">
        <v>170</v>
      </c>
      <c r="C38" s="3"/>
      <c r="D38" s="18"/>
      <c r="E38" s="22" t="s">
        <v>142</v>
      </c>
      <c r="F38" s="86"/>
      <c r="G38" s="22" t="s">
        <v>142</v>
      </c>
      <c r="H38" s="86"/>
      <c r="I38" s="22" t="s">
        <v>142</v>
      </c>
      <c r="J38" s="86"/>
    </row>
    <row r="39" spans="2:10" ht="26.4" x14ac:dyDescent="0.25">
      <c r="B39" s="68" t="s">
        <v>26</v>
      </c>
      <c r="C39" s="69"/>
      <c r="D39" s="70"/>
      <c r="E39" s="71" t="s">
        <v>154</v>
      </c>
      <c r="F39" s="72"/>
      <c r="G39" s="71" t="s">
        <v>154</v>
      </c>
      <c r="H39" s="72"/>
      <c r="I39" s="71" t="s">
        <v>154</v>
      </c>
      <c r="J39" s="72"/>
    </row>
    <row r="40" spans="2:10" x14ac:dyDescent="0.25">
      <c r="B40" s="274" t="s">
        <v>25</v>
      </c>
      <c r="C40" s="43"/>
      <c r="D40" s="44"/>
      <c r="E40" s="275" t="s">
        <v>34</v>
      </c>
      <c r="F40" s="30"/>
      <c r="G40" s="275" t="s">
        <v>34</v>
      </c>
      <c r="H40" s="30"/>
      <c r="I40" s="275" t="s">
        <v>34</v>
      </c>
      <c r="J40" s="30"/>
    </row>
    <row r="41" spans="2:10" x14ac:dyDescent="0.25">
      <c r="B41" s="8" t="s">
        <v>17</v>
      </c>
      <c r="D41" s="29"/>
      <c r="E41" s="592">
        <v>26</v>
      </c>
      <c r="F41" s="593"/>
      <c r="G41" s="592">
        <v>26</v>
      </c>
      <c r="H41" s="593"/>
      <c r="I41" s="592">
        <v>26</v>
      </c>
      <c r="J41" s="593"/>
    </row>
    <row r="42" spans="2:10" x14ac:dyDescent="0.25">
      <c r="B42" s="8" t="s">
        <v>61</v>
      </c>
      <c r="D42" s="29"/>
      <c r="E42" s="594" t="s">
        <v>33</v>
      </c>
      <c r="F42" s="595"/>
      <c r="G42" s="594" t="s">
        <v>33</v>
      </c>
      <c r="H42" s="595"/>
      <c r="I42" s="594" t="s">
        <v>33</v>
      </c>
      <c r="J42" s="595"/>
    </row>
    <row r="43" spans="2:10" x14ac:dyDescent="0.25">
      <c r="B43" s="8"/>
      <c r="D43" s="29"/>
      <c r="E43" s="85"/>
      <c r="F43" s="86"/>
      <c r="G43" s="85"/>
      <c r="H43" s="86"/>
      <c r="I43" s="85"/>
      <c r="J43" s="86"/>
    </row>
    <row r="44" spans="2:10" x14ac:dyDescent="0.25">
      <c r="B44" s="8" t="s">
        <v>5</v>
      </c>
      <c r="C44" s="91" t="s">
        <v>70</v>
      </c>
      <c r="D44" s="30" t="s">
        <v>71</v>
      </c>
      <c r="E44" s="592" t="s">
        <v>139</v>
      </c>
      <c r="F44" s="593"/>
      <c r="G44" s="355"/>
      <c r="H44" s="356"/>
      <c r="I44" s="355"/>
      <c r="J44" s="356"/>
    </row>
    <row r="45" spans="2:10" x14ac:dyDescent="0.25">
      <c r="B45" s="27" t="s">
        <v>426</v>
      </c>
      <c r="C45" s="156" t="e">
        <f>#REF!</f>
        <v>#REF!</v>
      </c>
      <c r="D45" s="31" t="e">
        <f>C45</f>
        <v>#REF!</v>
      </c>
      <c r="E45" s="243">
        <f>'Census Data, Plan Comparison'!Q53</f>
        <v>441.52600000000012</v>
      </c>
      <c r="F45" s="244"/>
      <c r="G45" s="243" t="e">
        <f>#REF!</f>
        <v>#REF!</v>
      </c>
      <c r="H45" s="97"/>
      <c r="I45" s="243">
        <f>'Cigna Rate - HSA'!$J$20</f>
        <v>503.77000000000004</v>
      </c>
      <c r="J45" s="97"/>
    </row>
    <row r="46" spans="2:10" x14ac:dyDescent="0.25">
      <c r="B46" s="27" t="s">
        <v>425</v>
      </c>
      <c r="C46" s="157" t="e">
        <f>#REF!</f>
        <v>#REF!</v>
      </c>
      <c r="D46" s="32" t="e">
        <f>C46*2</f>
        <v>#REF!</v>
      </c>
      <c r="E46" s="62">
        <f>'Census Data, Plan Comparison'!Q54</f>
        <v>1857.125</v>
      </c>
      <c r="F46" s="245"/>
      <c r="G46" s="62" t="e">
        <f>#REF!</f>
        <v>#REF!</v>
      </c>
      <c r="H46" s="98"/>
      <c r="I46" s="62">
        <f>'Cigna Rate - HSA'!$J$21</f>
        <v>956.45</v>
      </c>
      <c r="J46" s="98"/>
    </row>
    <row r="47" spans="2:10" x14ac:dyDescent="0.25">
      <c r="B47" s="27" t="s">
        <v>424</v>
      </c>
      <c r="C47" s="157" t="e">
        <f>#REF!</f>
        <v>#REF!</v>
      </c>
      <c r="D47" s="33" t="e">
        <f>SUM(C47*2.2)</f>
        <v>#REF!</v>
      </c>
      <c r="E47" s="62">
        <f>'Census Data, Plan Comparison'!Q55</f>
        <v>1873.3533333333335</v>
      </c>
      <c r="F47" s="245"/>
      <c r="G47" s="62" t="e">
        <f>#REF!</f>
        <v>#REF!</v>
      </c>
      <c r="H47" s="98"/>
      <c r="I47" s="62">
        <f>'Cigna Rate - HSA'!$J$22</f>
        <v>1434.28</v>
      </c>
      <c r="J47" s="98"/>
    </row>
    <row r="48" spans="2:10" x14ac:dyDescent="0.25">
      <c r="B48" s="34" t="s">
        <v>12</v>
      </c>
      <c r="C48" s="35" t="e">
        <f>SUM(C45:C47)</f>
        <v>#REF!</v>
      </c>
      <c r="D48" s="36" t="e">
        <f>SUM(D45:D47)</f>
        <v>#REF!</v>
      </c>
      <c r="E48" s="37"/>
      <c r="F48" s="38"/>
      <c r="G48" s="37"/>
      <c r="H48" s="38"/>
      <c r="I48" s="37"/>
      <c r="J48" s="38"/>
    </row>
    <row r="49" spans="2:10" x14ac:dyDescent="0.25">
      <c r="B49" s="8" t="s">
        <v>2</v>
      </c>
      <c r="C49" s="834" t="s">
        <v>66</v>
      </c>
      <c r="D49" s="834" t="s">
        <v>310</v>
      </c>
      <c r="E49" s="55">
        <f>'Census Data, Plan Comparison'!Q50</f>
        <v>29807.249999999989</v>
      </c>
      <c r="F49" s="39"/>
      <c r="G49" s="357" t="e">
        <f>#REF!</f>
        <v>#REF!</v>
      </c>
      <c r="H49" s="39"/>
      <c r="I49" s="357" t="e">
        <f>SUMPRODUCT(C45:C47,I45:I47)</f>
        <v>#REF!</v>
      </c>
      <c r="J49" s="39"/>
    </row>
    <row r="50" spans="2:10" x14ac:dyDescent="0.25">
      <c r="B50" s="8" t="s">
        <v>3</v>
      </c>
      <c r="C50" s="835"/>
      <c r="D50" s="835"/>
      <c r="E50" s="55">
        <f>'Census Data, Plan Comparison'!Q51</f>
        <v>357686.99999999988</v>
      </c>
      <c r="F50" s="39"/>
      <c r="G50" s="55" t="e">
        <f>SUM(G49*12)</f>
        <v>#REF!</v>
      </c>
      <c r="H50" s="39"/>
      <c r="I50" s="55" t="e">
        <f>SUM(I49*12)</f>
        <v>#REF!</v>
      </c>
      <c r="J50" s="39"/>
    </row>
    <row r="51" spans="2:10" x14ac:dyDescent="0.25">
      <c r="B51" s="8"/>
      <c r="C51" s="835"/>
      <c r="D51" s="835"/>
      <c r="E51" s="55"/>
      <c r="F51" s="39"/>
      <c r="G51" s="55"/>
      <c r="H51" s="39"/>
      <c r="I51" s="55"/>
      <c r="J51" s="39"/>
    </row>
    <row r="52" spans="2:10" ht="15" customHeight="1" x14ac:dyDescent="0.25">
      <c r="B52" s="8" t="s">
        <v>8</v>
      </c>
      <c r="C52" s="835"/>
      <c r="D52" s="835"/>
      <c r="E52" s="56" t="s">
        <v>1</v>
      </c>
      <c r="F52" s="53"/>
      <c r="G52" s="56" t="e">
        <f>SUM(G50-$G50)</f>
        <v>#REF!</v>
      </c>
      <c r="H52" s="53"/>
      <c r="I52" s="56" t="e">
        <f>SUM(I50-#REF!)</f>
        <v>#REF!</v>
      </c>
      <c r="J52" s="53"/>
    </row>
    <row r="53" spans="2:10" ht="15" customHeight="1" x14ac:dyDescent="0.25">
      <c r="B53" s="40" t="s">
        <v>9</v>
      </c>
      <c r="C53" s="836"/>
      <c r="D53" s="836"/>
      <c r="E53" s="57" t="s">
        <v>1</v>
      </c>
      <c r="F53" s="54"/>
      <c r="G53" s="61" t="e">
        <f>SUM(G52/$G50)</f>
        <v>#REF!</v>
      </c>
      <c r="H53" s="60"/>
      <c r="I53" s="61" t="e">
        <f>SUM(I52/#REF!)</f>
        <v>#REF!</v>
      </c>
      <c r="J53" s="60"/>
    </row>
    <row r="54" spans="2:10" x14ac:dyDescent="0.25">
      <c r="B54" s="8" t="s">
        <v>10</v>
      </c>
      <c r="C54" s="41"/>
      <c r="D54" s="42"/>
      <c r="E54" s="58" t="s">
        <v>1</v>
      </c>
      <c r="F54" s="90"/>
      <c r="G54" s="371" t="e">
        <f>SUM($G$50-$E$50)</f>
        <v>#REF!</v>
      </c>
      <c r="H54" s="90"/>
      <c r="I54" s="377" t="e">
        <f>SUM($I$50-G50)</f>
        <v>#REF!</v>
      </c>
      <c r="J54" s="90"/>
    </row>
    <row r="55" spans="2:10" x14ac:dyDescent="0.25">
      <c r="B55" s="40" t="s">
        <v>11</v>
      </c>
      <c r="C55" s="43"/>
      <c r="D55" s="44"/>
      <c r="E55" s="57" t="s">
        <v>1</v>
      </c>
      <c r="F55" s="54"/>
      <c r="G55" s="372" t="e">
        <f>SUM(G54/$E$50)</f>
        <v>#REF!</v>
      </c>
      <c r="H55" s="60"/>
      <c r="I55" s="361" t="e">
        <f>SUM(I54/$E$50)</f>
        <v>#REF!</v>
      </c>
      <c r="J55" s="60"/>
    </row>
    <row r="56" spans="2:10" x14ac:dyDescent="0.25">
      <c r="B56" s="45" t="s">
        <v>53</v>
      </c>
      <c r="C56" s="46"/>
      <c r="D56" s="47"/>
      <c r="E56" s="59" t="e">
        <f>SUM(E50/$C$48)</f>
        <v>#REF!</v>
      </c>
      <c r="F56" s="94"/>
      <c r="G56" s="59" t="e">
        <f>SUM(G50/$C$48)</f>
        <v>#REF!</v>
      </c>
      <c r="H56" s="94"/>
      <c r="I56" s="59" t="e">
        <f>SUM(I50/$C$48)</f>
        <v>#REF!</v>
      </c>
      <c r="J56" s="94"/>
    </row>
    <row r="57" spans="2:10" x14ac:dyDescent="0.25">
      <c r="B57" s="3"/>
      <c r="E57" s="48"/>
      <c r="F57" s="48"/>
      <c r="G57" s="48"/>
      <c r="H57" s="48"/>
    </row>
    <row r="58" spans="2:10" x14ac:dyDescent="0.25">
      <c r="B58" s="3"/>
      <c r="E58" s="48"/>
      <c r="F58" s="48"/>
      <c r="G58" s="48"/>
      <c r="H58" s="48"/>
    </row>
    <row r="59" spans="2:10" x14ac:dyDescent="0.25">
      <c r="B59" s="3"/>
      <c r="E59" s="48"/>
      <c r="F59" s="48"/>
      <c r="G59" s="48"/>
      <c r="H59" s="48"/>
    </row>
    <row r="60" spans="2:10" x14ac:dyDescent="0.25">
      <c r="C60" s="82"/>
      <c r="D60" s="49"/>
      <c r="E60" s="49"/>
      <c r="F60" s="50"/>
      <c r="H60" s="50"/>
    </row>
    <row r="61" spans="2:10" x14ac:dyDescent="0.25">
      <c r="D61" s="49"/>
      <c r="F61" s="95"/>
      <c r="H61" s="50"/>
    </row>
    <row r="62" spans="2:10" x14ac:dyDescent="0.25">
      <c r="E62" s="50"/>
      <c r="F62" s="50"/>
    </row>
    <row r="63" spans="2:10" x14ac:dyDescent="0.25">
      <c r="F63" s="50"/>
    </row>
  </sheetData>
  <mergeCells count="21">
    <mergeCell ref="E44:F44"/>
    <mergeCell ref="C49:C53"/>
    <mergeCell ref="D49:D53"/>
    <mergeCell ref="E41:F41"/>
    <mergeCell ref="G41:H41"/>
    <mergeCell ref="I41:J41"/>
    <mergeCell ref="E42:F42"/>
    <mergeCell ref="G42:H42"/>
    <mergeCell ref="I42:J42"/>
    <mergeCell ref="E10:F10"/>
    <mergeCell ref="G10:H10"/>
    <mergeCell ref="I10:J10"/>
    <mergeCell ref="E12:F12"/>
    <mergeCell ref="G12:H12"/>
    <mergeCell ref="I12:J12"/>
    <mergeCell ref="E8:F8"/>
    <mergeCell ref="G8:H8"/>
    <mergeCell ref="I8:J8"/>
    <mergeCell ref="E9:F9"/>
    <mergeCell ref="G9:H9"/>
    <mergeCell ref="I9:J9"/>
  </mergeCells>
  <pageMargins left="0" right="0" top="0.5" bottom="0.75" header="0.5" footer="0.5"/>
  <pageSetup scale="65" orientation="landscape" r:id="rId1"/>
  <headerFooter>
    <oddFooter>&amp;C&amp;A
Page 3 of 12</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K34"/>
  <sheetViews>
    <sheetView showGridLines="0" view="pageBreakPreview" zoomScaleNormal="100" zoomScaleSheetLayoutView="100" workbookViewId="0">
      <selection activeCell="B6" sqref="B6"/>
    </sheetView>
  </sheetViews>
  <sheetFormatPr defaultColWidth="9.21875" defaultRowHeight="15" x14ac:dyDescent="0.25"/>
  <cols>
    <col min="1" max="1" width="1.77734375" style="117" customWidth="1"/>
    <col min="2" max="2" width="30.77734375" style="117" customWidth="1"/>
    <col min="3" max="3" width="11.77734375" style="117" customWidth="1"/>
    <col min="4" max="4" width="1.21875" style="117" customWidth="1"/>
    <col min="5" max="5" width="16.77734375" style="118" customWidth="1"/>
    <col min="6" max="6" width="21.77734375" style="119" customWidth="1"/>
    <col min="7" max="7" width="21.77734375" style="120" customWidth="1"/>
    <col min="8" max="8" width="16.77734375" style="117" customWidth="1"/>
    <col min="9" max="9" width="1.77734375" style="117" customWidth="1"/>
    <col min="10" max="11" width="16.77734375" style="117" customWidth="1"/>
    <col min="12" max="12" width="1.77734375" style="117" customWidth="1"/>
    <col min="13" max="16384" width="9.21875" style="117"/>
  </cols>
  <sheetData>
    <row r="6" spans="2:11" ht="19.2" customHeight="1" x14ac:dyDescent="0.25">
      <c r="B6" s="4" t="s">
        <v>145</v>
      </c>
      <c r="C6" s="4"/>
      <c r="D6" s="4"/>
    </row>
    <row r="7" spans="2:11" ht="17.399999999999999" x14ac:dyDescent="0.25">
      <c r="B7" s="9" t="s">
        <v>435</v>
      </c>
    </row>
    <row r="8" spans="2:11" ht="17.399999999999999" x14ac:dyDescent="0.25">
      <c r="B8" s="9"/>
      <c r="E8" s="837" t="s">
        <v>431</v>
      </c>
      <c r="F8" s="838"/>
      <c r="G8" s="838"/>
      <c r="H8" s="366" t="s">
        <v>432</v>
      </c>
      <c r="I8" s="118"/>
    </row>
    <row r="9" spans="2:11" ht="15" customHeight="1" x14ac:dyDescent="0.25">
      <c r="C9" s="839" t="s">
        <v>267</v>
      </c>
      <c r="D9" s="360"/>
      <c r="E9" s="841" t="s">
        <v>428</v>
      </c>
      <c r="F9" s="843" t="s">
        <v>419</v>
      </c>
      <c r="G9" s="845" t="s">
        <v>429</v>
      </c>
      <c r="H9" s="855" t="s">
        <v>420</v>
      </c>
      <c r="I9" s="358"/>
      <c r="J9" s="846" t="s">
        <v>433</v>
      </c>
      <c r="K9" s="846" t="s">
        <v>422</v>
      </c>
    </row>
    <row r="10" spans="2:11" x14ac:dyDescent="0.25">
      <c r="C10" s="840"/>
      <c r="D10" s="352"/>
      <c r="E10" s="842"/>
      <c r="F10" s="844"/>
      <c r="G10" s="844"/>
      <c r="H10" s="853"/>
      <c r="I10" s="353"/>
      <c r="J10" s="844"/>
      <c r="K10" s="844"/>
    </row>
    <row r="11" spans="2:11" x14ac:dyDescent="0.25">
      <c r="B11" s="117" t="s">
        <v>306</v>
      </c>
      <c r="C11" s="352"/>
      <c r="D11" s="352"/>
      <c r="E11" s="363"/>
      <c r="F11" s="353"/>
      <c r="G11" s="353"/>
      <c r="H11" s="367"/>
      <c r="I11" s="353"/>
      <c r="J11" s="353"/>
      <c r="K11" s="352"/>
    </row>
    <row r="12" spans="2:11" x14ac:dyDescent="0.25">
      <c r="B12" s="117" t="s">
        <v>416</v>
      </c>
      <c r="C12" s="118">
        <v>17</v>
      </c>
      <c r="D12" s="118"/>
      <c r="E12" s="364">
        <v>28.91</v>
      </c>
      <c r="F12" s="122">
        <v>76.819999999999993</v>
      </c>
      <c r="G12" s="122">
        <v>55.74</v>
      </c>
      <c r="H12" s="368">
        <v>314.88</v>
      </c>
      <c r="I12" s="122"/>
      <c r="J12" s="122">
        <f>SUM(E12+F12+G12+H12)</f>
        <v>476.35</v>
      </c>
      <c r="K12" s="242">
        <f>SUM($C$12*J12)*12</f>
        <v>97175.400000000009</v>
      </c>
    </row>
    <row r="13" spans="2:11" x14ac:dyDescent="0.25">
      <c r="B13" s="117" t="s">
        <v>417</v>
      </c>
      <c r="C13" s="118">
        <v>4</v>
      </c>
      <c r="D13" s="118"/>
      <c r="E13" s="364">
        <v>54.94</v>
      </c>
      <c r="F13" s="122">
        <v>145.94999999999999</v>
      </c>
      <c r="G13" s="122">
        <v>105.9</v>
      </c>
      <c r="H13" s="368">
        <v>598.27</v>
      </c>
      <c r="I13" s="122"/>
      <c r="J13" s="122">
        <f>SUM(E13+F13+G13+H13)</f>
        <v>905.06</v>
      </c>
      <c r="K13" s="242">
        <f>SUM($C$13*J13)*12</f>
        <v>43442.879999999997</v>
      </c>
    </row>
    <row r="14" spans="2:11" x14ac:dyDescent="0.25">
      <c r="B14" s="117" t="s">
        <v>418</v>
      </c>
      <c r="C14" s="118">
        <v>10</v>
      </c>
      <c r="D14" s="118"/>
      <c r="E14" s="364">
        <v>82.4</v>
      </c>
      <c r="F14" s="122">
        <v>218.93</v>
      </c>
      <c r="G14" s="122">
        <v>158.85</v>
      </c>
      <c r="H14" s="368">
        <v>897.41</v>
      </c>
      <c r="I14" s="122"/>
      <c r="J14" s="370">
        <f>SUM(E14+F14+G14+H14)</f>
        <v>1357.5900000000001</v>
      </c>
      <c r="K14" s="351">
        <f>SUM($C$14*J14)*12</f>
        <v>162910.80000000002</v>
      </c>
    </row>
    <row r="15" spans="2:11" x14ac:dyDescent="0.25">
      <c r="E15" s="364"/>
      <c r="F15" s="122"/>
      <c r="G15" s="122"/>
      <c r="H15" s="368"/>
      <c r="I15" s="122"/>
      <c r="J15" s="354">
        <f>SUMPRODUCT($C$12:$C$14,J12:J14)</f>
        <v>25294.090000000004</v>
      </c>
      <c r="K15" s="242">
        <f>SUM(K12:K14)</f>
        <v>303529.08</v>
      </c>
    </row>
    <row r="16" spans="2:11" x14ac:dyDescent="0.25">
      <c r="B16" s="362" t="s">
        <v>439</v>
      </c>
      <c r="E16" s="384">
        <f>SUMPRODUCT($C$12:$C$14,E12:E14)*12</f>
        <v>18422.760000000002</v>
      </c>
      <c r="F16" s="354">
        <f>SUMPRODUCT($C$12:$C$14,F12:F14)*12</f>
        <v>48948.479999999996</v>
      </c>
      <c r="G16" s="354">
        <f>SUMPRODUCT($C$12:$C$14,G12:G14)*12</f>
        <v>35516.160000000003</v>
      </c>
      <c r="H16" s="385">
        <f>SUMPRODUCT($C$12:$C$14,H12:H14)*12</f>
        <v>200641.68</v>
      </c>
      <c r="I16" s="122"/>
      <c r="J16" s="354"/>
      <c r="K16" s="242"/>
    </row>
    <row r="17" spans="2:11" x14ac:dyDescent="0.25">
      <c r="B17" s="362" t="s">
        <v>440</v>
      </c>
      <c r="E17" s="373">
        <f>SUM(E16/$K$15)</f>
        <v>6.0695205876155262E-2</v>
      </c>
      <c r="F17" s="374">
        <f>SUM(F16/$K$15)</f>
        <v>0.16126454835892493</v>
      </c>
      <c r="G17" s="374">
        <f>SUM(G16/$K$15)</f>
        <v>0.11701073254661465</v>
      </c>
      <c r="H17" s="386">
        <f>SUM(H16/$K$15)</f>
        <v>0.66102951321830505</v>
      </c>
      <c r="I17" s="122"/>
      <c r="J17" s="354"/>
      <c r="K17" s="242"/>
    </row>
    <row r="18" spans="2:11" x14ac:dyDescent="0.25">
      <c r="E18" s="364"/>
      <c r="F18" s="122"/>
      <c r="G18" s="122"/>
      <c r="H18" s="368"/>
      <c r="I18" s="122"/>
      <c r="J18" s="122"/>
      <c r="K18" s="242"/>
    </row>
    <row r="19" spans="2:11" x14ac:dyDescent="0.25">
      <c r="B19" s="117" t="s">
        <v>421</v>
      </c>
      <c r="E19" s="365"/>
      <c r="H19" s="369"/>
    </row>
    <row r="20" spans="2:11" x14ac:dyDescent="0.25">
      <c r="B20" s="117" t="s">
        <v>416</v>
      </c>
      <c r="E20" s="364">
        <f>38.01+0.81</f>
        <v>38.82</v>
      </c>
      <c r="F20" s="122">
        <v>95.09</v>
      </c>
      <c r="G20" s="122">
        <v>52.45</v>
      </c>
      <c r="H20" s="368">
        <v>317.41000000000003</v>
      </c>
      <c r="I20" s="122"/>
      <c r="J20" s="122">
        <f>SUM(E20+F20+G20+H20)</f>
        <v>503.77000000000004</v>
      </c>
      <c r="K20" s="242">
        <f>SUM($C$12*J20)*12</f>
        <v>102769.08</v>
      </c>
    </row>
    <row r="21" spans="2:11" x14ac:dyDescent="0.25">
      <c r="B21" s="117" t="s">
        <v>417</v>
      </c>
      <c r="E21" s="364">
        <f>72.23+0.81</f>
        <v>73.040000000000006</v>
      </c>
      <c r="F21" s="122">
        <v>180.68</v>
      </c>
      <c r="G21" s="122">
        <v>99.66</v>
      </c>
      <c r="H21" s="368">
        <v>603.07000000000005</v>
      </c>
      <c r="I21" s="122"/>
      <c r="J21" s="122">
        <f>SUM(E21+F21+G21+H21)</f>
        <v>956.45</v>
      </c>
      <c r="K21" s="242">
        <f>SUM($C$13*J21)*12</f>
        <v>45909.600000000006</v>
      </c>
    </row>
    <row r="22" spans="2:11" x14ac:dyDescent="0.25">
      <c r="B22" s="117" t="s">
        <v>418</v>
      </c>
      <c r="E22" s="364">
        <f>108.35+0.81</f>
        <v>109.16</v>
      </c>
      <c r="F22" s="122">
        <v>271.02</v>
      </c>
      <c r="G22" s="122">
        <v>149.49</v>
      </c>
      <c r="H22" s="368">
        <v>904.61</v>
      </c>
      <c r="I22" s="122"/>
      <c r="J22" s="370">
        <f>SUM(E22+F22+G22+H22)</f>
        <v>1434.28</v>
      </c>
      <c r="K22" s="351">
        <f>SUM($C$14*J22)*12</f>
        <v>172113.59999999998</v>
      </c>
    </row>
    <row r="23" spans="2:11" x14ac:dyDescent="0.25">
      <c r="E23" s="365"/>
      <c r="H23" s="369"/>
      <c r="J23" s="354">
        <f>SUMPRODUCT($C$12:$C$14,J20:J22)</f>
        <v>26732.69</v>
      </c>
      <c r="K23" s="242">
        <f>SUM(K20:K22)</f>
        <v>320792.27999999997</v>
      </c>
    </row>
    <row r="24" spans="2:11" x14ac:dyDescent="0.25">
      <c r="E24" s="365"/>
      <c r="H24" s="369"/>
      <c r="K24" s="242"/>
    </row>
    <row r="25" spans="2:11" x14ac:dyDescent="0.25">
      <c r="B25" s="117" t="s">
        <v>423</v>
      </c>
      <c r="E25" s="373">
        <f>SUM(E22/E14)-1</f>
        <v>0.32475728155339789</v>
      </c>
      <c r="F25" s="374">
        <f>SUM(F22/F14)-1</f>
        <v>0.2379299319417163</v>
      </c>
      <c r="G25" s="376">
        <f>SUM(G22/G14)-1</f>
        <v>-5.8923512747875217E-2</v>
      </c>
      <c r="H25" s="375">
        <f>SUM(H22/H14)-1</f>
        <v>8.0230886662728818E-3</v>
      </c>
      <c r="I25" s="374"/>
      <c r="J25" s="374">
        <f>SUM(J22/J14)-1</f>
        <v>5.6489809147091341E-2</v>
      </c>
      <c r="K25" s="242">
        <f>SUM(K23-K15)</f>
        <v>17263.199999999953</v>
      </c>
    </row>
    <row r="26" spans="2:11" x14ac:dyDescent="0.25">
      <c r="E26" s="365"/>
      <c r="H26" s="369"/>
    </row>
    <row r="27" spans="2:11" x14ac:dyDescent="0.25">
      <c r="B27" s="362" t="s">
        <v>439</v>
      </c>
      <c r="E27" s="384">
        <f>SUMPRODUCT($C$12:$C$14,E20:E22)*12</f>
        <v>24524.400000000001</v>
      </c>
      <c r="F27" s="354">
        <f>SUMPRODUCT($C$12:$C$14,F20:F22)*12</f>
        <v>60593.399999999994</v>
      </c>
      <c r="G27" s="354">
        <f>SUMPRODUCT($C$12:$C$14,G20:G22)*12</f>
        <v>33422.28</v>
      </c>
      <c r="H27" s="385">
        <f>SUMPRODUCT($C$12:$C$14,H20:H22)*12</f>
        <v>202252.19999999998</v>
      </c>
    </row>
    <row r="28" spans="2:11" x14ac:dyDescent="0.25">
      <c r="B28" s="362" t="s">
        <v>440</v>
      </c>
      <c r="E28" s="373">
        <f>SUM(E27/$K$23)</f>
        <v>7.6449470666812819E-2</v>
      </c>
      <c r="F28" s="374">
        <f>SUM(F27/$K$23)</f>
        <v>0.18888671510424129</v>
      </c>
      <c r="G28" s="374">
        <f>SUM(G27/$K$23)</f>
        <v>0.10418667182389801</v>
      </c>
      <c r="H28" s="386">
        <f>SUM(H27/$K$23)</f>
        <v>0.63047714240504793</v>
      </c>
    </row>
    <row r="29" spans="2:11" x14ac:dyDescent="0.25">
      <c r="B29" s="362"/>
      <c r="E29" s="373"/>
      <c r="F29" s="374"/>
      <c r="G29" s="374"/>
      <c r="H29" s="386"/>
    </row>
    <row r="30" spans="2:11" ht="15" customHeight="1" x14ac:dyDescent="0.25">
      <c r="E30" s="847" t="s">
        <v>438</v>
      </c>
      <c r="F30" s="849" t="s">
        <v>427</v>
      </c>
      <c r="G30" s="849" t="s">
        <v>430</v>
      </c>
      <c r="H30" s="852" t="s">
        <v>434</v>
      </c>
      <c r="I30" s="174"/>
      <c r="J30" s="91"/>
    </row>
    <row r="31" spans="2:11" x14ac:dyDescent="0.25">
      <c r="E31" s="847"/>
      <c r="F31" s="849"/>
      <c r="G31" s="849"/>
      <c r="H31" s="852"/>
      <c r="I31" s="174"/>
      <c r="J31" s="91"/>
    </row>
    <row r="32" spans="2:11" x14ac:dyDescent="0.25">
      <c r="E32" s="847"/>
      <c r="F32" s="849"/>
      <c r="G32" s="849"/>
      <c r="H32" s="852"/>
      <c r="I32" s="174"/>
      <c r="J32" s="91"/>
    </row>
    <row r="33" spans="5:10" x14ac:dyDescent="0.25">
      <c r="E33" s="842"/>
      <c r="F33" s="844"/>
      <c r="G33" s="840"/>
      <c r="H33" s="853"/>
      <c r="I33" s="352"/>
      <c r="J33" s="359"/>
    </row>
    <row r="34" spans="5:10" x14ac:dyDescent="0.25">
      <c r="E34" s="848"/>
      <c r="F34" s="850"/>
      <c r="G34" s="851"/>
      <c r="H34" s="854"/>
      <c r="I34" s="352"/>
      <c r="J34" s="359"/>
    </row>
  </sheetData>
  <mergeCells count="12">
    <mergeCell ref="J9:J10"/>
    <mergeCell ref="K9:K10"/>
    <mergeCell ref="E30:E34"/>
    <mergeCell ref="F30:F34"/>
    <mergeCell ref="G30:G34"/>
    <mergeCell ref="H30:H34"/>
    <mergeCell ref="H9:H10"/>
    <mergeCell ref="E8:G8"/>
    <mergeCell ref="C9:C10"/>
    <mergeCell ref="E9:E10"/>
    <mergeCell ref="F9:F10"/>
    <mergeCell ref="G9:G10"/>
  </mergeCells>
  <pageMargins left="0" right="0" top="0.75" bottom="0.75" header="0.5" footer="0.5"/>
  <pageSetup scale="87" orientation="landscape" r:id="rId1"/>
  <headerFooter>
    <oddFooter>&amp;C&amp;A
Page 5 of 12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64"/>
  <sheetViews>
    <sheetView showGridLines="0" view="pageBreakPreview" zoomScaleNormal="100" zoomScaleSheetLayoutView="100" workbookViewId="0">
      <selection activeCell="B6" sqref="B6"/>
    </sheetView>
  </sheetViews>
  <sheetFormatPr defaultColWidth="9.21875" defaultRowHeight="13.2" outlineLevelRow="1" x14ac:dyDescent="0.25"/>
  <cols>
    <col min="1" max="1" width="1.77734375" style="1" customWidth="1"/>
    <col min="2" max="2" width="50.77734375" style="1" customWidth="1"/>
    <col min="3" max="4" width="8.77734375" style="1" customWidth="1"/>
    <col min="5" max="8" width="35.77734375" style="1" customWidth="1"/>
    <col min="9" max="9" width="1.77734375" style="1" customWidth="1"/>
    <col min="10" max="16384" width="9.21875" style="1"/>
  </cols>
  <sheetData>
    <row r="1" spans="2:8" ht="14.25" customHeight="1" x14ac:dyDescent="0.25"/>
    <row r="2" spans="2:8" ht="14.25" customHeight="1" x14ac:dyDescent="0.25"/>
    <row r="3" spans="2:8" ht="14.25" customHeight="1" x14ac:dyDescent="0.25"/>
    <row r="4" spans="2:8" ht="14.25" customHeight="1" x14ac:dyDescent="0.25"/>
    <row r="5" spans="2:8" ht="14.25" customHeight="1" x14ac:dyDescent="0.25"/>
    <row r="6" spans="2:8" ht="18" customHeight="1" x14ac:dyDescent="0.25">
      <c r="B6" s="4" t="s">
        <v>145</v>
      </c>
    </row>
    <row r="7" spans="2:8" ht="20.25" customHeight="1" x14ac:dyDescent="0.25">
      <c r="B7" s="9" t="s">
        <v>309</v>
      </c>
      <c r="C7" s="10"/>
      <c r="D7" s="10"/>
      <c r="E7" s="10"/>
      <c r="F7" s="10"/>
    </row>
    <row r="8" spans="2:8" ht="15" x14ac:dyDescent="0.25">
      <c r="E8" s="589" t="s">
        <v>312</v>
      </c>
      <c r="F8" s="589"/>
      <c r="G8" s="583" t="s">
        <v>311</v>
      </c>
      <c r="H8" s="583"/>
    </row>
    <row r="9" spans="2:8" x14ac:dyDescent="0.25">
      <c r="B9" s="11" t="s">
        <v>308</v>
      </c>
      <c r="C9" s="12"/>
      <c r="D9" s="13"/>
      <c r="E9" s="584" t="s">
        <v>183</v>
      </c>
      <c r="F9" s="584"/>
      <c r="G9" s="584" t="s">
        <v>183</v>
      </c>
      <c r="H9" s="584"/>
    </row>
    <row r="10" spans="2:8" x14ac:dyDescent="0.25">
      <c r="B10" s="7"/>
      <c r="C10" s="2"/>
      <c r="D10" s="14"/>
      <c r="E10" s="585" t="s">
        <v>64</v>
      </c>
      <c r="F10" s="586"/>
      <c r="G10" s="585" t="s">
        <v>64</v>
      </c>
      <c r="H10" s="586"/>
    </row>
    <row r="11" spans="2:8" x14ac:dyDescent="0.25">
      <c r="B11" s="15"/>
      <c r="C11" s="16"/>
      <c r="D11" s="17"/>
      <c r="E11" s="84" t="s">
        <v>6</v>
      </c>
      <c r="F11" s="93" t="s">
        <v>7</v>
      </c>
      <c r="G11" s="84" t="s">
        <v>6</v>
      </c>
      <c r="H11" s="93" t="s">
        <v>7</v>
      </c>
    </row>
    <row r="12" spans="2:8" x14ac:dyDescent="0.25">
      <c r="B12" s="8" t="s">
        <v>166</v>
      </c>
      <c r="C12" s="3"/>
      <c r="D12" s="18"/>
      <c r="E12" s="578" t="s">
        <v>54</v>
      </c>
      <c r="F12" s="579"/>
      <c r="G12" s="578" t="s">
        <v>54</v>
      </c>
      <c r="H12" s="579"/>
    </row>
    <row r="13" spans="2:8" ht="26.4" x14ac:dyDescent="0.25">
      <c r="B13" s="19" t="s">
        <v>167</v>
      </c>
      <c r="C13" s="20"/>
      <c r="D13" s="21"/>
      <c r="E13" s="22" t="s">
        <v>37</v>
      </c>
      <c r="F13" s="86" t="s">
        <v>158</v>
      </c>
      <c r="G13" s="22" t="s">
        <v>37</v>
      </c>
      <c r="H13" s="86" t="s">
        <v>158</v>
      </c>
    </row>
    <row r="14" spans="2:8" x14ac:dyDescent="0.25">
      <c r="B14" s="8" t="s">
        <v>18</v>
      </c>
      <c r="C14" s="3"/>
      <c r="D14" s="18"/>
      <c r="E14" s="85"/>
      <c r="F14" s="86"/>
      <c r="G14" s="85"/>
      <c r="H14" s="86"/>
    </row>
    <row r="15" spans="2:8" x14ac:dyDescent="0.25">
      <c r="B15" s="8" t="s">
        <v>27</v>
      </c>
      <c r="C15" s="3"/>
      <c r="D15" s="18"/>
      <c r="E15" s="24" t="s">
        <v>148</v>
      </c>
      <c r="F15" s="25">
        <v>500</v>
      </c>
      <c r="G15" s="24" t="s">
        <v>148</v>
      </c>
      <c r="H15" s="25">
        <v>500</v>
      </c>
    </row>
    <row r="16" spans="2:8" x14ac:dyDescent="0.25">
      <c r="B16" s="8" t="s">
        <v>28</v>
      </c>
      <c r="C16" s="3"/>
      <c r="D16" s="18"/>
      <c r="E16" s="24" t="s">
        <v>148</v>
      </c>
      <c r="F16" s="25">
        <v>1500</v>
      </c>
      <c r="G16" s="24" t="s">
        <v>148</v>
      </c>
      <c r="H16" s="25">
        <v>1500</v>
      </c>
    </row>
    <row r="17" spans="2:8" x14ac:dyDescent="0.25">
      <c r="B17" s="8" t="s">
        <v>19</v>
      </c>
      <c r="C17" s="3"/>
      <c r="D17" s="18"/>
      <c r="E17" s="92">
        <v>1</v>
      </c>
      <c r="F17" s="26">
        <v>0.7</v>
      </c>
      <c r="G17" s="92">
        <v>1</v>
      </c>
      <c r="H17" s="26">
        <v>0.7</v>
      </c>
    </row>
    <row r="18" spans="2:8" x14ac:dyDescent="0.25">
      <c r="B18" s="8" t="s">
        <v>20</v>
      </c>
      <c r="C18" s="3"/>
      <c r="D18" s="18"/>
      <c r="E18" s="89" t="s">
        <v>148</v>
      </c>
      <c r="F18" s="88">
        <v>2500</v>
      </c>
      <c r="G18" s="89" t="s">
        <v>148</v>
      </c>
      <c r="H18" s="88">
        <v>2500</v>
      </c>
    </row>
    <row r="19" spans="2:8" x14ac:dyDescent="0.25">
      <c r="B19" s="8" t="s">
        <v>21</v>
      </c>
      <c r="C19" s="20"/>
      <c r="D19" s="21"/>
      <c r="E19" s="89" t="s">
        <v>148</v>
      </c>
      <c r="F19" s="88">
        <v>7500</v>
      </c>
      <c r="G19" s="89" t="s">
        <v>148</v>
      </c>
      <c r="H19" s="88">
        <v>7500</v>
      </c>
    </row>
    <row r="20" spans="2:8" x14ac:dyDescent="0.25">
      <c r="B20" s="27" t="s">
        <v>155</v>
      </c>
      <c r="C20" s="3"/>
      <c r="D20" s="18"/>
      <c r="E20" s="83"/>
      <c r="F20" s="28"/>
      <c r="G20" s="83"/>
      <c r="H20" s="28"/>
    </row>
    <row r="21" spans="2:8" x14ac:dyDescent="0.25">
      <c r="B21" s="27"/>
      <c r="C21" s="3"/>
      <c r="D21" s="18"/>
      <c r="E21" s="83"/>
      <c r="F21" s="28"/>
      <c r="G21" s="83"/>
      <c r="H21" s="28"/>
    </row>
    <row r="22" spans="2:8" x14ac:dyDescent="0.25">
      <c r="B22" s="8" t="s">
        <v>35</v>
      </c>
      <c r="C22" s="3"/>
      <c r="D22" s="18"/>
      <c r="E22" s="24" t="s">
        <v>62</v>
      </c>
      <c r="F22" s="25" t="s">
        <v>65</v>
      </c>
      <c r="G22" s="24" t="s">
        <v>62</v>
      </c>
      <c r="H22" s="25" t="s">
        <v>65</v>
      </c>
    </row>
    <row r="23" spans="2:8" x14ac:dyDescent="0.25">
      <c r="B23" s="8" t="s">
        <v>36</v>
      </c>
      <c r="C23" s="3"/>
      <c r="D23" s="18"/>
      <c r="E23" s="24" t="s">
        <v>55</v>
      </c>
      <c r="F23" s="25" t="s">
        <v>65</v>
      </c>
      <c r="G23" s="24" t="s">
        <v>55</v>
      </c>
      <c r="H23" s="25" t="s">
        <v>65</v>
      </c>
    </row>
    <row r="24" spans="2:8" x14ac:dyDescent="0.25">
      <c r="B24" s="27"/>
      <c r="C24" s="3"/>
      <c r="D24" s="18"/>
      <c r="E24" s="83"/>
      <c r="F24" s="28"/>
      <c r="G24" s="83"/>
      <c r="H24" s="28"/>
    </row>
    <row r="25" spans="2:8" x14ac:dyDescent="0.25">
      <c r="B25" s="8" t="s">
        <v>22</v>
      </c>
      <c r="C25" s="3"/>
      <c r="D25" s="18"/>
      <c r="E25" s="83" t="s">
        <v>58</v>
      </c>
      <c r="F25" s="25" t="s">
        <v>65</v>
      </c>
      <c r="G25" s="83" t="s">
        <v>58</v>
      </c>
      <c r="H25" s="25" t="s">
        <v>65</v>
      </c>
    </row>
    <row r="26" spans="2:8" ht="26.4" x14ac:dyDescent="0.25">
      <c r="B26" s="8" t="s">
        <v>16</v>
      </c>
      <c r="C26" s="3"/>
      <c r="D26" s="18"/>
      <c r="E26" s="83" t="s">
        <v>177</v>
      </c>
      <c r="F26" s="25" t="s">
        <v>65</v>
      </c>
      <c r="G26" s="83" t="s">
        <v>177</v>
      </c>
      <c r="H26" s="25" t="s">
        <v>65</v>
      </c>
    </row>
    <row r="27" spans="2:8" x14ac:dyDescent="0.25">
      <c r="B27" s="8" t="s">
        <v>13</v>
      </c>
      <c r="C27" s="3"/>
      <c r="D27" s="18"/>
      <c r="E27" s="83" t="s">
        <v>176</v>
      </c>
      <c r="F27" s="25" t="s">
        <v>65</v>
      </c>
      <c r="G27" s="83" t="s">
        <v>176</v>
      </c>
      <c r="H27" s="25" t="s">
        <v>65</v>
      </c>
    </row>
    <row r="28" spans="2:8" x14ac:dyDescent="0.25">
      <c r="B28" s="8" t="s">
        <v>23</v>
      </c>
      <c r="C28" s="3"/>
      <c r="D28" s="18"/>
      <c r="E28" s="83" t="s">
        <v>151</v>
      </c>
      <c r="F28" s="25" t="s">
        <v>65</v>
      </c>
      <c r="G28" s="83" t="s">
        <v>151</v>
      </c>
      <c r="H28" s="25" t="s">
        <v>65</v>
      </c>
    </row>
    <row r="29" spans="2:8" x14ac:dyDescent="0.25">
      <c r="B29" s="8" t="s">
        <v>14</v>
      </c>
      <c r="C29" s="3"/>
      <c r="D29" s="18"/>
      <c r="E29" s="24" t="s">
        <v>56</v>
      </c>
      <c r="F29" s="25" t="s">
        <v>56</v>
      </c>
      <c r="G29" s="24" t="s">
        <v>56</v>
      </c>
      <c r="H29" s="25" t="s">
        <v>56</v>
      </c>
    </row>
    <row r="30" spans="2:8" x14ac:dyDescent="0.25">
      <c r="B30" s="8" t="s">
        <v>24</v>
      </c>
      <c r="C30" s="3"/>
      <c r="D30" s="18"/>
      <c r="E30" s="24" t="s">
        <v>57</v>
      </c>
      <c r="F30" s="25" t="s">
        <v>152</v>
      </c>
      <c r="G30" s="24" t="s">
        <v>57</v>
      </c>
      <c r="H30" s="25" t="s">
        <v>152</v>
      </c>
    </row>
    <row r="31" spans="2:8" x14ac:dyDescent="0.25">
      <c r="B31" s="8"/>
      <c r="C31" s="3"/>
      <c r="D31" s="18"/>
      <c r="E31" s="24"/>
      <c r="F31" s="25"/>
      <c r="G31" s="24"/>
      <c r="H31" s="25"/>
    </row>
    <row r="32" spans="2:8" ht="26.4" x14ac:dyDescent="0.25">
      <c r="B32" s="8" t="s">
        <v>59</v>
      </c>
      <c r="C32" s="3"/>
      <c r="D32" s="18"/>
      <c r="E32" s="83" t="s">
        <v>177</v>
      </c>
      <c r="F32" s="25" t="s">
        <v>65</v>
      </c>
      <c r="G32" s="83" t="s">
        <v>177</v>
      </c>
      <c r="H32" s="25" t="s">
        <v>65</v>
      </c>
    </row>
    <row r="33" spans="2:8" x14ac:dyDescent="0.25">
      <c r="B33" s="8" t="s">
        <v>60</v>
      </c>
      <c r="C33" s="3"/>
      <c r="D33" s="18"/>
      <c r="E33" s="24" t="s">
        <v>55</v>
      </c>
      <c r="F33" s="25" t="s">
        <v>65</v>
      </c>
      <c r="G33" s="24" t="s">
        <v>55</v>
      </c>
      <c r="H33" s="25" t="s">
        <v>65</v>
      </c>
    </row>
    <row r="34" spans="2:8" x14ac:dyDescent="0.25">
      <c r="B34" s="8"/>
      <c r="C34" s="3"/>
      <c r="D34" s="18"/>
      <c r="E34" s="22"/>
      <c r="F34" s="87"/>
      <c r="G34" s="22"/>
      <c r="H34" s="87"/>
    </row>
    <row r="35" spans="2:8" ht="26.4" x14ac:dyDescent="0.25">
      <c r="B35" s="63" t="s">
        <v>4</v>
      </c>
      <c r="C35" s="64"/>
      <c r="D35" s="65"/>
      <c r="E35" s="66"/>
      <c r="F35" s="67" t="s">
        <v>153</v>
      </c>
      <c r="G35" s="66"/>
      <c r="H35" s="67" t="s">
        <v>153</v>
      </c>
    </row>
    <row r="36" spans="2:8" x14ac:dyDescent="0.25">
      <c r="B36" s="27" t="s">
        <v>144</v>
      </c>
      <c r="C36" s="3"/>
      <c r="D36" s="18"/>
      <c r="E36" s="89">
        <v>0</v>
      </c>
      <c r="F36" s="25"/>
      <c r="G36" s="89">
        <v>0</v>
      </c>
      <c r="H36" s="25"/>
    </row>
    <row r="37" spans="2:8" x14ac:dyDescent="0.25">
      <c r="B37" s="27" t="s">
        <v>169</v>
      </c>
      <c r="C37" s="3"/>
      <c r="D37" s="18"/>
      <c r="E37" s="22" t="s">
        <v>141</v>
      </c>
      <c r="F37" s="29"/>
      <c r="G37" s="22" t="s">
        <v>141</v>
      </c>
      <c r="H37" s="29"/>
    </row>
    <row r="38" spans="2:8" x14ac:dyDescent="0.25">
      <c r="B38" s="27" t="s">
        <v>170</v>
      </c>
      <c r="C38" s="3"/>
      <c r="D38" s="18"/>
      <c r="E38" s="22" t="s">
        <v>142</v>
      </c>
      <c r="F38" s="86"/>
      <c r="G38" s="22" t="s">
        <v>142</v>
      </c>
      <c r="H38" s="86"/>
    </row>
    <row r="39" spans="2:8" ht="26.4" x14ac:dyDescent="0.25">
      <c r="B39" s="68" t="s">
        <v>26</v>
      </c>
      <c r="C39" s="69"/>
      <c r="D39" s="70"/>
      <c r="E39" s="71" t="s">
        <v>154</v>
      </c>
      <c r="F39" s="72"/>
      <c r="G39" s="71" t="s">
        <v>154</v>
      </c>
      <c r="H39" s="72"/>
    </row>
    <row r="40" spans="2:8" x14ac:dyDescent="0.25">
      <c r="B40" s="8"/>
      <c r="D40" s="29"/>
      <c r="E40" s="22"/>
      <c r="F40" s="86"/>
      <c r="G40" s="22"/>
      <c r="H40" s="86"/>
    </row>
    <row r="41" spans="2:8" x14ac:dyDescent="0.25">
      <c r="B41" s="8" t="s">
        <v>25</v>
      </c>
      <c r="D41" s="29"/>
      <c r="E41" s="163" t="s">
        <v>34</v>
      </c>
      <c r="F41" s="87"/>
      <c r="G41" s="22" t="s">
        <v>34</v>
      </c>
      <c r="H41" s="87"/>
    </row>
    <row r="42" spans="2:8" x14ac:dyDescent="0.25">
      <c r="B42" s="8" t="s">
        <v>17</v>
      </c>
      <c r="D42" s="29"/>
      <c r="E42" s="163">
        <v>26</v>
      </c>
      <c r="F42" s="87"/>
      <c r="G42" s="22">
        <v>26</v>
      </c>
      <c r="H42" s="87"/>
    </row>
    <row r="43" spans="2:8" x14ac:dyDescent="0.25">
      <c r="B43" s="8" t="s">
        <v>61</v>
      </c>
      <c r="D43" s="29"/>
      <c r="E43" s="163" t="s">
        <v>33</v>
      </c>
      <c r="F43" s="87"/>
      <c r="G43" s="587" t="s">
        <v>182</v>
      </c>
      <c r="H43" s="588"/>
    </row>
    <row r="44" spans="2:8" x14ac:dyDescent="0.25">
      <c r="B44" s="8"/>
      <c r="D44" s="29"/>
      <c r="E44" s="163"/>
      <c r="F44" s="87"/>
      <c r="G44" s="163"/>
      <c r="H44" s="87"/>
    </row>
    <row r="45" spans="2:8" x14ac:dyDescent="0.25">
      <c r="B45" s="8" t="s">
        <v>318</v>
      </c>
      <c r="C45" s="91" t="s">
        <v>70</v>
      </c>
      <c r="D45" s="30" t="s">
        <v>71</v>
      </c>
      <c r="E45" s="163" t="s">
        <v>139</v>
      </c>
      <c r="F45" s="87"/>
      <c r="G45" s="163" t="s">
        <v>139</v>
      </c>
      <c r="H45" s="87"/>
    </row>
    <row r="46" spans="2:8" x14ac:dyDescent="0.25">
      <c r="B46" s="27" t="s">
        <v>68</v>
      </c>
      <c r="C46" s="156">
        <f>'Census Data, Plan Comparison'!O53</f>
        <v>21</v>
      </c>
      <c r="D46" s="31">
        <f>C46</f>
        <v>21</v>
      </c>
      <c r="E46" s="62">
        <f>'Census Data, Plan Comparison'!R53</f>
        <v>485.15105263157892</v>
      </c>
      <c r="F46" s="98"/>
      <c r="G46" s="62">
        <f>'Census Data, Plan Comparison'!X53</f>
        <v>494.52684210526314</v>
      </c>
      <c r="H46" s="98"/>
    </row>
    <row r="47" spans="2:8" x14ac:dyDescent="0.25">
      <c r="B47" s="27" t="s">
        <v>15</v>
      </c>
      <c r="C47" s="157">
        <f>'Census Data, Plan Comparison'!O54</f>
        <v>2</v>
      </c>
      <c r="D47" s="32">
        <f>C47*2</f>
        <v>4</v>
      </c>
      <c r="E47" s="62">
        <f>'Census Data, Plan Comparison'!R54</f>
        <v>1990.3000000000002</v>
      </c>
      <c r="F47" s="98"/>
      <c r="G47" s="62">
        <f>'Census Data, Plan Comparison'!X54</f>
        <v>2205.4749999999999</v>
      </c>
      <c r="H47" s="98"/>
    </row>
    <row r="48" spans="2:8" ht="15.6" x14ac:dyDescent="0.25">
      <c r="B48" s="27" t="s">
        <v>164</v>
      </c>
      <c r="C48" s="157">
        <f>'Census Data, Plan Comparison'!O55</f>
        <v>10</v>
      </c>
      <c r="D48" s="33">
        <f>SUM(C48*2.2)</f>
        <v>22</v>
      </c>
      <c r="E48" s="62">
        <f>'Census Data, Plan Comparison'!R55</f>
        <v>2015.6166666666666</v>
      </c>
      <c r="F48" s="98"/>
      <c r="G48" s="62">
        <f>'Census Data, Plan Comparison'!X55</f>
        <v>2048.3139999999999</v>
      </c>
      <c r="H48" s="98"/>
    </row>
    <row r="49" spans="2:8" x14ac:dyDescent="0.25">
      <c r="B49" s="171" t="s">
        <v>12</v>
      </c>
      <c r="C49" s="35">
        <f>SUM(C46:C48)</f>
        <v>33</v>
      </c>
      <c r="D49" s="36">
        <f>SUM(D46:D48)</f>
        <v>47</v>
      </c>
      <c r="E49" s="172"/>
      <c r="F49" s="173"/>
      <c r="G49" s="172"/>
      <c r="H49" s="173"/>
    </row>
    <row r="50" spans="2:8" x14ac:dyDescent="0.25">
      <c r="B50" s="8" t="s">
        <v>2</v>
      </c>
      <c r="C50" s="580" t="s">
        <v>66</v>
      </c>
      <c r="D50" s="580" t="s">
        <v>165</v>
      </c>
      <c r="E50" s="55">
        <f>'Census Data, Plan Comparison'!R50</f>
        <v>31339.020000000008</v>
      </c>
      <c r="F50" s="39"/>
      <c r="G50" s="55">
        <f>'Census Data, Plan Comparison'!X50</f>
        <v>34290.1</v>
      </c>
      <c r="H50" s="39"/>
    </row>
    <row r="51" spans="2:8" x14ac:dyDescent="0.25">
      <c r="B51" s="8" t="s">
        <v>3</v>
      </c>
      <c r="C51" s="581"/>
      <c r="D51" s="581"/>
      <c r="E51" s="55">
        <f>'Census Data, Plan Comparison'!R51</f>
        <v>376068.24000000011</v>
      </c>
      <c r="F51" s="39"/>
      <c r="G51" s="55">
        <f>'Census Data, Plan Comparison'!X51</f>
        <v>411481.19999999995</v>
      </c>
      <c r="H51" s="39"/>
    </row>
    <row r="52" spans="2:8" x14ac:dyDescent="0.25">
      <c r="B52" s="8"/>
      <c r="C52" s="581"/>
      <c r="D52" s="581"/>
      <c r="E52" s="55"/>
      <c r="F52" s="39"/>
      <c r="G52" s="55"/>
      <c r="H52" s="39"/>
    </row>
    <row r="53" spans="2:8" x14ac:dyDescent="0.25">
      <c r="B53" s="8" t="s">
        <v>8</v>
      </c>
      <c r="C53" s="581"/>
      <c r="D53" s="581"/>
      <c r="E53" s="56" t="s">
        <v>1</v>
      </c>
      <c r="F53" s="53"/>
      <c r="G53" s="56">
        <f>SUM(G51-$E51)</f>
        <v>35412.959999999846</v>
      </c>
      <c r="H53" s="53"/>
    </row>
    <row r="54" spans="2:8" x14ac:dyDescent="0.25">
      <c r="B54" s="40" t="s">
        <v>9</v>
      </c>
      <c r="C54" s="582"/>
      <c r="D54" s="582"/>
      <c r="E54" s="57" t="s">
        <v>1</v>
      </c>
      <c r="F54" s="54"/>
      <c r="G54" s="61">
        <f>SUM(G53/$E51)</f>
        <v>9.4166314071084112E-2</v>
      </c>
      <c r="H54" s="60"/>
    </row>
    <row r="55" spans="2:8" hidden="1" outlineLevel="1" x14ac:dyDescent="0.25">
      <c r="B55" s="8" t="s">
        <v>10</v>
      </c>
      <c r="C55" s="41"/>
      <c r="D55" s="42"/>
      <c r="E55" s="58" t="s">
        <v>1</v>
      </c>
      <c r="F55" s="90"/>
      <c r="G55" s="58">
        <f>SUM($G$51-$E$51)</f>
        <v>35412.959999999846</v>
      </c>
      <c r="H55" s="90"/>
    </row>
    <row r="56" spans="2:8" hidden="1" outlineLevel="1" x14ac:dyDescent="0.25">
      <c r="B56" s="40" t="s">
        <v>11</v>
      </c>
      <c r="C56" s="43"/>
      <c r="D56" s="44"/>
      <c r="E56" s="57" t="s">
        <v>1</v>
      </c>
      <c r="F56" s="54"/>
      <c r="G56" s="61">
        <f>SUM(G55/$E$51)</f>
        <v>9.4166314071084112E-2</v>
      </c>
      <c r="H56" s="60"/>
    </row>
    <row r="57" spans="2:8" collapsed="1" x14ac:dyDescent="0.25">
      <c r="B57" s="45" t="s">
        <v>53</v>
      </c>
      <c r="C57" s="46"/>
      <c r="D57" s="47"/>
      <c r="E57" s="59">
        <f>SUM(E51/$C$49)</f>
        <v>11396.007272727276</v>
      </c>
      <c r="F57" s="94"/>
      <c r="G57" s="59">
        <f>SUM(G51/$C$49)</f>
        <v>12469.127272727272</v>
      </c>
      <c r="H57" s="94"/>
    </row>
    <row r="58" spans="2:8" x14ac:dyDescent="0.25">
      <c r="B58" s="3"/>
      <c r="E58" s="48"/>
      <c r="F58" s="48"/>
      <c r="G58" s="48"/>
      <c r="H58" s="48"/>
    </row>
    <row r="59" spans="2:8" x14ac:dyDescent="0.25">
      <c r="B59" s="3"/>
      <c r="E59" s="48"/>
      <c r="F59" s="48"/>
      <c r="G59" s="48"/>
      <c r="H59" s="48"/>
    </row>
    <row r="60" spans="2:8" x14ac:dyDescent="0.25">
      <c r="B60" s="3"/>
      <c r="E60" s="48"/>
      <c r="F60" s="48"/>
      <c r="G60" s="48"/>
      <c r="H60" s="48"/>
    </row>
    <row r="61" spans="2:8" x14ac:dyDescent="0.25">
      <c r="C61" s="82"/>
      <c r="D61" s="49"/>
      <c r="E61" s="49"/>
      <c r="F61" s="50"/>
      <c r="H61" s="50"/>
    </row>
    <row r="62" spans="2:8" x14ac:dyDescent="0.25">
      <c r="D62" s="49"/>
      <c r="F62" s="95"/>
      <c r="H62" s="50"/>
    </row>
    <row r="63" spans="2:8" x14ac:dyDescent="0.25">
      <c r="E63" s="50"/>
      <c r="F63" s="50"/>
    </row>
    <row r="64" spans="2:8" x14ac:dyDescent="0.25">
      <c r="F64" s="50"/>
    </row>
  </sheetData>
  <mergeCells count="11">
    <mergeCell ref="E8:F8"/>
    <mergeCell ref="G8:H8"/>
    <mergeCell ref="E9:F9"/>
    <mergeCell ref="G9:H9"/>
    <mergeCell ref="E10:F10"/>
    <mergeCell ref="G10:H10"/>
    <mergeCell ref="E12:F12"/>
    <mergeCell ref="G12:H12"/>
    <mergeCell ref="G43:H43"/>
    <mergeCell ref="C50:C54"/>
    <mergeCell ref="D50:D54"/>
  </mergeCells>
  <pageMargins left="0" right="0" top="0.5" bottom="0.5" header="0.25" footer="0.25"/>
  <pageSetup scale="64" orientation="landscape" r:id="rId1"/>
  <headerFooter>
    <oddFooter>&amp;C&amp;A
Page 3 of 10&amp;R&amp;D</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998"/>
  <sheetViews>
    <sheetView view="pageBreakPreview" zoomScaleNormal="100" zoomScaleSheetLayoutView="100" workbookViewId="0">
      <selection activeCell="B6" sqref="B6"/>
    </sheetView>
  </sheetViews>
  <sheetFormatPr defaultColWidth="9.21875" defaultRowHeight="13.2" outlineLevelCol="1" x14ac:dyDescent="0.25"/>
  <cols>
    <col min="1" max="1" width="1.77734375" style="1" customWidth="1"/>
    <col min="2" max="2" width="17.77734375" style="105" customWidth="1"/>
    <col min="3" max="3" width="13.77734375" style="105" customWidth="1"/>
    <col min="4" max="4" width="24.21875" style="105" hidden="1" customWidth="1" outlineLevel="1"/>
    <col min="5" max="5" width="17.44140625" style="174" customWidth="1" collapsed="1"/>
    <col min="6" max="6" width="33.21875" style="1" customWidth="1"/>
    <col min="7" max="7" width="16.77734375" style="1" customWidth="1"/>
    <col min="8" max="9" width="8.77734375" style="1" customWidth="1"/>
    <col min="10" max="10" width="8.77734375" style="91" customWidth="1"/>
    <col min="11" max="11" width="10.5546875" style="91" customWidth="1"/>
    <col min="12" max="13" width="12.77734375" style="1" customWidth="1"/>
    <col min="14" max="14" width="15.77734375" style="1" customWidth="1"/>
    <col min="15" max="15" width="22.21875" style="1" customWidth="1"/>
    <col min="16" max="16" width="14.77734375" style="1" hidden="1" customWidth="1" outlineLevel="1"/>
    <col min="17" max="17" width="13.77734375" style="1" customWidth="1" collapsed="1"/>
    <col min="18" max="20" width="13.77734375" style="1" hidden="1" customWidth="1" outlineLevel="1"/>
    <col min="21" max="21" width="1.77734375" style="1" hidden="1" customWidth="1" outlineLevel="1"/>
    <col min="22" max="24" width="13.77734375" style="1" hidden="1" customWidth="1" outlineLevel="1"/>
    <col min="25" max="25" width="11.77734375" style="1" hidden="1" customWidth="1" outlineLevel="1"/>
    <col min="26" max="26" width="11.21875" style="1" hidden="1" customWidth="1" outlineLevel="1"/>
    <col min="27" max="27" width="20.21875" style="1" customWidth="1" collapsed="1"/>
    <col min="28" max="28" width="22.5546875" style="1" customWidth="1"/>
    <col min="29" max="29" width="10.77734375" style="1" customWidth="1"/>
    <col min="30" max="30" width="1.77734375" style="1" customWidth="1"/>
    <col min="31" max="31" width="11.77734375" style="1" hidden="1" customWidth="1" outlineLevel="1"/>
    <col min="32" max="32" width="11.77734375" style="1" customWidth="1" collapsed="1"/>
    <col min="33" max="33" width="11.77734375" style="1" customWidth="1"/>
    <col min="35" max="16384" width="9.21875" style="1"/>
  </cols>
  <sheetData>
    <row r="1" spans="2:33" ht="14.25" customHeight="1" x14ac:dyDescent="0.25"/>
    <row r="2" spans="2:33" ht="14.25" customHeight="1" x14ac:dyDescent="0.25"/>
    <row r="3" spans="2:33" ht="14.25" customHeight="1" x14ac:dyDescent="0.25"/>
    <row r="4" spans="2:33" ht="14.25" customHeight="1" x14ac:dyDescent="0.25"/>
    <row r="5" spans="2:33" ht="14.25" customHeight="1" x14ac:dyDescent="0.25"/>
    <row r="6" spans="2:33" ht="18" customHeight="1" x14ac:dyDescent="0.25"/>
    <row r="7" spans="2:33" ht="13.8" thickBot="1" x14ac:dyDescent="0.3">
      <c r="L7" s="106"/>
      <c r="M7" s="106"/>
      <c r="N7" s="166">
        <v>41214</v>
      </c>
      <c r="O7" s="107"/>
      <c r="P7" s="107"/>
      <c r="Q7" s="107"/>
      <c r="R7" s="107"/>
      <c r="S7" s="107"/>
      <c r="T7" s="107"/>
      <c r="U7" s="107"/>
      <c r="V7" s="107"/>
      <c r="W7" s="107"/>
      <c r="X7" s="107"/>
      <c r="Y7" s="107"/>
      <c r="Z7" s="107"/>
      <c r="AA7" s="107"/>
      <c r="AB7" s="107"/>
      <c r="AC7" s="107"/>
      <c r="AE7" s="107"/>
      <c r="AF7" s="107"/>
      <c r="AG7" s="107"/>
    </row>
    <row r="8" spans="2:33" ht="66.599999999999994" thickBot="1" x14ac:dyDescent="0.3">
      <c r="B8" s="158" t="s">
        <v>137</v>
      </c>
      <c r="C8" s="158" t="s">
        <v>136</v>
      </c>
      <c r="D8" s="252" t="s">
        <v>341</v>
      </c>
      <c r="E8" s="158" t="s">
        <v>184</v>
      </c>
      <c r="F8" s="158" t="s">
        <v>303</v>
      </c>
      <c r="G8" s="158" t="s">
        <v>210</v>
      </c>
      <c r="H8" s="158" t="s">
        <v>203</v>
      </c>
      <c r="I8" s="158" t="s">
        <v>209</v>
      </c>
      <c r="J8" s="158" t="s">
        <v>73</v>
      </c>
      <c r="K8" s="158" t="s">
        <v>175</v>
      </c>
      <c r="L8" s="158" t="s">
        <v>147</v>
      </c>
      <c r="M8" s="159" t="s">
        <v>146</v>
      </c>
      <c r="N8" s="167" t="s">
        <v>304</v>
      </c>
      <c r="O8" s="160" t="s">
        <v>251</v>
      </c>
      <c r="P8" s="161" t="s">
        <v>198</v>
      </c>
      <c r="Q8" s="161" t="s">
        <v>201</v>
      </c>
      <c r="R8" s="161" t="s">
        <v>199</v>
      </c>
      <c r="S8" s="161" t="s">
        <v>200</v>
      </c>
      <c r="T8" s="161" t="s">
        <v>315</v>
      </c>
      <c r="U8" s="191"/>
      <c r="V8" s="161" t="s">
        <v>317</v>
      </c>
      <c r="W8" s="165" t="s">
        <v>307</v>
      </c>
      <c r="X8" s="161" t="s">
        <v>316</v>
      </c>
      <c r="Y8" s="192" t="s">
        <v>330</v>
      </c>
      <c r="Z8" s="160" t="s">
        <v>322</v>
      </c>
      <c r="AA8" s="219"/>
      <c r="AB8" s="160" t="s">
        <v>305</v>
      </c>
      <c r="AC8" s="205" t="s">
        <v>328</v>
      </c>
      <c r="AE8" s="162" t="s">
        <v>178</v>
      </c>
      <c r="AF8" s="160" t="s">
        <v>336</v>
      </c>
      <c r="AG8" s="162" t="s">
        <v>179</v>
      </c>
    </row>
    <row r="9" spans="2:33" ht="13.8" x14ac:dyDescent="0.25">
      <c r="B9" s="124" t="s">
        <v>122</v>
      </c>
      <c r="C9" s="124" t="s">
        <v>91</v>
      </c>
      <c r="D9" s="248" t="s">
        <v>342</v>
      </c>
      <c r="E9" s="125" t="s">
        <v>280</v>
      </c>
      <c r="F9" s="125" t="s">
        <v>227</v>
      </c>
      <c r="G9" s="124" t="s">
        <v>214</v>
      </c>
      <c r="H9" s="126" t="s">
        <v>204</v>
      </c>
      <c r="I9" s="127">
        <v>10016</v>
      </c>
      <c r="J9" s="126" t="s">
        <v>74</v>
      </c>
      <c r="K9" s="128">
        <v>65000</v>
      </c>
      <c r="L9" s="130">
        <v>40553</v>
      </c>
      <c r="M9" s="108">
        <v>31105</v>
      </c>
      <c r="N9" s="273">
        <f>(YEAR($N$7)-YEAR(M9))</f>
        <v>27</v>
      </c>
      <c r="O9" s="131" t="s">
        <v>38</v>
      </c>
      <c r="P9" s="132">
        <v>287.04000000000002</v>
      </c>
      <c r="Q9" s="220">
        <v>301.89</v>
      </c>
      <c r="R9" s="220">
        <v>323.52999999999997</v>
      </c>
      <c r="S9" s="220">
        <f t="shared" ref="S9:S16" si="0">SUM(R9-Q9)</f>
        <v>21.639999999999986</v>
      </c>
      <c r="T9" s="220">
        <v>323.52999999999997</v>
      </c>
      <c r="U9" s="132"/>
      <c r="V9" s="169">
        <v>329.78</v>
      </c>
      <c r="W9" s="164">
        <v>324.08999999999997</v>
      </c>
      <c r="X9" s="164">
        <v>329.78</v>
      </c>
      <c r="Y9" s="133">
        <v>271.45999999999998</v>
      </c>
      <c r="Z9" s="133">
        <v>261.39999999999998</v>
      </c>
      <c r="AA9" s="133"/>
      <c r="AB9" s="131" t="s">
        <v>38</v>
      </c>
      <c r="AC9" s="193">
        <v>50000</v>
      </c>
      <c r="AE9" s="133">
        <v>357.59</v>
      </c>
      <c r="AF9" s="133">
        <v>478.63</v>
      </c>
      <c r="AG9" s="133">
        <v>363.53</v>
      </c>
    </row>
    <row r="10" spans="2:33" ht="13.8" x14ac:dyDescent="0.25">
      <c r="B10" s="124" t="s">
        <v>300</v>
      </c>
      <c r="C10" s="124" t="s">
        <v>299</v>
      </c>
      <c r="D10" s="248" t="s">
        <v>343</v>
      </c>
      <c r="E10" s="125" t="s">
        <v>280</v>
      </c>
      <c r="F10" s="125" t="s">
        <v>301</v>
      </c>
      <c r="G10" s="124" t="s">
        <v>219</v>
      </c>
      <c r="H10" s="126" t="s">
        <v>206</v>
      </c>
      <c r="I10" s="127">
        <v>6854</v>
      </c>
      <c r="J10" s="126" t="s">
        <v>74</v>
      </c>
      <c r="K10" s="128"/>
      <c r="L10" s="130">
        <v>41022</v>
      </c>
      <c r="M10" s="108">
        <v>30421</v>
      </c>
      <c r="N10" s="129">
        <f t="shared" ref="N10:N47" si="1">(YEAR($N$7)-YEAR(M10))</f>
        <v>29</v>
      </c>
      <c r="O10" s="131" t="s">
        <v>38</v>
      </c>
      <c r="P10" s="170"/>
      <c r="Q10" s="220">
        <v>301.89</v>
      </c>
      <c r="R10" s="220">
        <v>323.52999999999997</v>
      </c>
      <c r="S10" s="220">
        <f t="shared" si="0"/>
        <v>21.639999999999986</v>
      </c>
      <c r="T10" s="220">
        <v>323.52999999999997</v>
      </c>
      <c r="U10" s="132"/>
      <c r="V10" s="133">
        <v>329.78</v>
      </c>
      <c r="W10" s="164">
        <v>324.08999999999997</v>
      </c>
      <c r="X10" s="164">
        <v>329.78</v>
      </c>
      <c r="Y10" s="133">
        <v>271.45999999999998</v>
      </c>
      <c r="Z10" s="133">
        <v>261.39999999999998</v>
      </c>
      <c r="AA10" s="133"/>
      <c r="AB10" s="131" t="s">
        <v>38</v>
      </c>
      <c r="AC10" s="193">
        <v>50000</v>
      </c>
      <c r="AE10" s="133"/>
      <c r="AF10" s="133">
        <v>478.63</v>
      </c>
      <c r="AG10" s="133"/>
    </row>
    <row r="11" spans="2:33" ht="13.8" x14ac:dyDescent="0.25">
      <c r="B11" s="124" t="s">
        <v>133</v>
      </c>
      <c r="C11" s="124" t="s">
        <v>102</v>
      </c>
      <c r="D11" s="248" t="s">
        <v>344</v>
      </c>
      <c r="E11" s="125" t="s">
        <v>294</v>
      </c>
      <c r="F11" s="125" t="s">
        <v>228</v>
      </c>
      <c r="G11" s="124" t="s">
        <v>225</v>
      </c>
      <c r="H11" s="126" t="s">
        <v>205</v>
      </c>
      <c r="I11" s="127">
        <v>30308</v>
      </c>
      <c r="J11" s="126" t="s">
        <v>75</v>
      </c>
      <c r="K11" s="128">
        <v>114000</v>
      </c>
      <c r="L11" s="130">
        <v>38596</v>
      </c>
      <c r="M11" s="108">
        <v>27811</v>
      </c>
      <c r="N11" s="129">
        <f t="shared" si="1"/>
        <v>36</v>
      </c>
      <c r="O11" s="131" t="s">
        <v>252</v>
      </c>
      <c r="P11" s="132">
        <v>1642.79</v>
      </c>
      <c r="Q11" s="220">
        <v>1727.75</v>
      </c>
      <c r="R11" s="220">
        <v>1851.65</v>
      </c>
      <c r="S11" s="220">
        <f t="shared" si="0"/>
        <v>123.90000000000009</v>
      </c>
      <c r="T11" s="220">
        <v>1727.75</v>
      </c>
      <c r="U11" s="132"/>
      <c r="V11" s="133">
        <v>1854.87</v>
      </c>
      <c r="W11" s="164">
        <v>1854.87</v>
      </c>
      <c r="X11" s="164">
        <v>1887.47</v>
      </c>
      <c r="Y11" s="133">
        <v>1544.25</v>
      </c>
      <c r="Z11" s="133">
        <v>1527.54</v>
      </c>
      <c r="AA11" s="133"/>
      <c r="AB11" s="131" t="s">
        <v>252</v>
      </c>
      <c r="AC11" s="193">
        <v>50000</v>
      </c>
      <c r="AE11" s="133">
        <v>2046.56</v>
      </c>
      <c r="AF11" s="133">
        <v>1364.08</v>
      </c>
      <c r="AG11" s="133">
        <v>2080.52</v>
      </c>
    </row>
    <row r="12" spans="2:33" ht="13.8" x14ac:dyDescent="0.25">
      <c r="B12" s="125" t="s">
        <v>130</v>
      </c>
      <c r="C12" s="125" t="s">
        <v>99</v>
      </c>
      <c r="D12" s="248" t="s">
        <v>345</v>
      </c>
      <c r="E12" s="125" t="s">
        <v>281</v>
      </c>
      <c r="F12" s="125" t="s">
        <v>229</v>
      </c>
      <c r="G12" s="125" t="s">
        <v>214</v>
      </c>
      <c r="H12" s="153" t="s">
        <v>204</v>
      </c>
      <c r="I12" s="154">
        <v>10027</v>
      </c>
      <c r="J12" s="126" t="s">
        <v>74</v>
      </c>
      <c r="K12" s="128">
        <v>105000</v>
      </c>
      <c r="L12" s="155">
        <v>40623</v>
      </c>
      <c r="M12" s="155">
        <v>27464</v>
      </c>
      <c r="N12" s="129">
        <f t="shared" si="1"/>
        <v>37</v>
      </c>
      <c r="O12" s="131" t="s">
        <v>38</v>
      </c>
      <c r="P12" s="132">
        <v>300.36</v>
      </c>
      <c r="Q12" s="220">
        <v>329.78</v>
      </c>
      <c r="R12" s="220">
        <v>431.15</v>
      </c>
      <c r="S12" s="220">
        <f t="shared" si="0"/>
        <v>101.37</v>
      </c>
      <c r="T12" s="220">
        <v>402.3</v>
      </c>
      <c r="U12" s="132"/>
      <c r="V12" s="133">
        <v>431.88</v>
      </c>
      <c r="W12" s="164">
        <v>431.88</v>
      </c>
      <c r="X12" s="164">
        <v>439.47</v>
      </c>
      <c r="Y12" s="133">
        <v>360.92</v>
      </c>
      <c r="Z12" s="133">
        <v>360.56</v>
      </c>
      <c r="AA12" s="133"/>
      <c r="AB12" s="131" t="s">
        <v>38</v>
      </c>
      <c r="AC12" s="193">
        <v>50000</v>
      </c>
      <c r="AE12" s="133">
        <v>476.53</v>
      </c>
      <c r="AF12" s="133">
        <v>478.63</v>
      </c>
      <c r="AG12" s="133">
        <v>484.44</v>
      </c>
    </row>
    <row r="13" spans="2:33" ht="27.6" x14ac:dyDescent="0.25">
      <c r="B13" s="124" t="s">
        <v>124</v>
      </c>
      <c r="C13" s="124" t="s">
        <v>93</v>
      </c>
      <c r="D13" s="248" t="s">
        <v>346</v>
      </c>
      <c r="E13" s="125" t="s">
        <v>290</v>
      </c>
      <c r="F13" s="125" t="s">
        <v>230</v>
      </c>
      <c r="G13" s="124" t="s">
        <v>217</v>
      </c>
      <c r="H13" s="126" t="s">
        <v>206</v>
      </c>
      <c r="I13" s="127">
        <v>6902</v>
      </c>
      <c r="J13" s="126" t="s">
        <v>75</v>
      </c>
      <c r="K13" s="128">
        <v>135000</v>
      </c>
      <c r="L13" s="130">
        <v>40360</v>
      </c>
      <c r="M13" s="108">
        <v>17465</v>
      </c>
      <c r="N13" s="129">
        <f t="shared" si="1"/>
        <v>65</v>
      </c>
      <c r="O13" s="131" t="s">
        <v>254</v>
      </c>
      <c r="P13" s="132">
        <v>2409.09</v>
      </c>
      <c r="Q13" s="220">
        <v>2533.67</v>
      </c>
      <c r="R13" s="220">
        <v>2715.36</v>
      </c>
      <c r="S13" s="220">
        <f t="shared" si="0"/>
        <v>181.69000000000005</v>
      </c>
      <c r="T13" s="220">
        <v>2533.67</v>
      </c>
      <c r="U13" s="132"/>
      <c r="V13" s="133">
        <v>2693.31</v>
      </c>
      <c r="W13" s="164">
        <v>2693.31</v>
      </c>
      <c r="X13" s="164">
        <v>2740.65</v>
      </c>
      <c r="Y13" s="133">
        <v>1218.77</v>
      </c>
      <c r="Z13" s="133">
        <v>2840.56</v>
      </c>
      <c r="AA13" s="133"/>
      <c r="AB13" s="131" t="s">
        <v>254</v>
      </c>
      <c r="AC13" s="193">
        <v>25000</v>
      </c>
      <c r="AE13" s="133">
        <v>3001.21</v>
      </c>
      <c r="AF13" s="133">
        <v>909.38</v>
      </c>
      <c r="AG13" s="133">
        <v>3051.01</v>
      </c>
    </row>
    <row r="14" spans="2:33" ht="13.8" x14ac:dyDescent="0.25">
      <c r="B14" s="124" t="s">
        <v>108</v>
      </c>
      <c r="C14" s="124" t="s">
        <v>78</v>
      </c>
      <c r="D14" s="248" t="s">
        <v>347</v>
      </c>
      <c r="E14" s="125" t="s">
        <v>279</v>
      </c>
      <c r="F14" s="125" t="s">
        <v>231</v>
      </c>
      <c r="G14" s="124" t="s">
        <v>215</v>
      </c>
      <c r="H14" s="126" t="s">
        <v>206</v>
      </c>
      <c r="I14" s="127">
        <v>6840</v>
      </c>
      <c r="J14" s="126" t="s">
        <v>74</v>
      </c>
      <c r="K14" s="128">
        <v>76999.92</v>
      </c>
      <c r="L14" s="130">
        <v>39930</v>
      </c>
      <c r="M14" s="108">
        <v>25025</v>
      </c>
      <c r="N14" s="129">
        <f t="shared" si="1"/>
        <v>44</v>
      </c>
      <c r="O14" s="131" t="s">
        <v>252</v>
      </c>
      <c r="P14" s="132">
        <v>1751.07</v>
      </c>
      <c r="Q14" s="220">
        <v>1841.64</v>
      </c>
      <c r="R14" s="220">
        <v>1973.71</v>
      </c>
      <c r="S14" s="220">
        <f t="shared" si="0"/>
        <v>132.06999999999994</v>
      </c>
      <c r="T14" s="220">
        <v>1841.64</v>
      </c>
      <c r="U14" s="132"/>
      <c r="V14" s="133">
        <v>1977.12</v>
      </c>
      <c r="W14" s="164">
        <v>1977.12</v>
      </c>
      <c r="X14" s="164">
        <v>2011.87</v>
      </c>
      <c r="Y14" s="133">
        <v>1645.7</v>
      </c>
      <c r="Z14" s="133">
        <v>1654.37</v>
      </c>
      <c r="AA14" s="133"/>
      <c r="AB14" s="131" t="s">
        <v>252</v>
      </c>
      <c r="AC14" s="193">
        <v>50000</v>
      </c>
      <c r="AE14" s="133">
        <v>2181.48</v>
      </c>
      <c r="AF14" s="133">
        <v>1364.08</v>
      </c>
      <c r="AG14" s="133">
        <v>2217.67</v>
      </c>
    </row>
    <row r="15" spans="2:33" ht="13.8" x14ac:dyDescent="0.25">
      <c r="B15" s="124" t="s">
        <v>117</v>
      </c>
      <c r="C15" s="124" t="s">
        <v>88</v>
      </c>
      <c r="D15" s="248" t="s">
        <v>348</v>
      </c>
      <c r="E15" s="125" t="s">
        <v>280</v>
      </c>
      <c r="F15" s="125" t="s">
        <v>232</v>
      </c>
      <c r="G15" s="124" t="s">
        <v>216</v>
      </c>
      <c r="H15" s="126" t="s">
        <v>204</v>
      </c>
      <c r="I15" s="127">
        <v>11530</v>
      </c>
      <c r="J15" s="126" t="s">
        <v>74</v>
      </c>
      <c r="K15" s="128">
        <v>54999.839999999997</v>
      </c>
      <c r="L15" s="130">
        <v>40294</v>
      </c>
      <c r="M15" s="108">
        <v>31585</v>
      </c>
      <c r="N15" s="129">
        <f t="shared" si="1"/>
        <v>26</v>
      </c>
      <c r="O15" s="131" t="s">
        <v>38</v>
      </c>
      <c r="P15" s="132">
        <v>287.04000000000002</v>
      </c>
      <c r="Q15" s="220">
        <v>301.89</v>
      </c>
      <c r="R15" s="220">
        <v>323.52999999999997</v>
      </c>
      <c r="S15" s="220">
        <f t="shared" si="0"/>
        <v>21.639999999999986</v>
      </c>
      <c r="T15" s="220">
        <v>301.89</v>
      </c>
      <c r="U15" s="132"/>
      <c r="V15" s="133">
        <v>324.08999999999997</v>
      </c>
      <c r="W15" s="164">
        <v>324.08999999999997</v>
      </c>
      <c r="X15" s="164">
        <v>329.78</v>
      </c>
      <c r="Y15" s="133">
        <v>271.45999999999998</v>
      </c>
      <c r="Z15" s="133">
        <v>261.39999999999998</v>
      </c>
      <c r="AA15" s="133"/>
      <c r="AB15" s="131" t="s">
        <v>38</v>
      </c>
      <c r="AC15" s="193">
        <v>50000</v>
      </c>
      <c r="AE15" s="133">
        <v>357.59</v>
      </c>
      <c r="AF15" s="133">
        <v>478.63</v>
      </c>
      <c r="AG15" s="133">
        <v>363.53</v>
      </c>
    </row>
    <row r="16" spans="2:33" ht="13.8" x14ac:dyDescent="0.25">
      <c r="B16" s="124" t="s">
        <v>135</v>
      </c>
      <c r="C16" s="124" t="s">
        <v>104</v>
      </c>
      <c r="D16" s="248" t="s">
        <v>349</v>
      </c>
      <c r="E16" s="125" t="s">
        <v>278</v>
      </c>
      <c r="F16" s="125" t="s">
        <v>233</v>
      </c>
      <c r="G16" s="124" t="s">
        <v>218</v>
      </c>
      <c r="H16" s="126" t="s">
        <v>206</v>
      </c>
      <c r="I16" s="127">
        <v>6901</v>
      </c>
      <c r="J16" s="126" t="s">
        <v>74</v>
      </c>
      <c r="K16" s="128">
        <v>82500</v>
      </c>
      <c r="L16" s="130">
        <v>39896</v>
      </c>
      <c r="M16" s="108">
        <v>26286</v>
      </c>
      <c r="N16" s="129">
        <f t="shared" si="1"/>
        <v>41</v>
      </c>
      <c r="O16" s="131" t="s">
        <v>252</v>
      </c>
      <c r="P16" s="132">
        <v>1642.79</v>
      </c>
      <c r="Q16" s="220">
        <v>1727.75</v>
      </c>
      <c r="R16" s="220">
        <v>1851.65</v>
      </c>
      <c r="S16" s="220">
        <f t="shared" si="0"/>
        <v>123.90000000000009</v>
      </c>
      <c r="T16" s="220">
        <v>1727.75</v>
      </c>
      <c r="U16" s="132"/>
      <c r="V16" s="133">
        <v>1977.12</v>
      </c>
      <c r="W16" s="164">
        <v>1977.12</v>
      </c>
      <c r="X16" s="164">
        <v>2011.87</v>
      </c>
      <c r="Y16" s="133">
        <v>1645.7</v>
      </c>
      <c r="Z16" s="133">
        <v>1654.37</v>
      </c>
      <c r="AA16" s="133"/>
      <c r="AB16" s="131" t="s">
        <v>252</v>
      </c>
      <c r="AC16" s="193">
        <v>50000</v>
      </c>
      <c r="AE16" s="133">
        <v>2046.56</v>
      </c>
      <c r="AF16" s="133">
        <v>1364.08</v>
      </c>
      <c r="AG16" s="133">
        <v>2080.52</v>
      </c>
    </row>
    <row r="17" spans="2:33" ht="13.8" x14ac:dyDescent="0.25">
      <c r="B17" s="124" t="s">
        <v>110</v>
      </c>
      <c r="C17" s="124" t="s">
        <v>80</v>
      </c>
      <c r="D17" s="248" t="s">
        <v>350</v>
      </c>
      <c r="E17" s="125" t="s">
        <v>196</v>
      </c>
      <c r="F17" s="125" t="s">
        <v>234</v>
      </c>
      <c r="G17" s="124" t="s">
        <v>217</v>
      </c>
      <c r="H17" s="126" t="s">
        <v>206</v>
      </c>
      <c r="I17" s="127">
        <v>6905</v>
      </c>
      <c r="J17" s="126" t="s">
        <v>75</v>
      </c>
      <c r="K17" s="128">
        <v>55000</v>
      </c>
      <c r="L17" s="130">
        <v>40735</v>
      </c>
      <c r="M17" s="109">
        <v>29023</v>
      </c>
      <c r="N17" s="129">
        <f t="shared" si="1"/>
        <v>33</v>
      </c>
      <c r="O17" s="131" t="s">
        <v>252</v>
      </c>
      <c r="P17" s="170"/>
      <c r="Q17" s="220"/>
      <c r="R17" s="220"/>
      <c r="S17" s="220"/>
      <c r="T17" s="220">
        <v>1727.75</v>
      </c>
      <c r="U17" s="132"/>
      <c r="V17" s="133">
        <v>1854.87</v>
      </c>
      <c r="W17" s="164">
        <v>1854.87</v>
      </c>
      <c r="X17" s="164">
        <v>1887.47</v>
      </c>
      <c r="Y17" s="133">
        <v>1544.25</v>
      </c>
      <c r="Z17" s="133">
        <v>1465.23</v>
      </c>
      <c r="AA17" s="133"/>
      <c r="AB17" s="131" t="s">
        <v>252</v>
      </c>
      <c r="AC17" s="193">
        <v>50000</v>
      </c>
      <c r="AE17" s="133"/>
      <c r="AF17" s="133">
        <v>1364.08</v>
      </c>
      <c r="AG17" s="133"/>
    </row>
    <row r="18" spans="2:33" ht="13.8" x14ac:dyDescent="0.25">
      <c r="B18" s="256" t="s">
        <v>379</v>
      </c>
      <c r="C18" s="256" t="s">
        <v>380</v>
      </c>
      <c r="D18" s="271" t="s">
        <v>378</v>
      </c>
      <c r="E18" s="266" t="s">
        <v>280</v>
      </c>
      <c r="F18" s="267" t="s">
        <v>381</v>
      </c>
      <c r="G18" s="267" t="s">
        <v>214</v>
      </c>
      <c r="H18" s="255" t="s">
        <v>204</v>
      </c>
      <c r="I18" s="267">
        <v>10012</v>
      </c>
      <c r="J18" s="269" t="s">
        <v>75</v>
      </c>
      <c r="K18" s="253">
        <v>65000</v>
      </c>
      <c r="L18" s="254">
        <v>41141</v>
      </c>
      <c r="M18" s="254">
        <v>32166</v>
      </c>
      <c r="N18" s="255">
        <f t="shared" si="1"/>
        <v>24</v>
      </c>
      <c r="O18" s="267" t="s">
        <v>38</v>
      </c>
      <c r="P18" s="267"/>
      <c r="Q18" s="220">
        <v>301.89</v>
      </c>
      <c r="R18" s="267"/>
      <c r="S18" s="267"/>
      <c r="T18" s="268"/>
      <c r="U18" s="268"/>
      <c r="V18" s="267"/>
      <c r="W18" s="267"/>
      <c r="X18" s="267"/>
      <c r="Y18" s="267"/>
      <c r="Z18" s="267"/>
      <c r="AA18" s="267"/>
      <c r="AB18" s="131" t="s">
        <v>38</v>
      </c>
      <c r="AC18" s="193">
        <v>50000</v>
      </c>
      <c r="AE18" s="133">
        <v>476.53</v>
      </c>
      <c r="AF18" s="133">
        <v>478.63</v>
      </c>
      <c r="AG18" s="5"/>
    </row>
    <row r="19" spans="2:33" ht="13.8" x14ac:dyDescent="0.25">
      <c r="B19" s="134" t="s">
        <v>188</v>
      </c>
      <c r="C19" s="134" t="s">
        <v>187</v>
      </c>
      <c r="D19" s="247" t="s">
        <v>351</v>
      </c>
      <c r="E19" s="135" t="s">
        <v>282</v>
      </c>
      <c r="F19" s="135" t="s">
        <v>293</v>
      </c>
      <c r="G19" s="134" t="s">
        <v>218</v>
      </c>
      <c r="H19" s="136" t="s">
        <v>206</v>
      </c>
      <c r="I19" s="137">
        <v>6820</v>
      </c>
      <c r="J19" s="136" t="s">
        <v>74</v>
      </c>
      <c r="K19" s="138">
        <v>250000</v>
      </c>
      <c r="L19" s="140">
        <v>37987</v>
      </c>
      <c r="M19" s="257">
        <v>20028</v>
      </c>
      <c r="N19" s="139">
        <f t="shared" si="1"/>
        <v>58</v>
      </c>
      <c r="O19" s="141" t="s">
        <v>253</v>
      </c>
      <c r="P19" s="142">
        <v>0</v>
      </c>
      <c r="Q19" s="221">
        <v>0</v>
      </c>
      <c r="R19" s="221">
        <v>0</v>
      </c>
      <c r="S19" s="221">
        <v>0</v>
      </c>
      <c r="T19" s="221">
        <v>0</v>
      </c>
      <c r="U19" s="142"/>
      <c r="V19" s="143">
        <v>0</v>
      </c>
      <c r="W19" s="143">
        <v>0</v>
      </c>
      <c r="X19" s="143">
        <v>0</v>
      </c>
      <c r="Y19" s="143">
        <v>0</v>
      </c>
      <c r="Z19" s="143">
        <v>0</v>
      </c>
      <c r="AA19" s="218"/>
      <c r="AB19" s="141" t="s">
        <v>253</v>
      </c>
      <c r="AC19" s="193">
        <v>50000</v>
      </c>
      <c r="AE19" s="143">
        <v>0</v>
      </c>
      <c r="AF19" s="143">
        <v>0</v>
      </c>
      <c r="AG19" s="143">
        <v>0</v>
      </c>
    </row>
    <row r="20" spans="2:33" ht="13.8" x14ac:dyDescent="0.25">
      <c r="B20" s="144" t="s">
        <v>118</v>
      </c>
      <c r="C20" s="144" t="s">
        <v>88</v>
      </c>
      <c r="D20" s="248" t="s">
        <v>352</v>
      </c>
      <c r="E20" s="145" t="s">
        <v>282</v>
      </c>
      <c r="F20" s="145" t="s">
        <v>235</v>
      </c>
      <c r="G20" s="144" t="s">
        <v>220</v>
      </c>
      <c r="H20" s="146" t="s">
        <v>207</v>
      </c>
      <c r="I20" s="147">
        <v>92176</v>
      </c>
      <c r="J20" s="146" t="s">
        <v>74</v>
      </c>
      <c r="K20" s="148">
        <v>250000</v>
      </c>
      <c r="L20" s="150">
        <v>38808</v>
      </c>
      <c r="M20" s="258">
        <v>20275</v>
      </c>
      <c r="N20" s="149">
        <f t="shared" si="1"/>
        <v>57</v>
      </c>
      <c r="O20" s="141" t="s">
        <v>38</v>
      </c>
      <c r="P20" s="142">
        <v>1083.46</v>
      </c>
      <c r="Q20" s="221">
        <v>1139.48</v>
      </c>
      <c r="R20" s="221">
        <v>1221.19</v>
      </c>
      <c r="S20" s="221">
        <v>81.710000000000036</v>
      </c>
      <c r="T20" s="221">
        <v>1139.48</v>
      </c>
      <c r="U20" s="142"/>
      <c r="V20" s="143">
        <v>1223.31</v>
      </c>
      <c r="W20" s="152">
        <v>1223.31</v>
      </c>
      <c r="X20" s="152">
        <v>1244.81</v>
      </c>
      <c r="Y20" s="143">
        <v>1017.64</v>
      </c>
      <c r="Z20" s="143">
        <v>1051.22</v>
      </c>
      <c r="AA20" s="218"/>
      <c r="AB20" s="151" t="s">
        <v>38</v>
      </c>
      <c r="AC20" s="193">
        <v>50000</v>
      </c>
      <c r="AE20" s="143">
        <v>1349.74</v>
      </c>
      <c r="AF20" s="143">
        <v>478.63</v>
      </c>
      <c r="AG20" s="143">
        <v>1372.14</v>
      </c>
    </row>
    <row r="21" spans="2:33" ht="27.6" x14ac:dyDescent="0.25">
      <c r="B21" s="134" t="s">
        <v>186</v>
      </c>
      <c r="C21" s="134" t="s">
        <v>185</v>
      </c>
      <c r="D21" s="247" t="s">
        <v>351</v>
      </c>
      <c r="E21" s="135" t="s">
        <v>189</v>
      </c>
      <c r="F21" s="135" t="s">
        <v>289</v>
      </c>
      <c r="G21" s="134" t="s">
        <v>218</v>
      </c>
      <c r="H21" s="136" t="s">
        <v>206</v>
      </c>
      <c r="I21" s="137">
        <v>6820</v>
      </c>
      <c r="J21" s="136" t="s">
        <v>75</v>
      </c>
      <c r="K21" s="138">
        <v>250000</v>
      </c>
      <c r="L21" s="140">
        <v>37987</v>
      </c>
      <c r="M21" s="257">
        <v>22204</v>
      </c>
      <c r="N21" s="139">
        <f t="shared" si="1"/>
        <v>52</v>
      </c>
      <c r="O21" s="141" t="s">
        <v>253</v>
      </c>
      <c r="P21" s="142">
        <v>0</v>
      </c>
      <c r="Q21" s="221">
        <v>0</v>
      </c>
      <c r="R21" s="221">
        <v>0</v>
      </c>
      <c r="S21" s="221">
        <v>0</v>
      </c>
      <c r="T21" s="221">
        <v>0</v>
      </c>
      <c r="U21" s="142"/>
      <c r="V21" s="143">
        <v>0</v>
      </c>
      <c r="W21" s="143">
        <v>0</v>
      </c>
      <c r="X21" s="143">
        <v>0</v>
      </c>
      <c r="Y21" s="143">
        <v>0</v>
      </c>
      <c r="Z21" s="143">
        <v>0</v>
      </c>
      <c r="AA21" s="218"/>
      <c r="AB21" s="141" t="s">
        <v>253</v>
      </c>
      <c r="AC21" s="193">
        <v>50000</v>
      </c>
      <c r="AE21" s="143">
        <v>0</v>
      </c>
      <c r="AF21" s="143">
        <v>0</v>
      </c>
      <c r="AG21" s="143">
        <v>0</v>
      </c>
    </row>
    <row r="22" spans="2:33" ht="13.8" x14ac:dyDescent="0.25">
      <c r="B22" s="124" t="s">
        <v>114</v>
      </c>
      <c r="C22" s="124" t="s">
        <v>85</v>
      </c>
      <c r="D22" s="248" t="s">
        <v>353</v>
      </c>
      <c r="E22" s="125" t="s">
        <v>278</v>
      </c>
      <c r="F22" s="125" t="s">
        <v>211</v>
      </c>
      <c r="G22" s="124" t="s">
        <v>221</v>
      </c>
      <c r="H22" s="126" t="s">
        <v>208</v>
      </c>
      <c r="I22" s="127">
        <v>60091</v>
      </c>
      <c r="J22" s="126" t="s">
        <v>75</v>
      </c>
      <c r="K22" s="128">
        <v>108000</v>
      </c>
      <c r="L22" s="130">
        <v>39736</v>
      </c>
      <c r="M22" s="108">
        <v>26656</v>
      </c>
      <c r="N22" s="129">
        <f t="shared" si="1"/>
        <v>40</v>
      </c>
      <c r="O22" s="131" t="s">
        <v>252</v>
      </c>
      <c r="P22" s="132">
        <v>1642.79</v>
      </c>
      <c r="Q22" s="220">
        <v>1727.75</v>
      </c>
      <c r="R22" s="220">
        <v>1851.65</v>
      </c>
      <c r="S22" s="220">
        <v>123.90000000000009</v>
      </c>
      <c r="T22" s="220">
        <v>1727.75</v>
      </c>
      <c r="U22" s="132"/>
      <c r="V22" s="133">
        <v>1854.87</v>
      </c>
      <c r="W22" s="164">
        <v>1854.87</v>
      </c>
      <c r="X22" s="164">
        <v>1887.47</v>
      </c>
      <c r="Y22" s="133">
        <v>1544.25</v>
      </c>
      <c r="Z22" s="133">
        <v>1527.54</v>
      </c>
      <c r="AA22" s="133"/>
      <c r="AB22" s="131" t="s">
        <v>38</v>
      </c>
      <c r="AC22" s="193">
        <v>50000</v>
      </c>
      <c r="AE22" s="133">
        <v>2046.56</v>
      </c>
      <c r="AF22" s="133">
        <v>1364.08</v>
      </c>
      <c r="AG22" s="133">
        <v>2080.52</v>
      </c>
    </row>
    <row r="23" spans="2:33" ht="13.8" x14ac:dyDescent="0.25">
      <c r="B23" s="124" t="s">
        <v>106</v>
      </c>
      <c r="C23" s="124" t="s">
        <v>105</v>
      </c>
      <c r="D23" s="248" t="s">
        <v>354</v>
      </c>
      <c r="E23" s="125" t="s">
        <v>280</v>
      </c>
      <c r="F23" s="125" t="s">
        <v>250</v>
      </c>
      <c r="G23" s="124" t="s">
        <v>222</v>
      </c>
      <c r="H23" s="126" t="s">
        <v>204</v>
      </c>
      <c r="I23" s="127">
        <v>11238</v>
      </c>
      <c r="J23" s="126" t="s">
        <v>75</v>
      </c>
      <c r="K23" s="128">
        <v>64000</v>
      </c>
      <c r="L23" s="130">
        <v>40602</v>
      </c>
      <c r="M23" s="108">
        <v>31251</v>
      </c>
      <c r="N23" s="129">
        <f t="shared" si="1"/>
        <v>27</v>
      </c>
      <c r="O23" s="131" t="s">
        <v>38</v>
      </c>
      <c r="P23" s="132">
        <v>551.01</v>
      </c>
      <c r="Q23" s="220">
        <v>579.51</v>
      </c>
      <c r="R23" s="220">
        <v>621.07000000000005</v>
      </c>
      <c r="S23" s="220">
        <v>41.560000000000059</v>
      </c>
      <c r="T23" s="220">
        <v>579.51</v>
      </c>
      <c r="U23" s="132"/>
      <c r="V23" s="133">
        <v>622.15</v>
      </c>
      <c r="W23" s="164">
        <v>622.15</v>
      </c>
      <c r="X23" s="164">
        <v>633.09</v>
      </c>
      <c r="Y23" s="133">
        <v>518.78</v>
      </c>
      <c r="Z23" s="133">
        <v>438.47</v>
      </c>
      <c r="AA23" s="133"/>
      <c r="AB23" s="131" t="s">
        <v>38</v>
      </c>
      <c r="AC23" s="193">
        <v>50000</v>
      </c>
      <c r="AE23" s="133">
        <v>686.44</v>
      </c>
      <c r="AF23" s="133">
        <v>478.63</v>
      </c>
      <c r="AG23" s="133">
        <v>697.83</v>
      </c>
    </row>
    <row r="24" spans="2:33" ht="27.6" x14ac:dyDescent="0.25">
      <c r="B24" s="206" t="s">
        <v>193</v>
      </c>
      <c r="C24" s="206" t="s">
        <v>192</v>
      </c>
      <c r="D24" s="248" t="s">
        <v>355</v>
      </c>
      <c r="E24" s="207" t="s">
        <v>290</v>
      </c>
      <c r="F24" s="207" t="s">
        <v>260</v>
      </c>
      <c r="G24" s="206" t="s">
        <v>217</v>
      </c>
      <c r="H24" s="208" t="s">
        <v>206</v>
      </c>
      <c r="I24" s="209">
        <v>6902</v>
      </c>
      <c r="J24" s="208" t="s">
        <v>74</v>
      </c>
      <c r="K24" s="210">
        <v>150000</v>
      </c>
      <c r="L24" s="211">
        <v>40805</v>
      </c>
      <c r="M24" s="259">
        <v>19909</v>
      </c>
      <c r="N24" s="212">
        <f t="shared" si="1"/>
        <v>58</v>
      </c>
      <c r="O24" s="213" t="s">
        <v>252</v>
      </c>
      <c r="P24" s="214">
        <v>0</v>
      </c>
      <c r="Q24" s="222">
        <v>2526.02</v>
      </c>
      <c r="R24" s="222">
        <v>2778.47</v>
      </c>
      <c r="S24" s="223">
        <f>SUM(R24-Q24)</f>
        <v>252.44999999999982</v>
      </c>
      <c r="T24" s="223">
        <v>2574.12</v>
      </c>
      <c r="U24" s="214"/>
      <c r="V24" s="215">
        <v>2763.48</v>
      </c>
      <c r="W24" s="215">
        <v>2763.48</v>
      </c>
      <c r="X24" s="215">
        <v>2812.05</v>
      </c>
      <c r="Y24" s="216">
        <v>2298.2399999999998</v>
      </c>
      <c r="Z24" s="216">
        <v>2395.9699999999998</v>
      </c>
      <c r="AA24" s="218"/>
      <c r="AB24" s="213" t="s">
        <v>252</v>
      </c>
      <c r="AC24" s="217">
        <v>50000</v>
      </c>
      <c r="AE24" s="168">
        <v>0</v>
      </c>
      <c r="AF24" s="168">
        <v>1364.08</v>
      </c>
      <c r="AG24" s="168">
        <v>0</v>
      </c>
    </row>
    <row r="25" spans="2:33" ht="41.4" x14ac:dyDescent="0.25">
      <c r="B25" s="124" t="s">
        <v>113</v>
      </c>
      <c r="C25" s="124" t="s">
        <v>83</v>
      </c>
      <c r="D25" s="248" t="s">
        <v>356</v>
      </c>
      <c r="E25" s="125" t="s">
        <v>194</v>
      </c>
      <c r="F25" s="125" t="s">
        <v>249</v>
      </c>
      <c r="G25" s="124" t="s">
        <v>214</v>
      </c>
      <c r="H25" s="126" t="s">
        <v>204</v>
      </c>
      <c r="I25" s="127">
        <v>10024</v>
      </c>
      <c r="J25" s="126" t="s">
        <v>74</v>
      </c>
      <c r="K25" s="128">
        <v>137499.84</v>
      </c>
      <c r="L25" s="130">
        <v>39995</v>
      </c>
      <c r="M25" s="108">
        <v>26886</v>
      </c>
      <c r="N25" s="129">
        <f t="shared" si="1"/>
        <v>39</v>
      </c>
      <c r="O25" s="131" t="s">
        <v>38</v>
      </c>
      <c r="P25" s="132">
        <v>382.51</v>
      </c>
      <c r="Q25" s="220">
        <v>402.3</v>
      </c>
      <c r="R25" s="220">
        <v>431.15</v>
      </c>
      <c r="S25" s="220">
        <v>28.849999999999966</v>
      </c>
      <c r="T25" s="220">
        <v>402.3</v>
      </c>
      <c r="U25" s="132"/>
      <c r="V25" s="133">
        <v>431.88</v>
      </c>
      <c r="W25" s="164">
        <v>431.88</v>
      </c>
      <c r="X25" s="164">
        <v>439.47</v>
      </c>
      <c r="Y25" s="133">
        <v>360.92</v>
      </c>
      <c r="Z25" s="133">
        <v>360.56</v>
      </c>
      <c r="AA25" s="133"/>
      <c r="AB25" s="131" t="s">
        <v>38</v>
      </c>
      <c r="AC25" s="193">
        <v>50000</v>
      </c>
      <c r="AE25" s="133">
        <v>476.53</v>
      </c>
      <c r="AF25" s="133">
        <v>478.63</v>
      </c>
      <c r="AG25" s="133">
        <v>484.44</v>
      </c>
    </row>
    <row r="26" spans="2:33" ht="13.8" x14ac:dyDescent="0.25">
      <c r="B26" s="276" t="s">
        <v>115</v>
      </c>
      <c r="C26" s="276" t="s">
        <v>86</v>
      </c>
      <c r="D26" s="277" t="s">
        <v>357</v>
      </c>
      <c r="E26" s="278" t="s">
        <v>281</v>
      </c>
      <c r="F26" s="278" t="s">
        <v>248</v>
      </c>
      <c r="G26" s="276" t="s">
        <v>223</v>
      </c>
      <c r="H26" s="279" t="s">
        <v>204</v>
      </c>
      <c r="I26" s="280">
        <v>11374</v>
      </c>
      <c r="J26" s="279" t="s">
        <v>75</v>
      </c>
      <c r="K26" s="281">
        <v>80250</v>
      </c>
      <c r="L26" s="282">
        <v>40217</v>
      </c>
      <c r="M26" s="283">
        <v>29200</v>
      </c>
      <c r="N26" s="284">
        <f t="shared" si="1"/>
        <v>33</v>
      </c>
      <c r="O26" s="285" t="s">
        <v>38</v>
      </c>
      <c r="P26" s="286">
        <v>616.37</v>
      </c>
      <c r="Q26" s="287">
        <v>648.26</v>
      </c>
      <c r="R26" s="287">
        <v>694.74</v>
      </c>
      <c r="S26" s="287">
        <v>46.480000000000018</v>
      </c>
      <c r="T26" s="287">
        <v>648.26</v>
      </c>
      <c r="U26" s="286"/>
      <c r="V26" s="288">
        <v>695.94</v>
      </c>
      <c r="W26" s="289">
        <v>695.94</v>
      </c>
      <c r="X26" s="289">
        <v>708.17</v>
      </c>
      <c r="Y26" s="288">
        <v>360.92</v>
      </c>
      <c r="Z26" s="288">
        <v>491.78</v>
      </c>
      <c r="AA26" s="288"/>
      <c r="AB26" s="285" t="s">
        <v>38</v>
      </c>
      <c r="AC26" s="290">
        <v>50000</v>
      </c>
      <c r="AD26" s="291"/>
      <c r="AE26" s="288">
        <v>767.87</v>
      </c>
      <c r="AF26" s="288">
        <v>478.63</v>
      </c>
      <c r="AG26" s="288">
        <v>780.6</v>
      </c>
    </row>
    <row r="27" spans="2:33" ht="13.8" x14ac:dyDescent="0.25">
      <c r="B27" s="124" t="s">
        <v>138</v>
      </c>
      <c r="C27" s="124" t="s">
        <v>84</v>
      </c>
      <c r="D27" s="248" t="s">
        <v>358</v>
      </c>
      <c r="E27" s="125" t="s">
        <v>280</v>
      </c>
      <c r="F27" s="125" t="s">
        <v>212</v>
      </c>
      <c r="G27" s="124" t="s">
        <v>219</v>
      </c>
      <c r="H27" s="126" t="s">
        <v>206</v>
      </c>
      <c r="I27" s="127">
        <v>6854</v>
      </c>
      <c r="J27" s="126" t="s">
        <v>74</v>
      </c>
      <c r="K27" s="128">
        <v>60000</v>
      </c>
      <c r="L27" s="130">
        <v>40592</v>
      </c>
      <c r="M27" s="108">
        <v>31985</v>
      </c>
      <c r="N27" s="129">
        <f t="shared" si="1"/>
        <v>25</v>
      </c>
      <c r="O27" s="131" t="s">
        <v>38</v>
      </c>
      <c r="P27" s="132">
        <v>287.04000000000002</v>
      </c>
      <c r="Q27" s="220">
        <v>301.89</v>
      </c>
      <c r="R27" s="220">
        <v>323.52999999999997</v>
      </c>
      <c r="S27" s="220">
        <v>21.639999999999986</v>
      </c>
      <c r="T27" s="220">
        <v>301.89</v>
      </c>
      <c r="U27" s="132"/>
      <c r="V27" s="133">
        <v>324.08999999999997</v>
      </c>
      <c r="W27" s="164">
        <v>324.08999999999997</v>
      </c>
      <c r="X27" s="164">
        <v>329.78</v>
      </c>
      <c r="Y27" s="133">
        <v>271.45999999999998</v>
      </c>
      <c r="Z27" s="133">
        <v>261.39999999999998</v>
      </c>
      <c r="AA27" s="133"/>
      <c r="AB27" s="131" t="s">
        <v>38</v>
      </c>
      <c r="AC27" s="193">
        <v>50000</v>
      </c>
      <c r="AE27" s="133">
        <v>357.59</v>
      </c>
      <c r="AF27" s="133">
        <v>478.63</v>
      </c>
      <c r="AG27" s="133">
        <v>363.53</v>
      </c>
    </row>
    <row r="28" spans="2:33" ht="27.6" x14ac:dyDescent="0.25">
      <c r="B28" s="124" t="s">
        <v>126</v>
      </c>
      <c r="C28" s="124" t="s">
        <v>95</v>
      </c>
      <c r="D28" s="248" t="s">
        <v>359</v>
      </c>
      <c r="E28" s="125" t="s">
        <v>202</v>
      </c>
      <c r="F28" s="125" t="s">
        <v>213</v>
      </c>
      <c r="G28" s="124" t="s">
        <v>277</v>
      </c>
      <c r="H28" s="126" t="s">
        <v>204</v>
      </c>
      <c r="I28" s="127">
        <v>10501</v>
      </c>
      <c r="J28" s="126" t="s">
        <v>74</v>
      </c>
      <c r="K28" s="128">
        <v>50000.160000000003</v>
      </c>
      <c r="L28" s="130">
        <v>40483</v>
      </c>
      <c r="M28" s="108">
        <v>27655</v>
      </c>
      <c r="N28" s="129">
        <f t="shared" si="1"/>
        <v>37</v>
      </c>
      <c r="O28" s="131" t="s">
        <v>38</v>
      </c>
      <c r="P28" s="132">
        <v>382.51</v>
      </c>
      <c r="Q28" s="220">
        <v>402.3</v>
      </c>
      <c r="R28" s="220">
        <v>431.15</v>
      </c>
      <c r="S28" s="220">
        <v>28.849999999999966</v>
      </c>
      <c r="T28" s="220">
        <v>402.3</v>
      </c>
      <c r="U28" s="132"/>
      <c r="V28" s="133">
        <v>431.88</v>
      </c>
      <c r="W28" s="164">
        <v>431.88</v>
      </c>
      <c r="X28" s="164">
        <v>439.47</v>
      </c>
      <c r="Y28" s="133">
        <v>360.92</v>
      </c>
      <c r="Z28" s="133">
        <v>360.56</v>
      </c>
      <c r="AA28" s="133"/>
      <c r="AB28" s="131" t="s">
        <v>38</v>
      </c>
      <c r="AC28" s="193">
        <v>50000</v>
      </c>
      <c r="AE28" s="133">
        <v>476.53</v>
      </c>
      <c r="AF28" s="133">
        <v>478.63</v>
      </c>
      <c r="AG28" s="133">
        <v>484.44</v>
      </c>
    </row>
    <row r="29" spans="2:33" ht="13.8" x14ac:dyDescent="0.25">
      <c r="B29" s="124" t="s">
        <v>119</v>
      </c>
      <c r="C29" s="124" t="s">
        <v>89</v>
      </c>
      <c r="D29" s="248" t="s">
        <v>360</v>
      </c>
      <c r="E29" s="125" t="s">
        <v>278</v>
      </c>
      <c r="F29" s="125" t="s">
        <v>247</v>
      </c>
      <c r="G29" s="124" t="s">
        <v>214</v>
      </c>
      <c r="H29" s="126" t="s">
        <v>204</v>
      </c>
      <c r="I29" s="127">
        <v>10128</v>
      </c>
      <c r="J29" s="126" t="s">
        <v>75</v>
      </c>
      <c r="K29" s="128">
        <v>81600</v>
      </c>
      <c r="L29" s="130">
        <v>39979</v>
      </c>
      <c r="M29" s="109">
        <v>28912</v>
      </c>
      <c r="N29" s="129">
        <f t="shared" si="1"/>
        <v>33</v>
      </c>
      <c r="O29" s="131" t="s">
        <v>253</v>
      </c>
      <c r="P29" s="132">
        <v>0</v>
      </c>
      <c r="Q29" s="220">
        <v>0</v>
      </c>
      <c r="R29" s="220">
        <v>0</v>
      </c>
      <c r="S29" s="220">
        <v>0</v>
      </c>
      <c r="T29" s="220">
        <v>0</v>
      </c>
      <c r="U29" s="132"/>
      <c r="V29" s="133">
        <v>0</v>
      </c>
      <c r="W29" s="164">
        <v>0</v>
      </c>
      <c r="X29" s="164">
        <v>0</v>
      </c>
      <c r="Y29" s="133">
        <v>0</v>
      </c>
      <c r="Z29" s="133">
        <v>0</v>
      </c>
      <c r="AA29" s="133"/>
      <c r="AB29" s="131" t="s">
        <v>253</v>
      </c>
      <c r="AC29" s="193">
        <v>50000</v>
      </c>
      <c r="AE29" s="133">
        <v>0</v>
      </c>
      <c r="AF29" s="133">
        <v>0</v>
      </c>
      <c r="AG29" s="133">
        <v>0</v>
      </c>
    </row>
    <row r="30" spans="2:33" ht="13.8" x14ac:dyDescent="0.25">
      <c r="B30" s="124" t="s">
        <v>123</v>
      </c>
      <c r="C30" s="124" t="s">
        <v>92</v>
      </c>
      <c r="D30" s="248" t="s">
        <v>361</v>
      </c>
      <c r="E30" s="125" t="s">
        <v>288</v>
      </c>
      <c r="F30" s="125" t="s">
        <v>246</v>
      </c>
      <c r="G30" s="124" t="s">
        <v>224</v>
      </c>
      <c r="H30" s="126" t="s">
        <v>206</v>
      </c>
      <c r="I30" s="127">
        <v>6812</v>
      </c>
      <c r="J30" s="126" t="s">
        <v>75</v>
      </c>
      <c r="K30" s="128">
        <v>80000</v>
      </c>
      <c r="L30" s="130">
        <v>39062</v>
      </c>
      <c r="M30" s="108">
        <v>22936</v>
      </c>
      <c r="N30" s="129">
        <f t="shared" si="1"/>
        <v>50</v>
      </c>
      <c r="O30" s="131" t="s">
        <v>254</v>
      </c>
      <c r="P30" s="132">
        <v>1122.53</v>
      </c>
      <c r="Q30" s="220">
        <v>1180.58</v>
      </c>
      <c r="R30" s="220">
        <v>1265.24</v>
      </c>
      <c r="S30" s="220">
        <v>84.660000000000082</v>
      </c>
      <c r="T30" s="220">
        <v>1180.58</v>
      </c>
      <c r="U30" s="132"/>
      <c r="V30" s="133">
        <v>1641.44</v>
      </c>
      <c r="W30" s="164">
        <v>1641.44</v>
      </c>
      <c r="X30" s="164">
        <v>1670.3</v>
      </c>
      <c r="Y30" s="133">
        <v>832.75</v>
      </c>
      <c r="Z30" s="133">
        <v>1561.85</v>
      </c>
      <c r="AA30" s="133"/>
      <c r="AB30" s="131" t="s">
        <v>254</v>
      </c>
      <c r="AC30" s="193">
        <v>50000</v>
      </c>
      <c r="AE30" s="133">
        <v>1398.43</v>
      </c>
      <c r="AF30" s="133">
        <v>909.38</v>
      </c>
      <c r="AG30" s="133">
        <v>1421.64</v>
      </c>
    </row>
    <row r="31" spans="2:33" ht="13.8" x14ac:dyDescent="0.25">
      <c r="B31" s="276" t="s">
        <v>128</v>
      </c>
      <c r="C31" s="276" t="s">
        <v>97</v>
      </c>
      <c r="D31" s="277" t="s">
        <v>362</v>
      </c>
      <c r="E31" s="278" t="s">
        <v>280</v>
      </c>
      <c r="F31" s="278" t="s">
        <v>245</v>
      </c>
      <c r="G31" s="276" t="s">
        <v>214</v>
      </c>
      <c r="H31" s="279" t="s">
        <v>204</v>
      </c>
      <c r="I31" s="280">
        <v>10003</v>
      </c>
      <c r="J31" s="279" t="s">
        <v>74</v>
      </c>
      <c r="K31" s="281">
        <v>62400</v>
      </c>
      <c r="L31" s="282">
        <v>40315</v>
      </c>
      <c r="M31" s="283">
        <v>31203</v>
      </c>
      <c r="N31" s="284">
        <f t="shared" si="1"/>
        <v>27</v>
      </c>
      <c r="O31" s="285" t="s">
        <v>38</v>
      </c>
      <c r="P31" s="286">
        <v>287.04000000000002</v>
      </c>
      <c r="Q31" s="287">
        <v>301.89</v>
      </c>
      <c r="R31" s="287">
        <v>323.52999999999997</v>
      </c>
      <c r="S31" s="287">
        <v>21.639999999999986</v>
      </c>
      <c r="T31" s="287">
        <v>323.52999999999997</v>
      </c>
      <c r="U31" s="286"/>
      <c r="V31" s="288">
        <v>329.78</v>
      </c>
      <c r="W31" s="289">
        <v>324.08999999999997</v>
      </c>
      <c r="X31" s="289">
        <v>329.78</v>
      </c>
      <c r="Y31" s="288">
        <v>271.45999999999998</v>
      </c>
      <c r="Z31" s="288">
        <v>261.39999999999998</v>
      </c>
      <c r="AA31" s="288"/>
      <c r="AB31" s="285" t="s">
        <v>38</v>
      </c>
      <c r="AC31" s="290">
        <v>50000</v>
      </c>
      <c r="AD31" s="291"/>
      <c r="AE31" s="288">
        <v>357.59</v>
      </c>
      <c r="AF31" s="288">
        <v>478.63</v>
      </c>
      <c r="AG31" s="288">
        <v>363.53</v>
      </c>
    </row>
    <row r="32" spans="2:33" ht="27.6" x14ac:dyDescent="0.25">
      <c r="B32" s="124" t="s">
        <v>131</v>
      </c>
      <c r="C32" s="124" t="s">
        <v>100</v>
      </c>
      <c r="D32" s="248" t="s">
        <v>363</v>
      </c>
      <c r="E32" s="125" t="s">
        <v>195</v>
      </c>
      <c r="F32" s="125" t="s">
        <v>244</v>
      </c>
      <c r="G32" s="124" t="s">
        <v>214</v>
      </c>
      <c r="H32" s="126" t="s">
        <v>204</v>
      </c>
      <c r="I32" s="127">
        <v>10003</v>
      </c>
      <c r="J32" s="126" t="s">
        <v>75</v>
      </c>
      <c r="K32" s="128">
        <v>87500</v>
      </c>
      <c r="L32" s="130">
        <v>40735</v>
      </c>
      <c r="M32" s="109">
        <v>30021</v>
      </c>
      <c r="N32" s="129">
        <f t="shared" si="1"/>
        <v>30</v>
      </c>
      <c r="O32" s="131" t="s">
        <v>38</v>
      </c>
      <c r="P32" s="132">
        <v>0</v>
      </c>
      <c r="Q32" s="220">
        <v>648.26</v>
      </c>
      <c r="R32" s="220">
        <v>694.74</v>
      </c>
      <c r="S32" s="220">
        <v>0</v>
      </c>
      <c r="T32" s="220">
        <v>579.51</v>
      </c>
      <c r="U32" s="132"/>
      <c r="V32" s="133">
        <v>695.94</v>
      </c>
      <c r="W32" s="164">
        <v>695.94</v>
      </c>
      <c r="X32" s="164">
        <v>708.17</v>
      </c>
      <c r="Y32" s="133">
        <v>580.02</v>
      </c>
      <c r="Z32" s="133">
        <v>491.78</v>
      </c>
      <c r="AA32" s="133"/>
      <c r="AB32" s="131" t="s">
        <v>38</v>
      </c>
      <c r="AC32" s="193">
        <v>50000</v>
      </c>
      <c r="AE32" s="133"/>
      <c r="AF32" s="133">
        <v>478.63</v>
      </c>
      <c r="AG32" s="133"/>
    </row>
    <row r="33" spans="1:34" ht="27.6" x14ac:dyDescent="0.25">
      <c r="B33" s="124" t="s">
        <v>125</v>
      </c>
      <c r="C33" s="124" t="s">
        <v>94</v>
      </c>
      <c r="D33" s="248" t="s">
        <v>364</v>
      </c>
      <c r="E33" s="125" t="s">
        <v>197</v>
      </c>
      <c r="F33" s="125" t="s">
        <v>76</v>
      </c>
      <c r="G33" s="124" t="s">
        <v>217</v>
      </c>
      <c r="H33" s="126" t="s">
        <v>206</v>
      </c>
      <c r="I33" s="127">
        <v>6902</v>
      </c>
      <c r="J33" s="126" t="s">
        <v>75</v>
      </c>
      <c r="K33" s="128">
        <v>50000</v>
      </c>
      <c r="L33" s="130">
        <v>40784</v>
      </c>
      <c r="M33" s="109">
        <v>28186</v>
      </c>
      <c r="N33" s="129">
        <f t="shared" si="1"/>
        <v>35</v>
      </c>
      <c r="O33" s="131" t="s">
        <v>252</v>
      </c>
      <c r="P33" s="170"/>
      <c r="Q33" s="220">
        <v>1727.75</v>
      </c>
      <c r="R33" s="220">
        <v>1851.65</v>
      </c>
      <c r="S33" s="220">
        <f>SUM(R33-Q33)</f>
        <v>123.90000000000009</v>
      </c>
      <c r="T33" s="220">
        <v>1851.65</v>
      </c>
      <c r="U33" s="132"/>
      <c r="V33" s="133">
        <v>1887.47</v>
      </c>
      <c r="W33" s="164">
        <v>1854.87</v>
      </c>
      <c r="X33" s="164">
        <v>1887.47</v>
      </c>
      <c r="Y33" s="133">
        <v>1544.25</v>
      </c>
      <c r="Z33" s="133">
        <v>1527.54</v>
      </c>
      <c r="AA33" s="133"/>
      <c r="AB33" s="131" t="s">
        <v>252</v>
      </c>
      <c r="AC33" s="193">
        <v>50000</v>
      </c>
      <c r="AE33" s="133"/>
      <c r="AF33" s="133">
        <v>1364.08</v>
      </c>
      <c r="AG33" s="133"/>
    </row>
    <row r="34" spans="1:34" ht="13.8" x14ac:dyDescent="0.25">
      <c r="B34" s="124" t="s">
        <v>109</v>
      </c>
      <c r="C34" s="124" t="s">
        <v>79</v>
      </c>
      <c r="D34" s="248" t="s">
        <v>365</v>
      </c>
      <c r="E34" s="125" t="s">
        <v>280</v>
      </c>
      <c r="F34" s="125" t="s">
        <v>243</v>
      </c>
      <c r="G34" s="124" t="s">
        <v>214</v>
      </c>
      <c r="H34" s="126" t="s">
        <v>204</v>
      </c>
      <c r="I34" s="127">
        <v>10014</v>
      </c>
      <c r="J34" s="126" t="s">
        <v>75</v>
      </c>
      <c r="K34" s="128">
        <v>60000</v>
      </c>
      <c r="L34" s="130">
        <v>40680</v>
      </c>
      <c r="M34" s="108">
        <v>32029</v>
      </c>
      <c r="N34" s="129">
        <f t="shared" si="1"/>
        <v>25</v>
      </c>
      <c r="O34" s="131" t="s">
        <v>38</v>
      </c>
      <c r="P34" s="132">
        <v>551.01</v>
      </c>
      <c r="Q34" s="220">
        <v>579.51</v>
      </c>
      <c r="R34" s="220">
        <v>621.07000000000005</v>
      </c>
      <c r="S34" s="220">
        <v>41.560000000000059</v>
      </c>
      <c r="T34" s="220">
        <v>579.51</v>
      </c>
      <c r="U34" s="132"/>
      <c r="V34" s="133">
        <v>622.15</v>
      </c>
      <c r="W34" s="164">
        <v>622.15</v>
      </c>
      <c r="X34" s="164">
        <v>633.09</v>
      </c>
      <c r="Y34" s="133">
        <v>518.78</v>
      </c>
      <c r="Z34" s="133">
        <v>438.47</v>
      </c>
      <c r="AA34" s="133"/>
      <c r="AB34" s="131" t="s">
        <v>38</v>
      </c>
      <c r="AC34" s="193">
        <v>50000</v>
      </c>
      <c r="AE34" s="133">
        <v>686.44</v>
      </c>
      <c r="AF34" s="133">
        <v>478.63</v>
      </c>
      <c r="AG34" s="133">
        <v>697.83</v>
      </c>
    </row>
    <row r="35" spans="1:34" ht="13.8" x14ac:dyDescent="0.25">
      <c r="B35" s="276" t="s">
        <v>134</v>
      </c>
      <c r="C35" s="276" t="s">
        <v>103</v>
      </c>
      <c r="D35" s="277" t="s">
        <v>366</v>
      </c>
      <c r="E35" s="278" t="s">
        <v>279</v>
      </c>
      <c r="F35" s="278" t="s">
        <v>242</v>
      </c>
      <c r="G35" s="276" t="s">
        <v>214</v>
      </c>
      <c r="H35" s="279" t="s">
        <v>204</v>
      </c>
      <c r="I35" s="280">
        <v>10028</v>
      </c>
      <c r="J35" s="279" t="s">
        <v>74</v>
      </c>
      <c r="K35" s="281">
        <v>67500</v>
      </c>
      <c r="L35" s="282">
        <v>39611</v>
      </c>
      <c r="M35" s="283">
        <v>31455</v>
      </c>
      <c r="N35" s="284">
        <f t="shared" si="1"/>
        <v>26</v>
      </c>
      <c r="O35" s="285" t="s">
        <v>38</v>
      </c>
      <c r="P35" s="286">
        <v>287.04000000000002</v>
      </c>
      <c r="Q35" s="287">
        <v>301.89</v>
      </c>
      <c r="R35" s="287">
        <v>323.52999999999997</v>
      </c>
      <c r="S35" s="287">
        <v>21.639999999999986</v>
      </c>
      <c r="T35" s="287">
        <v>301.89</v>
      </c>
      <c r="U35" s="286"/>
      <c r="V35" s="288">
        <v>324.08999999999997</v>
      </c>
      <c r="W35" s="289">
        <v>324.08999999999997</v>
      </c>
      <c r="X35" s="289">
        <v>329.78</v>
      </c>
      <c r="Y35" s="288">
        <v>271.45999999999998</v>
      </c>
      <c r="Z35" s="288">
        <v>261.39999999999998</v>
      </c>
      <c r="AA35" s="288"/>
      <c r="AB35" s="285" t="s">
        <v>38</v>
      </c>
      <c r="AC35" s="290">
        <v>50000</v>
      </c>
      <c r="AD35" s="291"/>
      <c r="AE35" s="288">
        <v>357.59</v>
      </c>
      <c r="AF35" s="288">
        <v>478.63</v>
      </c>
      <c r="AG35" s="288">
        <v>363.53</v>
      </c>
    </row>
    <row r="36" spans="1:34" ht="13.8" x14ac:dyDescent="0.25">
      <c r="B36" s="124" t="s">
        <v>132</v>
      </c>
      <c r="C36" s="124" t="s">
        <v>101</v>
      </c>
      <c r="D36" s="248" t="s">
        <v>367</v>
      </c>
      <c r="E36" s="125" t="s">
        <v>292</v>
      </c>
      <c r="F36" s="125" t="s">
        <v>241</v>
      </c>
      <c r="G36" s="124" t="s">
        <v>214</v>
      </c>
      <c r="H36" s="126" t="s">
        <v>204</v>
      </c>
      <c r="I36" s="127">
        <v>10021</v>
      </c>
      <c r="J36" s="126" t="s">
        <v>75</v>
      </c>
      <c r="K36" s="128">
        <v>112500</v>
      </c>
      <c r="L36" s="130">
        <v>39508</v>
      </c>
      <c r="M36" s="109">
        <v>27944</v>
      </c>
      <c r="N36" s="129">
        <f t="shared" si="1"/>
        <v>36</v>
      </c>
      <c r="O36" s="131" t="s">
        <v>253</v>
      </c>
      <c r="P36" s="132">
        <v>0</v>
      </c>
      <c r="Q36" s="220">
        <v>0</v>
      </c>
      <c r="R36" s="220">
        <v>0</v>
      </c>
      <c r="S36" s="220">
        <v>0</v>
      </c>
      <c r="T36" s="220">
        <v>0</v>
      </c>
      <c r="U36" s="132"/>
      <c r="V36" s="133">
        <v>0</v>
      </c>
      <c r="W36" s="164">
        <v>0</v>
      </c>
      <c r="X36" s="164">
        <v>0</v>
      </c>
      <c r="Y36" s="133">
        <v>0</v>
      </c>
      <c r="Z36" s="133">
        <v>0</v>
      </c>
      <c r="AA36" s="133"/>
      <c r="AB36" s="131" t="s">
        <v>253</v>
      </c>
      <c r="AC36" s="193">
        <v>50000</v>
      </c>
      <c r="AE36" s="133">
        <v>0</v>
      </c>
      <c r="AF36" s="133">
        <v>0</v>
      </c>
      <c r="AG36" s="133">
        <v>0</v>
      </c>
    </row>
    <row r="37" spans="1:34" ht="13.8" x14ac:dyDescent="0.25">
      <c r="B37" s="124" t="s">
        <v>107</v>
      </c>
      <c r="C37" s="124" t="s">
        <v>77</v>
      </c>
      <c r="D37" s="248" t="s">
        <v>368</v>
      </c>
      <c r="E37" s="125" t="s">
        <v>278</v>
      </c>
      <c r="F37" s="125" t="s">
        <v>240</v>
      </c>
      <c r="G37" s="124" t="s">
        <v>214</v>
      </c>
      <c r="H37" s="126" t="s">
        <v>204</v>
      </c>
      <c r="I37" s="127">
        <v>10016</v>
      </c>
      <c r="J37" s="126" t="s">
        <v>74</v>
      </c>
      <c r="K37" s="128">
        <v>120000</v>
      </c>
      <c r="L37" s="130">
        <v>40028</v>
      </c>
      <c r="M37" s="108">
        <v>29155</v>
      </c>
      <c r="N37" s="129">
        <f t="shared" si="1"/>
        <v>33</v>
      </c>
      <c r="O37" s="131" t="s">
        <v>252</v>
      </c>
      <c r="P37" s="132">
        <v>1642.79</v>
      </c>
      <c r="Q37" s="220">
        <v>1727.75</v>
      </c>
      <c r="R37" s="220">
        <v>1851.65</v>
      </c>
      <c r="S37" s="220">
        <v>123.90000000000009</v>
      </c>
      <c r="T37" s="220">
        <v>1727.75</v>
      </c>
      <c r="U37" s="132"/>
      <c r="V37" s="133">
        <v>1854.87</v>
      </c>
      <c r="W37" s="164">
        <v>1854.87</v>
      </c>
      <c r="X37" s="164">
        <v>1887.47</v>
      </c>
      <c r="Y37" s="133">
        <v>1544.25</v>
      </c>
      <c r="Z37" s="133">
        <v>1465.23</v>
      </c>
      <c r="AA37" s="133"/>
      <c r="AB37" s="131" t="s">
        <v>252</v>
      </c>
      <c r="AC37" s="193">
        <v>50000</v>
      </c>
      <c r="AE37" s="133">
        <v>2046.56</v>
      </c>
      <c r="AF37" s="133">
        <v>1364.08</v>
      </c>
      <c r="AG37" s="133">
        <v>2080.52</v>
      </c>
    </row>
    <row r="38" spans="1:34" s="236" customFormat="1" ht="13.8" x14ac:dyDescent="0.25">
      <c r="A38" s="272"/>
      <c r="B38" s="124" t="s">
        <v>116</v>
      </c>
      <c r="C38" s="124" t="s">
        <v>87</v>
      </c>
      <c r="D38" s="248" t="s">
        <v>369</v>
      </c>
      <c r="E38" s="125" t="s">
        <v>285</v>
      </c>
      <c r="F38" s="125" t="s">
        <v>239</v>
      </c>
      <c r="G38" s="124" t="s">
        <v>214</v>
      </c>
      <c r="H38" s="126" t="s">
        <v>204</v>
      </c>
      <c r="I38" s="127">
        <v>10009</v>
      </c>
      <c r="J38" s="126" t="s">
        <v>75</v>
      </c>
      <c r="K38" s="128">
        <v>67500</v>
      </c>
      <c r="L38" s="130">
        <v>40760</v>
      </c>
      <c r="M38" s="108">
        <v>31742</v>
      </c>
      <c r="N38" s="129">
        <f t="shared" si="1"/>
        <v>26</v>
      </c>
      <c r="O38" s="131" t="s">
        <v>38</v>
      </c>
      <c r="P38" s="132">
        <v>551.01</v>
      </c>
      <c r="Q38" s="220">
        <v>579.51</v>
      </c>
      <c r="R38" s="220">
        <v>621.07000000000005</v>
      </c>
      <c r="S38" s="220">
        <v>41.560000000000059</v>
      </c>
      <c r="T38" s="220">
        <v>579.51</v>
      </c>
      <c r="U38" s="132"/>
      <c r="V38" s="133">
        <v>622.15</v>
      </c>
      <c r="W38" s="164">
        <v>622.15</v>
      </c>
      <c r="X38" s="164">
        <v>633.09</v>
      </c>
      <c r="Y38" s="133">
        <v>518.78</v>
      </c>
      <c r="Z38" s="133">
        <v>438.47</v>
      </c>
      <c r="AA38" s="133"/>
      <c r="AB38" s="131" t="s">
        <v>38</v>
      </c>
      <c r="AC38" s="193">
        <v>50000</v>
      </c>
      <c r="AD38" s="1"/>
      <c r="AE38" s="133">
        <v>686.44</v>
      </c>
      <c r="AF38" s="133">
        <v>478.63</v>
      </c>
      <c r="AG38" s="133">
        <v>697.83</v>
      </c>
      <c r="AH38" s="237"/>
    </row>
    <row r="39" spans="1:34" ht="13.8" x14ac:dyDescent="0.25">
      <c r="B39" s="224" t="s">
        <v>313</v>
      </c>
      <c r="C39" s="224" t="s">
        <v>314</v>
      </c>
      <c r="D39" s="260" t="s">
        <v>370</v>
      </c>
      <c r="E39" s="225"/>
      <c r="F39" s="225"/>
      <c r="G39" s="224"/>
      <c r="H39" s="226"/>
      <c r="I39" s="227"/>
      <c r="J39" s="226"/>
      <c r="K39" s="228" t="s">
        <v>382</v>
      </c>
      <c r="L39" s="229"/>
      <c r="M39" s="261"/>
      <c r="N39" s="230">
        <v>0</v>
      </c>
      <c r="O39" s="231"/>
      <c r="P39" s="232"/>
      <c r="Q39" s="233"/>
      <c r="R39" s="233"/>
      <c r="S39" s="233"/>
      <c r="T39" s="233">
        <v>0</v>
      </c>
      <c r="U39" s="232"/>
      <c r="V39" s="234">
        <v>0</v>
      </c>
      <c r="W39" s="234"/>
      <c r="X39" s="234"/>
      <c r="Y39" s="234"/>
      <c r="Z39" s="234"/>
      <c r="AA39" s="234"/>
      <c r="AB39" s="231"/>
      <c r="AC39" s="235">
        <v>0</v>
      </c>
      <c r="AD39" s="236"/>
      <c r="AE39" s="234"/>
      <c r="AF39" s="234"/>
      <c r="AG39" s="234"/>
    </row>
    <row r="40" spans="1:34" ht="13.8" x14ac:dyDescent="0.25">
      <c r="B40" s="124" t="s">
        <v>127</v>
      </c>
      <c r="C40" s="124" t="s">
        <v>96</v>
      </c>
      <c r="D40" s="248" t="s">
        <v>371</v>
      </c>
      <c r="E40" s="125" t="s">
        <v>285</v>
      </c>
      <c r="F40" s="125" t="s">
        <v>291</v>
      </c>
      <c r="G40" s="124" t="s">
        <v>217</v>
      </c>
      <c r="H40" s="126" t="s">
        <v>206</v>
      </c>
      <c r="I40" s="127">
        <v>6902</v>
      </c>
      <c r="J40" s="126" t="s">
        <v>74</v>
      </c>
      <c r="K40" s="128">
        <v>65000</v>
      </c>
      <c r="L40" s="130">
        <v>40725</v>
      </c>
      <c r="M40" s="108">
        <v>31997</v>
      </c>
      <c r="N40" s="129">
        <f t="shared" si="1"/>
        <v>25</v>
      </c>
      <c r="O40" s="131" t="s">
        <v>38</v>
      </c>
      <c r="P40" s="132">
        <v>287.04000000000002</v>
      </c>
      <c r="Q40" s="220">
        <v>301.89</v>
      </c>
      <c r="R40" s="220">
        <v>323.52999999999997</v>
      </c>
      <c r="S40" s="220">
        <v>21.639999999999986</v>
      </c>
      <c r="T40" s="220">
        <v>301.89</v>
      </c>
      <c r="U40" s="132"/>
      <c r="V40" s="133">
        <v>324.08999999999997</v>
      </c>
      <c r="W40" s="164">
        <v>324.08999999999997</v>
      </c>
      <c r="X40" s="164">
        <v>329.78</v>
      </c>
      <c r="Y40" s="133">
        <v>271.45999999999998</v>
      </c>
      <c r="Z40" s="133">
        <v>261.39999999999998</v>
      </c>
      <c r="AA40" s="133"/>
      <c r="AB40" s="131" t="s">
        <v>38</v>
      </c>
      <c r="AC40" s="193">
        <v>50000</v>
      </c>
      <c r="AE40" s="133">
        <v>357.59</v>
      </c>
      <c r="AF40" s="133">
        <v>478.63</v>
      </c>
      <c r="AG40" s="133">
        <v>363.53</v>
      </c>
    </row>
    <row r="41" spans="1:34" ht="13.8" x14ac:dyDescent="0.25">
      <c r="B41" s="134" t="s">
        <v>191</v>
      </c>
      <c r="C41" s="134" t="s">
        <v>190</v>
      </c>
      <c r="D41" s="249" t="s">
        <v>351</v>
      </c>
      <c r="E41" s="135" t="s">
        <v>282</v>
      </c>
      <c r="F41" s="135" t="s">
        <v>283</v>
      </c>
      <c r="G41" s="134" t="s">
        <v>284</v>
      </c>
      <c r="H41" s="136" t="s">
        <v>261</v>
      </c>
      <c r="I41" s="137">
        <v>22181</v>
      </c>
      <c r="J41" s="136" t="s">
        <v>74</v>
      </c>
      <c r="K41" s="138">
        <v>250000</v>
      </c>
      <c r="L41" s="140">
        <v>37987</v>
      </c>
      <c r="M41" s="257">
        <v>19785</v>
      </c>
      <c r="N41" s="139">
        <f t="shared" si="1"/>
        <v>58</v>
      </c>
      <c r="O41" s="141" t="s">
        <v>253</v>
      </c>
      <c r="P41" s="142">
        <v>0</v>
      </c>
      <c r="Q41" s="221">
        <v>0</v>
      </c>
      <c r="R41" s="221">
        <v>0</v>
      </c>
      <c r="S41" s="221">
        <v>0</v>
      </c>
      <c r="T41" s="221">
        <v>0</v>
      </c>
      <c r="U41" s="142"/>
      <c r="V41" s="143">
        <v>0</v>
      </c>
      <c r="W41" s="143">
        <v>0</v>
      </c>
      <c r="X41" s="143">
        <v>0</v>
      </c>
      <c r="Y41" s="143">
        <v>0</v>
      </c>
      <c r="Z41" s="143">
        <v>0</v>
      </c>
      <c r="AA41" s="218"/>
      <c r="AB41" s="141" t="s">
        <v>253</v>
      </c>
      <c r="AC41" s="193">
        <v>50000</v>
      </c>
      <c r="AE41" s="143">
        <v>0</v>
      </c>
      <c r="AF41" s="143">
        <v>0</v>
      </c>
      <c r="AG41" s="143">
        <v>0</v>
      </c>
    </row>
    <row r="42" spans="1:34" ht="13.8" x14ac:dyDescent="0.25">
      <c r="B42" s="124" t="s">
        <v>296</v>
      </c>
      <c r="C42" s="124" t="s">
        <v>295</v>
      </c>
      <c r="D42" s="248" t="s">
        <v>372</v>
      </c>
      <c r="E42" s="125" t="s">
        <v>280</v>
      </c>
      <c r="F42" s="125" t="s">
        <v>297</v>
      </c>
      <c r="G42" s="124" t="s">
        <v>298</v>
      </c>
      <c r="H42" s="126" t="s">
        <v>204</v>
      </c>
      <c r="I42" s="127">
        <v>11354</v>
      </c>
      <c r="J42" s="126" t="s">
        <v>74</v>
      </c>
      <c r="K42" s="128"/>
      <c r="L42" s="130">
        <v>40945</v>
      </c>
      <c r="M42" s="108">
        <v>30099</v>
      </c>
      <c r="N42" s="129">
        <f t="shared" si="1"/>
        <v>30</v>
      </c>
      <c r="O42" s="131" t="s">
        <v>38</v>
      </c>
      <c r="P42" s="170"/>
      <c r="Q42" s="220">
        <v>402.3</v>
      </c>
      <c r="R42" s="220">
        <v>431.15</v>
      </c>
      <c r="S42" s="220">
        <v>28.849999999999966</v>
      </c>
      <c r="T42" s="220">
        <v>301.89</v>
      </c>
      <c r="U42" s="132"/>
      <c r="V42" s="133">
        <v>431.88</v>
      </c>
      <c r="W42" s="164">
        <v>431.88</v>
      </c>
      <c r="X42" s="164">
        <v>439.47</v>
      </c>
      <c r="Y42" s="133">
        <v>271.45999999999998</v>
      </c>
      <c r="Z42" s="133">
        <v>301.97000000000003</v>
      </c>
      <c r="AA42" s="133"/>
      <c r="AB42" s="131" t="s">
        <v>38</v>
      </c>
      <c r="AC42" s="193">
        <v>50000</v>
      </c>
      <c r="AE42" s="133"/>
      <c r="AF42" s="133">
        <v>478.63</v>
      </c>
      <c r="AG42" s="133"/>
    </row>
    <row r="43" spans="1:34" ht="13.8" x14ac:dyDescent="0.25">
      <c r="B43" s="124" t="s">
        <v>120</v>
      </c>
      <c r="C43" s="124" t="s">
        <v>90</v>
      </c>
      <c r="D43" s="248" t="s">
        <v>373</v>
      </c>
      <c r="E43" s="125" t="s">
        <v>280</v>
      </c>
      <c r="F43" s="125" t="s">
        <v>286</v>
      </c>
      <c r="G43" s="124" t="s">
        <v>214</v>
      </c>
      <c r="H43" s="126" t="s">
        <v>204</v>
      </c>
      <c r="I43" s="127">
        <v>10001</v>
      </c>
      <c r="J43" s="126" t="s">
        <v>74</v>
      </c>
      <c r="K43" s="128">
        <v>50000</v>
      </c>
      <c r="L43" s="130">
        <v>40707</v>
      </c>
      <c r="M43" s="108">
        <v>32712</v>
      </c>
      <c r="N43" s="129">
        <f t="shared" si="1"/>
        <v>23</v>
      </c>
      <c r="O43" s="131" t="s">
        <v>38</v>
      </c>
      <c r="P43" s="132">
        <v>287.04000000000002</v>
      </c>
      <c r="Q43" s="220">
        <v>301.89</v>
      </c>
      <c r="R43" s="220">
        <v>323.52999999999997</v>
      </c>
      <c r="S43" s="220">
        <v>21.639999999999986</v>
      </c>
      <c r="T43" s="220">
        <v>301.89</v>
      </c>
      <c r="U43" s="132"/>
      <c r="V43" s="133">
        <v>324.08999999999997</v>
      </c>
      <c r="W43" s="164">
        <v>324.08999999999997</v>
      </c>
      <c r="X43" s="164">
        <v>329.78</v>
      </c>
      <c r="Y43" s="133">
        <v>271.45999999999998</v>
      </c>
      <c r="Z43" s="133">
        <v>225.35</v>
      </c>
      <c r="AA43" s="133"/>
      <c r="AB43" s="131" t="s">
        <v>38</v>
      </c>
      <c r="AC43" s="193">
        <v>50000</v>
      </c>
      <c r="AE43" s="133">
        <v>357.59</v>
      </c>
      <c r="AF43" s="133">
        <v>478.63</v>
      </c>
      <c r="AG43" s="133">
        <v>363.53</v>
      </c>
    </row>
    <row r="44" spans="1:34" ht="13.8" x14ac:dyDescent="0.25">
      <c r="B44" s="124" t="s">
        <v>111</v>
      </c>
      <c r="C44" s="124" t="s">
        <v>81</v>
      </c>
      <c r="D44" s="248" t="s">
        <v>374</v>
      </c>
      <c r="E44" s="125" t="s">
        <v>281</v>
      </c>
      <c r="F44" s="125" t="s">
        <v>226</v>
      </c>
      <c r="G44" s="124" t="s">
        <v>219</v>
      </c>
      <c r="H44" s="126" t="s">
        <v>206</v>
      </c>
      <c r="I44" s="127">
        <v>6851</v>
      </c>
      <c r="J44" s="126" t="s">
        <v>74</v>
      </c>
      <c r="K44" s="128">
        <v>102000</v>
      </c>
      <c r="L44" s="130">
        <v>39759</v>
      </c>
      <c r="M44" s="108">
        <v>28022</v>
      </c>
      <c r="N44" s="129">
        <f t="shared" si="1"/>
        <v>36</v>
      </c>
      <c r="O44" s="131" t="s">
        <v>252</v>
      </c>
      <c r="P44" s="132">
        <v>1642.79</v>
      </c>
      <c r="Q44" s="220">
        <v>1727.75</v>
      </c>
      <c r="R44" s="220">
        <v>1851.65</v>
      </c>
      <c r="S44" s="220">
        <v>123.90000000000009</v>
      </c>
      <c r="T44" s="220">
        <v>1727.75</v>
      </c>
      <c r="U44" s="132"/>
      <c r="V44" s="133">
        <v>1854.87</v>
      </c>
      <c r="W44" s="164">
        <v>1854.87</v>
      </c>
      <c r="X44" s="164">
        <v>1887.47</v>
      </c>
      <c r="Y44" s="133">
        <v>1544.25</v>
      </c>
      <c r="Z44" s="133">
        <v>1527.54</v>
      </c>
      <c r="AA44" s="133"/>
      <c r="AB44" s="131" t="s">
        <v>254</v>
      </c>
      <c r="AC44" s="193">
        <v>50000</v>
      </c>
      <c r="AE44" s="133">
        <v>2046.53</v>
      </c>
      <c r="AF44" s="133">
        <v>1364.08</v>
      </c>
      <c r="AG44" s="133">
        <v>2080.52</v>
      </c>
    </row>
    <row r="45" spans="1:34" ht="13.8" x14ac:dyDescent="0.25">
      <c r="B45" s="124" t="s">
        <v>121</v>
      </c>
      <c r="C45" s="124" t="s">
        <v>90</v>
      </c>
      <c r="D45" s="248" t="s">
        <v>375</v>
      </c>
      <c r="E45" s="125" t="s">
        <v>287</v>
      </c>
      <c r="F45" s="125" t="s">
        <v>238</v>
      </c>
      <c r="G45" s="124" t="s">
        <v>214</v>
      </c>
      <c r="H45" s="126" t="s">
        <v>204</v>
      </c>
      <c r="I45" s="127">
        <v>10003</v>
      </c>
      <c r="J45" s="126" t="s">
        <v>74</v>
      </c>
      <c r="K45" s="128">
        <v>94999.92</v>
      </c>
      <c r="L45" s="130">
        <v>40371</v>
      </c>
      <c r="M45" s="108">
        <v>29732</v>
      </c>
      <c r="N45" s="129">
        <f t="shared" si="1"/>
        <v>31</v>
      </c>
      <c r="O45" s="131" t="s">
        <v>38</v>
      </c>
      <c r="P45" s="132">
        <v>287.04000000000002</v>
      </c>
      <c r="Q45" s="220">
        <v>402.3</v>
      </c>
      <c r="R45" s="220">
        <v>431.15</v>
      </c>
      <c r="S45" s="220">
        <v>28.849999999999966</v>
      </c>
      <c r="T45" s="220">
        <v>431.15</v>
      </c>
      <c r="U45" s="132"/>
      <c r="V45" s="133">
        <v>439.47</v>
      </c>
      <c r="W45" s="164">
        <v>431.88</v>
      </c>
      <c r="X45" s="164">
        <v>439.47</v>
      </c>
      <c r="Y45" s="133">
        <v>360.92</v>
      </c>
      <c r="Z45" s="133">
        <v>301.97000000000003</v>
      </c>
      <c r="AA45" s="133"/>
      <c r="AB45" s="131" t="s">
        <v>38</v>
      </c>
      <c r="AC45" s="193">
        <v>50000</v>
      </c>
      <c r="AE45" s="133">
        <v>476.53</v>
      </c>
      <c r="AF45" s="133">
        <v>478.63</v>
      </c>
      <c r="AG45" s="133">
        <v>484.44</v>
      </c>
    </row>
    <row r="46" spans="1:34" ht="13.8" x14ac:dyDescent="0.25">
      <c r="B46" s="124" t="s">
        <v>129</v>
      </c>
      <c r="C46" s="124" t="s">
        <v>98</v>
      </c>
      <c r="D46" s="248" t="s">
        <v>376</v>
      </c>
      <c r="E46" s="125" t="s">
        <v>292</v>
      </c>
      <c r="F46" s="125" t="s">
        <v>237</v>
      </c>
      <c r="G46" s="124" t="s">
        <v>218</v>
      </c>
      <c r="H46" s="126" t="s">
        <v>206</v>
      </c>
      <c r="I46" s="127">
        <v>6820</v>
      </c>
      <c r="J46" s="126" t="s">
        <v>75</v>
      </c>
      <c r="K46" s="128">
        <v>81400</v>
      </c>
      <c r="L46" s="130">
        <v>40336</v>
      </c>
      <c r="M46" s="108">
        <v>22555</v>
      </c>
      <c r="N46" s="129">
        <f t="shared" si="1"/>
        <v>51</v>
      </c>
      <c r="O46" s="131" t="s">
        <v>252</v>
      </c>
      <c r="P46" s="132">
        <v>1826.03</v>
      </c>
      <c r="Q46" s="220">
        <v>2126.02</v>
      </c>
      <c r="R46" s="220">
        <v>2278.4699999999998</v>
      </c>
      <c r="S46" s="220">
        <v>152.44999999999982</v>
      </c>
      <c r="T46" s="220">
        <v>2126.02</v>
      </c>
      <c r="U46" s="132"/>
      <c r="V46" s="220">
        <v>2282.41</v>
      </c>
      <c r="W46" s="164">
        <v>2282.41</v>
      </c>
      <c r="X46" s="164">
        <v>2322.5300000000002</v>
      </c>
      <c r="Y46" s="133">
        <v>1899.02</v>
      </c>
      <c r="Z46" s="133">
        <v>1975.85</v>
      </c>
      <c r="AA46" s="133"/>
      <c r="AB46" s="131" t="s">
        <v>252</v>
      </c>
      <c r="AC46" s="193">
        <v>50000</v>
      </c>
      <c r="AE46" s="133">
        <v>2518.3200000000002</v>
      </c>
      <c r="AF46" s="133">
        <v>1364.08</v>
      </c>
      <c r="AG46" s="133">
        <v>2560.1</v>
      </c>
    </row>
    <row r="47" spans="1:34" ht="13.8" x14ac:dyDescent="0.25">
      <c r="B47" s="124" t="s">
        <v>112</v>
      </c>
      <c r="C47" s="124" t="s">
        <v>82</v>
      </c>
      <c r="D47" s="270" t="s">
        <v>377</v>
      </c>
      <c r="E47" s="125" t="s">
        <v>278</v>
      </c>
      <c r="F47" s="125" t="s">
        <v>236</v>
      </c>
      <c r="G47" s="124" t="s">
        <v>219</v>
      </c>
      <c r="H47" s="126" t="s">
        <v>206</v>
      </c>
      <c r="I47" s="127">
        <v>6854</v>
      </c>
      <c r="J47" s="126" t="s">
        <v>74</v>
      </c>
      <c r="K47" s="128">
        <v>90000</v>
      </c>
      <c r="L47" s="130">
        <v>39454</v>
      </c>
      <c r="M47" s="108">
        <v>29837</v>
      </c>
      <c r="N47" s="129">
        <f t="shared" si="1"/>
        <v>31</v>
      </c>
      <c r="O47" s="131" t="s">
        <v>38</v>
      </c>
      <c r="P47" s="132">
        <v>287.04000000000002</v>
      </c>
      <c r="Q47" s="220">
        <v>402.3</v>
      </c>
      <c r="R47" s="220">
        <v>431.15</v>
      </c>
      <c r="S47" s="220">
        <v>28.849999999999966</v>
      </c>
      <c r="T47" s="220">
        <v>402.3</v>
      </c>
      <c r="U47" s="132"/>
      <c r="V47" s="133">
        <v>431.88</v>
      </c>
      <c r="W47" s="164">
        <v>431.88</v>
      </c>
      <c r="X47" s="164">
        <v>439.47</v>
      </c>
      <c r="Y47" s="133">
        <v>360.92</v>
      </c>
      <c r="Z47" s="133">
        <v>301.97000000000003</v>
      </c>
      <c r="AA47" s="133"/>
      <c r="AB47" s="131" t="s">
        <v>38</v>
      </c>
      <c r="AC47" s="193">
        <v>50000</v>
      </c>
      <c r="AE47" s="133">
        <v>476.53</v>
      </c>
      <c r="AF47" s="133">
        <v>478.63</v>
      </c>
      <c r="AG47" s="133">
        <v>484.44</v>
      </c>
    </row>
    <row r="48" spans="1:34" ht="15.6" x14ac:dyDescent="0.25">
      <c r="B48" s="246"/>
      <c r="C48" s="246"/>
      <c r="D48" s="251"/>
      <c r="E48" s="264"/>
      <c r="F48" s="263"/>
      <c r="G48" s="263"/>
      <c r="H48" s="263"/>
      <c r="I48" s="263"/>
      <c r="J48" s="263"/>
      <c r="K48" s="250"/>
      <c r="L48" s="265"/>
      <c r="M48" s="265"/>
      <c r="N48" s="246"/>
      <c r="O48" s="263"/>
      <c r="P48" s="263"/>
      <c r="Q48" s="263"/>
      <c r="R48" s="263"/>
      <c r="S48" s="263"/>
      <c r="T48" s="262"/>
      <c r="U48" s="262"/>
      <c r="V48" s="263"/>
      <c r="W48" s="263"/>
      <c r="X48" s="263"/>
      <c r="Y48" s="263"/>
      <c r="Z48" s="263"/>
      <c r="AA48" s="263"/>
      <c r="AB48" s="263"/>
      <c r="AC48" s="263"/>
      <c r="AD48" s="263"/>
      <c r="AE48" s="263"/>
      <c r="AF48" s="263"/>
    </row>
    <row r="49" spans="10:33" ht="15.6" x14ac:dyDescent="0.25">
      <c r="K49" s="49">
        <f>SUM(K9:K47)</f>
        <v>3675649.68</v>
      </c>
      <c r="N49" s="111" t="s">
        <v>159</v>
      </c>
      <c r="T49" s="110"/>
      <c r="U49" s="110"/>
    </row>
    <row r="50" spans="10:33" x14ac:dyDescent="0.25">
      <c r="K50" s="49">
        <f>SUM(K49/12)</f>
        <v>306304.14</v>
      </c>
      <c r="N50" s="112">
        <f>AVERAGE(N9:N47)</f>
        <v>35.743589743589745</v>
      </c>
      <c r="O50" s="113" t="s">
        <v>162</v>
      </c>
      <c r="P50" s="49">
        <f t="shared" ref="P50:V50" si="2">SUM(P9:P46)</f>
        <v>22037.230000000007</v>
      </c>
      <c r="Q50" s="49">
        <f>SUM(Q9:Q47)</f>
        <v>29807.249999999989</v>
      </c>
      <c r="R50" s="49">
        <f t="shared" si="2"/>
        <v>31339.020000000008</v>
      </c>
      <c r="S50" s="49">
        <f t="shared" si="2"/>
        <v>2189.4799999999996</v>
      </c>
      <c r="T50" s="49">
        <f t="shared" si="2"/>
        <v>30999.939999999995</v>
      </c>
      <c r="U50" s="49"/>
      <c r="V50" s="49">
        <f t="shared" si="2"/>
        <v>33755.120000000003</v>
      </c>
      <c r="W50" s="49">
        <f>SUM(W9:W46)</f>
        <v>33697.86</v>
      </c>
      <c r="X50" s="49">
        <f>SUM(X9:X46)</f>
        <v>34290.1</v>
      </c>
      <c r="Y50" s="49">
        <f>SUM(Y9:Y46)</f>
        <v>26207.419999999995</v>
      </c>
      <c r="Z50" s="49">
        <f>SUM(Z9:Z46)</f>
        <v>28214.550000000003</v>
      </c>
      <c r="AA50" s="49"/>
      <c r="AB50" s="50"/>
      <c r="AC50" s="193">
        <f>SUM(AC9:AC46)</f>
        <v>1825000</v>
      </c>
      <c r="AE50" s="49">
        <f>SUM(AE9:AE46)</f>
        <v>28394.92</v>
      </c>
      <c r="AF50" s="49">
        <f>SUM(AF9:AF47)</f>
        <v>25510.790000000005</v>
      </c>
      <c r="AG50" s="49">
        <f>SUM(AG9:AG46)</f>
        <v>28381.719999999998</v>
      </c>
    </row>
    <row r="51" spans="10:33" x14ac:dyDescent="0.25">
      <c r="L51" s="106"/>
      <c r="M51" s="106"/>
      <c r="N51" s="106"/>
      <c r="O51" s="113" t="s">
        <v>163</v>
      </c>
      <c r="P51" s="49">
        <f>SUM(P50*12)</f>
        <v>264446.76000000007</v>
      </c>
      <c r="Q51" s="49">
        <f>SUM(Q50*12)</f>
        <v>357686.99999999988</v>
      </c>
      <c r="R51" s="49">
        <f>SUM(R50*12)</f>
        <v>376068.24000000011</v>
      </c>
      <c r="S51" s="49">
        <f>SUM(S50*12)</f>
        <v>26273.759999999995</v>
      </c>
      <c r="T51" s="49">
        <f>SUM(T50*12)</f>
        <v>371999.27999999991</v>
      </c>
      <c r="U51" s="49"/>
      <c r="V51" s="49">
        <f>SUM(V50*12)</f>
        <v>405061.44000000006</v>
      </c>
      <c r="W51" s="49">
        <f>SUM(W50*12)</f>
        <v>404374.32</v>
      </c>
      <c r="X51" s="49">
        <f>SUM(X50*12)</f>
        <v>411481.19999999995</v>
      </c>
      <c r="Y51" s="49">
        <f>SUM(Y50*12)</f>
        <v>314489.03999999992</v>
      </c>
      <c r="Z51" s="49">
        <f>SUM(Z50*12)</f>
        <v>338574.60000000003</v>
      </c>
      <c r="AA51" s="49"/>
      <c r="AB51" s="49"/>
      <c r="AE51" s="49">
        <f>SUM(AE50*12)</f>
        <v>340739.04</v>
      </c>
      <c r="AF51" s="49">
        <f>SUM(AF50*12)</f>
        <v>306129.48000000004</v>
      </c>
      <c r="AG51" s="49">
        <f>SUM(AG50*12)</f>
        <v>340580.63999999996</v>
      </c>
    </row>
    <row r="52" spans="10:33" x14ac:dyDescent="0.25">
      <c r="L52" s="106"/>
      <c r="M52" s="106"/>
      <c r="N52" s="106"/>
      <c r="O52" s="113"/>
      <c r="P52" s="49"/>
      <c r="Q52" s="49"/>
      <c r="R52" s="49"/>
      <c r="S52" s="49"/>
      <c r="T52" s="49"/>
      <c r="U52" s="49"/>
      <c r="V52" s="49"/>
      <c r="W52" s="49"/>
      <c r="X52" s="49"/>
      <c r="Y52" s="49"/>
      <c r="Z52" s="49"/>
      <c r="AA52" s="49"/>
      <c r="AB52" s="49"/>
      <c r="AE52" s="49"/>
      <c r="AF52" s="49"/>
      <c r="AG52" s="49"/>
    </row>
    <row r="53" spans="10:33" x14ac:dyDescent="0.25">
      <c r="J53" s="1"/>
      <c r="K53" s="113" t="s">
        <v>257</v>
      </c>
      <c r="L53" s="1" t="s">
        <v>259</v>
      </c>
      <c r="N53" s="113" t="s">
        <v>38</v>
      </c>
      <c r="O53" s="175">
        <f>COUNTIF(O9:O47, "Employee Only")</f>
        <v>21</v>
      </c>
      <c r="P53" s="50">
        <f t="shared" ref="P53:V53" si="3">AVERAGEIF($O9:$O46,"employee only",P9:P46)</f>
        <v>394.97411764705885</v>
      </c>
      <c r="Q53" s="50">
        <f t="shared" si="3"/>
        <v>441.52600000000012</v>
      </c>
      <c r="R53" s="50">
        <f t="shared" si="3"/>
        <v>485.15105263157892</v>
      </c>
      <c r="S53" s="50">
        <f t="shared" si="3"/>
        <v>33.829473684210527</v>
      </c>
      <c r="T53" s="50">
        <f t="shared" si="3"/>
        <v>448.72421052631591</v>
      </c>
      <c r="U53" s="50"/>
      <c r="V53" s="50">
        <f t="shared" si="3"/>
        <v>487.28526315789463</v>
      </c>
      <c r="W53" s="50">
        <f>AVERAGEIF($O9:$O46,"employee only",W9:W46)</f>
        <v>485.98736842105257</v>
      </c>
      <c r="X53" s="50">
        <f>AVERAGEIF($O9:$O46,"employee only",X9:X46)</f>
        <v>494.52684210526314</v>
      </c>
      <c r="Y53" s="50">
        <f>AVERAGEIF($O9:$O46,"employee only",Y9:Y46)</f>
        <v>389.56526315789472</v>
      </c>
      <c r="Z53" s="50">
        <f>AVERAGEIF($O9:$O46,"employee only",Z9:Z46)</f>
        <v>373.20842105263159</v>
      </c>
      <c r="AA53" s="113" t="s">
        <v>38</v>
      </c>
      <c r="AB53" s="114">
        <f>COUNTIF(AB9:AB46, "Employee Only")</f>
        <v>21</v>
      </c>
      <c r="AE53" s="50">
        <f>AVERAGEIF($O9:$O46,"employee only",AE9:AE46)</f>
        <v>533.10058823529414</v>
      </c>
      <c r="AF53" s="50">
        <f>AVERAGEIF($O9:$O47,"employee only",AF9:AF47)</f>
        <v>478.62999999999988</v>
      </c>
      <c r="AG53" s="50">
        <f>AVERAGEIF($O9:$O46,"employee only",AG9:AG46)</f>
        <v>545.54374999999993</v>
      </c>
    </row>
    <row r="54" spans="10:33" x14ac:dyDescent="0.25">
      <c r="J54" s="113" t="s">
        <v>160</v>
      </c>
      <c r="K54" s="114">
        <f>COUNTIF(J9:J46, "F")</f>
        <v>16</v>
      </c>
      <c r="L54" s="115">
        <f>SUM(K54/$K$56)</f>
        <v>0.43243243243243246</v>
      </c>
      <c r="N54" s="113" t="s">
        <v>254</v>
      </c>
      <c r="O54" s="175">
        <f>COUNTIF(O9:O47, "Employee plus Spouse")</f>
        <v>2</v>
      </c>
      <c r="P54" s="50">
        <f t="shared" ref="P54:V54" si="4">AVERAGEIF($O9:$O46,"employee plus spouse",P9:P46)</f>
        <v>1765.81</v>
      </c>
      <c r="Q54" s="50">
        <f t="shared" si="4"/>
        <v>1857.125</v>
      </c>
      <c r="R54" s="50">
        <f t="shared" si="4"/>
        <v>1990.3000000000002</v>
      </c>
      <c r="S54" s="50">
        <f t="shared" si="4"/>
        <v>133.17500000000007</v>
      </c>
      <c r="T54" s="50">
        <f t="shared" si="4"/>
        <v>1857.125</v>
      </c>
      <c r="U54" s="50"/>
      <c r="V54" s="50">
        <f t="shared" si="4"/>
        <v>2167.375</v>
      </c>
      <c r="W54" s="50">
        <f>AVERAGEIF($O9:$O46,"employee plus spouse",W9:W46)</f>
        <v>2167.375</v>
      </c>
      <c r="X54" s="50">
        <f>AVERAGEIF($O9:$O46,"employee plus spouse",X9:X46)</f>
        <v>2205.4749999999999</v>
      </c>
      <c r="Y54" s="50">
        <f>AVERAGEIF($O9:$O46,"employee plus spouse",Y9:Y46)</f>
        <v>1025.76</v>
      </c>
      <c r="Z54" s="50">
        <f>AVERAGEIF($O9:$O46,"employee plus spouse",Z9:Z46)</f>
        <v>2201.2049999999999</v>
      </c>
      <c r="AA54" s="113" t="s">
        <v>254</v>
      </c>
      <c r="AB54" s="114">
        <f>COUNTIF(AB9:AB46, "Employee plus Spouse")</f>
        <v>3</v>
      </c>
      <c r="AE54" s="50">
        <f>AVERAGEIF($O9:$O46,"employee plus spouse",AE9:AE46)</f>
        <v>2199.8200000000002</v>
      </c>
      <c r="AF54" s="50">
        <f>AVERAGEIF($O9:$O47,"employee plus spouse",AF9:AF47)</f>
        <v>909.38</v>
      </c>
      <c r="AG54" s="50">
        <f>AVERAGEIF($O9:$O46,"employee plus spouse",AG9:AG46)</f>
        <v>2236.3250000000003</v>
      </c>
    </row>
    <row r="55" spans="10:33" x14ac:dyDescent="0.25">
      <c r="J55" s="113" t="s">
        <v>161</v>
      </c>
      <c r="K55" s="114">
        <f>COUNTIF(J9:J46, "M")</f>
        <v>21</v>
      </c>
      <c r="L55" s="115">
        <f>SUM(K55/$K$56)</f>
        <v>0.56756756756756754</v>
      </c>
      <c r="N55" s="113" t="s">
        <v>252</v>
      </c>
      <c r="O55" s="175">
        <f>COUNTIF(O9:O46, "Employee plus Family")</f>
        <v>10</v>
      </c>
      <c r="P55" s="50">
        <f t="shared" ref="P55:V55" si="5">AVERAGEIF($O9:$O46,"employee plus family",P9:P46)</f>
        <v>1473.8812500000001</v>
      </c>
      <c r="Q55" s="50">
        <f t="shared" si="5"/>
        <v>1873.3533333333335</v>
      </c>
      <c r="R55" s="50">
        <f t="shared" si="5"/>
        <v>2015.6166666666666</v>
      </c>
      <c r="S55" s="50">
        <f t="shared" si="5"/>
        <v>142.26333333333335</v>
      </c>
      <c r="T55" s="50">
        <f t="shared" si="5"/>
        <v>1875.9929999999997</v>
      </c>
      <c r="U55" s="50"/>
      <c r="V55" s="50">
        <f t="shared" si="5"/>
        <v>2016.1949999999997</v>
      </c>
      <c r="W55" s="50">
        <f>AVERAGEIF($O9:$O46,"employee plus family",W9:W46)</f>
        <v>2012.9349999999995</v>
      </c>
      <c r="X55" s="50">
        <f>AVERAGEIF($O9:$O46,"employee plus family",X9:X46)</f>
        <v>2048.3139999999999</v>
      </c>
      <c r="Y55" s="50">
        <f>AVERAGEIF($O9:$O46,"employee plus family",Y9:Y46)</f>
        <v>1675.4159999999999</v>
      </c>
      <c r="Z55" s="50">
        <f>AVERAGEIF($O9:$O46,"employee plus family",Z9:Z46)</f>
        <v>1672.1179999999999</v>
      </c>
      <c r="AA55" s="113" t="s">
        <v>252</v>
      </c>
      <c r="AB55" s="114">
        <f>COUNTIF(AB9:AB46, "Employee plus Family")</f>
        <v>8</v>
      </c>
      <c r="AE55" s="50">
        <f>AVERAGEIF($O9:$O46,"employee plus family",AE9:AE46)</f>
        <v>1866.57125</v>
      </c>
      <c r="AF55" s="50">
        <f>AVERAGEIF($O9:$O47,"employee plus family",AF9:AF47)</f>
        <v>1364.08</v>
      </c>
      <c r="AG55" s="50">
        <f>AVERAGEIF($O9:$O46,"employee plus family",AG9:AG46)</f>
        <v>1897.5462500000003</v>
      </c>
    </row>
    <row r="56" spans="10:33" x14ac:dyDescent="0.25">
      <c r="J56" s="113" t="s">
        <v>72</v>
      </c>
      <c r="K56" s="114">
        <f>SUM(K54+K55)</f>
        <v>37</v>
      </c>
      <c r="L56" s="91"/>
      <c r="N56" s="113" t="s">
        <v>253</v>
      </c>
      <c r="O56" s="175">
        <f>COUNTIF(O9:O46, "Waived")</f>
        <v>5</v>
      </c>
      <c r="P56" s="50">
        <v>0</v>
      </c>
      <c r="Q56" s="50">
        <v>0</v>
      </c>
      <c r="R56" s="50">
        <v>0</v>
      </c>
      <c r="S56" s="50">
        <v>0</v>
      </c>
      <c r="T56" s="50">
        <v>0</v>
      </c>
      <c r="U56" s="50"/>
      <c r="V56" s="50">
        <v>0</v>
      </c>
      <c r="W56" s="50">
        <v>0</v>
      </c>
      <c r="X56" s="50">
        <v>0</v>
      </c>
      <c r="Y56" s="50">
        <v>0</v>
      </c>
      <c r="Z56" s="50">
        <v>0</v>
      </c>
      <c r="AA56" s="113" t="s">
        <v>253</v>
      </c>
      <c r="AB56" s="114">
        <f>COUNTIF(AB9:AB46, "Waived")</f>
        <v>5</v>
      </c>
      <c r="AE56" s="50">
        <v>0</v>
      </c>
      <c r="AF56" s="50">
        <v>0</v>
      </c>
      <c r="AG56" s="50">
        <v>0</v>
      </c>
    </row>
    <row r="57" spans="10:33" x14ac:dyDescent="0.25">
      <c r="J57" s="1"/>
      <c r="N57" s="113"/>
      <c r="O57" s="175"/>
      <c r="P57" s="50"/>
      <c r="Q57" s="50"/>
      <c r="R57" s="50"/>
      <c r="S57" s="50"/>
      <c r="T57" s="50"/>
      <c r="U57" s="50"/>
      <c r="V57" s="50"/>
      <c r="W57" s="50"/>
      <c r="X57" s="50"/>
      <c r="Y57" s="50"/>
      <c r="Z57" s="50"/>
      <c r="AA57" s="50"/>
      <c r="AB57" s="50"/>
      <c r="AE57" s="50"/>
      <c r="AF57" s="50"/>
      <c r="AG57" s="50"/>
    </row>
    <row r="58" spans="10:33" x14ac:dyDescent="0.25">
      <c r="J58" s="1"/>
      <c r="N58" s="113" t="s">
        <v>302</v>
      </c>
      <c r="O58" s="175">
        <f>SUM(O53:O56)</f>
        <v>38</v>
      </c>
      <c r="P58" s="50"/>
      <c r="Q58" s="50"/>
      <c r="R58" s="50"/>
      <c r="S58" s="50"/>
      <c r="T58" s="50"/>
      <c r="U58" s="50"/>
      <c r="V58" s="50"/>
      <c r="W58" s="50"/>
      <c r="X58" s="50"/>
      <c r="Y58" s="50"/>
      <c r="Z58" s="50"/>
      <c r="AA58" s="113" t="s">
        <v>302</v>
      </c>
      <c r="AB58" s="175">
        <f>SUM(AB53:AB56)</f>
        <v>37</v>
      </c>
      <c r="AE58" s="50"/>
      <c r="AF58" s="50"/>
      <c r="AG58" s="50"/>
    </row>
    <row r="59" spans="10:33" x14ac:dyDescent="0.25">
      <c r="J59" s="1"/>
      <c r="N59" s="91" t="s">
        <v>255</v>
      </c>
      <c r="O59" s="175">
        <f>SUM(O53:O55)</f>
        <v>33</v>
      </c>
      <c r="AA59" s="91" t="s">
        <v>255</v>
      </c>
      <c r="AB59" s="175">
        <f>SUM(AB53:AB55)</f>
        <v>32</v>
      </c>
    </row>
    <row r="60" spans="10:33" x14ac:dyDescent="0.25">
      <c r="L60" s="106"/>
      <c r="M60" s="106"/>
      <c r="N60" s="91" t="s">
        <v>256</v>
      </c>
      <c r="O60" s="176">
        <f>SUM(O59/$K$56)</f>
        <v>0.89189189189189189</v>
      </c>
      <c r="P60" s="49">
        <f>SUM($O$53*P53)+($O$54*P54)+($O$55*P55)</f>
        <v>26564.888970588239</v>
      </c>
      <c r="Q60" s="49">
        <f>SUM($O$53*Q53)+($O$54*Q54)+($O$55*Q55)</f>
        <v>31719.829333333335</v>
      </c>
      <c r="R60" s="49">
        <f>SUM($O$53*R53)+($O$54*R54)+($O$55*R55)</f>
        <v>34324.938771929825</v>
      </c>
      <c r="S60" s="49">
        <f>SUM($O$53*S53)+($O$54*S54)+($O$55*S55)</f>
        <v>2399.4022807017545</v>
      </c>
      <c r="T60" s="49">
        <f>SUM($O$53*T53)+($O$54*T54)+($O$55*T55)</f>
        <v>31897.38842105263</v>
      </c>
      <c r="U60" s="49"/>
      <c r="V60" s="49">
        <f>SUM($O$53*V53)+($O$54*V54)+($O$55*V55)</f>
        <v>34729.690526315782</v>
      </c>
      <c r="W60" s="49">
        <f>SUM($O$53*W53)+($O$54*W54)+($O$55*W55)</f>
        <v>34669.834736842095</v>
      </c>
      <c r="X60" s="49">
        <f>SUM($O$53*X53)+($O$54*X54)+($O$55*X55)</f>
        <v>35279.153684210527</v>
      </c>
      <c r="Y60" s="49">
        <f>SUM($O$53*Y53)+($O$54*Y54)+($O$55*Y55)</f>
        <v>26986.55052631579</v>
      </c>
      <c r="Z60" s="49">
        <f>SUM($O$53*Z53)+($O$54*Z54)+($O$55*Z55)</f>
        <v>28960.966842105263</v>
      </c>
      <c r="AA60" s="91" t="s">
        <v>256</v>
      </c>
      <c r="AB60" s="176">
        <f>SUM(AB59/$K$56)</f>
        <v>0.86486486486486491</v>
      </c>
      <c r="AE60" s="49">
        <f>SUM($O$53*AE53)+($O$54*AE54)+($O$55*AE55)</f>
        <v>34260.464852941179</v>
      </c>
      <c r="AF60" s="49">
        <f>SUM($O$53*AF53)+($O$54*AF54)+($O$55*AF55)</f>
        <v>25510.789999999997</v>
      </c>
      <c r="AG60" s="49">
        <f>SUM($O$53*AG53)+($O$54*AG54)+($O$55*AG55)</f>
        <v>34904.53125</v>
      </c>
    </row>
    <row r="61" spans="10:33" x14ac:dyDescent="0.25">
      <c r="L61" s="106"/>
      <c r="M61" s="106"/>
      <c r="N61" s="106"/>
      <c r="AB61" s="49"/>
      <c r="AC61" s="116"/>
    </row>
    <row r="62" spans="10:33" x14ac:dyDescent="0.25">
      <c r="L62" s="106"/>
      <c r="M62" s="106"/>
      <c r="N62" s="106"/>
    </row>
    <row r="63" spans="10:33" x14ac:dyDescent="0.25">
      <c r="L63" s="106"/>
      <c r="M63" s="106"/>
      <c r="N63" s="106"/>
    </row>
    <row r="64" spans="10:33" x14ac:dyDescent="0.25">
      <c r="L64" s="106"/>
      <c r="M64" s="106"/>
      <c r="N64" s="106"/>
    </row>
    <row r="65" spans="12:14" x14ac:dyDescent="0.25">
      <c r="L65" s="106"/>
      <c r="M65" s="106"/>
      <c r="N65" s="106"/>
    </row>
    <row r="66" spans="12:14" x14ac:dyDescent="0.25">
      <c r="L66" s="106"/>
      <c r="M66" s="106"/>
      <c r="N66" s="106"/>
    </row>
    <row r="67" spans="12:14" x14ac:dyDescent="0.25">
      <c r="L67" s="106"/>
      <c r="M67" s="106"/>
      <c r="N67" s="106"/>
    </row>
    <row r="68" spans="12:14" x14ac:dyDescent="0.25">
      <c r="L68" s="106"/>
      <c r="M68" s="106"/>
      <c r="N68" s="106"/>
    </row>
    <row r="69" spans="12:14" x14ac:dyDescent="0.25">
      <c r="L69" s="106"/>
      <c r="M69" s="106"/>
      <c r="N69" s="106"/>
    </row>
    <row r="70" spans="12:14" x14ac:dyDescent="0.25">
      <c r="L70" s="106"/>
      <c r="M70" s="106"/>
      <c r="N70" s="106"/>
    </row>
    <row r="71" spans="12:14" x14ac:dyDescent="0.25">
      <c r="L71" s="106"/>
      <c r="M71" s="106"/>
      <c r="N71" s="106"/>
    </row>
    <row r="72" spans="12:14" x14ac:dyDescent="0.25">
      <c r="L72" s="106"/>
      <c r="M72" s="106"/>
      <c r="N72" s="106"/>
    </row>
    <row r="73" spans="12:14" x14ac:dyDescent="0.25">
      <c r="L73" s="106"/>
      <c r="M73" s="106"/>
      <c r="N73" s="106"/>
    </row>
    <row r="74" spans="12:14" x14ac:dyDescent="0.25">
      <c r="L74" s="106"/>
      <c r="M74" s="106"/>
      <c r="N74" s="106"/>
    </row>
    <row r="75" spans="12:14" x14ac:dyDescent="0.25">
      <c r="L75" s="106"/>
      <c r="M75" s="106"/>
      <c r="N75" s="106"/>
    </row>
    <row r="76" spans="12:14" x14ac:dyDescent="0.25">
      <c r="L76" s="106"/>
      <c r="M76" s="106"/>
      <c r="N76" s="106"/>
    </row>
    <row r="77" spans="12:14" x14ac:dyDescent="0.25">
      <c r="L77" s="106"/>
      <c r="M77" s="106"/>
      <c r="N77" s="106"/>
    </row>
    <row r="78" spans="12:14" x14ac:dyDescent="0.25">
      <c r="L78" s="106"/>
      <c r="M78" s="106"/>
      <c r="N78" s="106"/>
    </row>
    <row r="79" spans="12:14" x14ac:dyDescent="0.25">
      <c r="L79" s="106"/>
      <c r="M79" s="106"/>
      <c r="N79" s="106"/>
    </row>
    <row r="80" spans="12:14" x14ac:dyDescent="0.25">
      <c r="L80" s="106"/>
      <c r="M80" s="106"/>
      <c r="N80" s="106"/>
    </row>
    <row r="81" spans="12:14" x14ac:dyDescent="0.25">
      <c r="L81" s="106"/>
      <c r="M81" s="106"/>
      <c r="N81" s="106"/>
    </row>
    <row r="82" spans="12:14" x14ac:dyDescent="0.25">
      <c r="L82" s="106"/>
      <c r="M82" s="106"/>
      <c r="N82" s="106"/>
    </row>
    <row r="83" spans="12:14" x14ac:dyDescent="0.25">
      <c r="L83" s="106"/>
      <c r="M83" s="106"/>
      <c r="N83" s="106"/>
    </row>
    <row r="84" spans="12:14" x14ac:dyDescent="0.25">
      <c r="L84" s="106"/>
      <c r="M84" s="106"/>
      <c r="N84" s="106"/>
    </row>
    <row r="85" spans="12:14" x14ac:dyDescent="0.25">
      <c r="L85" s="106"/>
      <c r="M85" s="106"/>
      <c r="N85" s="106"/>
    </row>
    <row r="86" spans="12:14" x14ac:dyDescent="0.25">
      <c r="L86" s="106"/>
      <c r="M86" s="106"/>
      <c r="N86" s="106"/>
    </row>
    <row r="87" spans="12:14" x14ac:dyDescent="0.25">
      <c r="L87" s="106"/>
      <c r="M87" s="106"/>
      <c r="N87" s="106"/>
    </row>
    <row r="88" spans="12:14" x14ac:dyDescent="0.25">
      <c r="L88" s="106"/>
      <c r="M88" s="106"/>
      <c r="N88" s="106"/>
    </row>
    <row r="89" spans="12:14" x14ac:dyDescent="0.25">
      <c r="L89" s="106"/>
      <c r="M89" s="106"/>
      <c r="N89" s="106"/>
    </row>
    <row r="90" spans="12:14" x14ac:dyDescent="0.25">
      <c r="L90" s="106"/>
      <c r="M90" s="106"/>
      <c r="N90" s="106"/>
    </row>
    <row r="91" spans="12:14" x14ac:dyDescent="0.25">
      <c r="L91" s="106"/>
      <c r="M91" s="106"/>
      <c r="N91" s="106"/>
    </row>
    <row r="92" spans="12:14" x14ac:dyDescent="0.25">
      <c r="L92" s="106"/>
      <c r="M92" s="106"/>
      <c r="N92" s="106"/>
    </row>
    <row r="93" spans="12:14" x14ac:dyDescent="0.25">
      <c r="L93" s="106"/>
      <c r="M93" s="106"/>
      <c r="N93" s="106"/>
    </row>
    <row r="94" spans="12:14" x14ac:dyDescent="0.25">
      <c r="L94" s="106"/>
      <c r="M94" s="106"/>
      <c r="N94" s="106"/>
    </row>
    <row r="95" spans="12:14" x14ac:dyDescent="0.25">
      <c r="L95" s="106"/>
      <c r="M95" s="106"/>
      <c r="N95" s="106"/>
    </row>
    <row r="96" spans="12:14" x14ac:dyDescent="0.25">
      <c r="L96" s="106"/>
      <c r="M96" s="106"/>
      <c r="N96" s="106"/>
    </row>
    <row r="97" spans="12:14" x14ac:dyDescent="0.25">
      <c r="L97" s="106"/>
      <c r="M97" s="106"/>
      <c r="N97" s="106"/>
    </row>
    <row r="98" spans="12:14" x14ac:dyDescent="0.25">
      <c r="L98" s="106"/>
      <c r="M98" s="106"/>
      <c r="N98" s="106"/>
    </row>
    <row r="99" spans="12:14" x14ac:dyDescent="0.25">
      <c r="L99" s="106"/>
      <c r="M99" s="106"/>
      <c r="N99" s="106"/>
    </row>
    <row r="100" spans="12:14" x14ac:dyDescent="0.25">
      <c r="L100" s="106"/>
      <c r="M100" s="106"/>
      <c r="N100" s="106"/>
    </row>
    <row r="101" spans="12:14" x14ac:dyDescent="0.25">
      <c r="L101" s="106"/>
      <c r="M101" s="106"/>
      <c r="N101" s="106"/>
    </row>
    <row r="102" spans="12:14" x14ac:dyDescent="0.25">
      <c r="L102" s="106"/>
      <c r="M102" s="106"/>
      <c r="N102" s="106"/>
    </row>
    <row r="103" spans="12:14" x14ac:dyDescent="0.25">
      <c r="L103" s="106"/>
      <c r="M103" s="106"/>
      <c r="N103" s="106"/>
    </row>
    <row r="104" spans="12:14" x14ac:dyDescent="0.25">
      <c r="L104" s="106"/>
      <c r="M104" s="106"/>
      <c r="N104" s="106"/>
    </row>
    <row r="105" spans="12:14" x14ac:dyDescent="0.25">
      <c r="L105" s="106"/>
      <c r="M105" s="106"/>
      <c r="N105" s="106"/>
    </row>
    <row r="106" spans="12:14" x14ac:dyDescent="0.25">
      <c r="L106" s="106"/>
      <c r="M106" s="106"/>
      <c r="N106" s="106"/>
    </row>
    <row r="107" spans="12:14" x14ac:dyDescent="0.25">
      <c r="L107" s="106"/>
      <c r="M107" s="106"/>
      <c r="N107" s="106"/>
    </row>
    <row r="108" spans="12:14" x14ac:dyDescent="0.25">
      <c r="L108" s="106"/>
      <c r="M108" s="106"/>
      <c r="N108" s="106"/>
    </row>
    <row r="109" spans="12:14" x14ac:dyDescent="0.25">
      <c r="L109" s="106"/>
      <c r="M109" s="106"/>
      <c r="N109" s="106"/>
    </row>
    <row r="110" spans="12:14" x14ac:dyDescent="0.25">
      <c r="L110" s="106"/>
      <c r="M110" s="106"/>
      <c r="N110" s="106"/>
    </row>
    <row r="111" spans="12:14" x14ac:dyDescent="0.25">
      <c r="L111" s="106"/>
      <c r="M111" s="106"/>
      <c r="N111" s="106"/>
    </row>
    <row r="112" spans="12:14" x14ac:dyDescent="0.25">
      <c r="L112" s="106"/>
      <c r="M112" s="106"/>
      <c r="N112" s="106"/>
    </row>
    <row r="113" spans="12:14" x14ac:dyDescent="0.25">
      <c r="L113" s="106"/>
      <c r="M113" s="106"/>
      <c r="N113" s="106"/>
    </row>
    <row r="114" spans="12:14" x14ac:dyDescent="0.25">
      <c r="L114" s="106"/>
      <c r="M114" s="106"/>
      <c r="N114" s="106"/>
    </row>
    <row r="115" spans="12:14" x14ac:dyDescent="0.25">
      <c r="L115" s="106"/>
      <c r="M115" s="106"/>
      <c r="N115" s="106"/>
    </row>
    <row r="116" spans="12:14" x14ac:dyDescent="0.25">
      <c r="L116" s="106"/>
      <c r="M116" s="106"/>
      <c r="N116" s="106"/>
    </row>
    <row r="117" spans="12:14" x14ac:dyDescent="0.25">
      <c r="L117" s="106"/>
      <c r="M117" s="106"/>
      <c r="N117" s="106"/>
    </row>
    <row r="118" spans="12:14" x14ac:dyDescent="0.25">
      <c r="L118" s="106"/>
      <c r="M118" s="106"/>
      <c r="N118" s="106"/>
    </row>
    <row r="119" spans="12:14" x14ac:dyDescent="0.25">
      <c r="L119" s="106"/>
      <c r="M119" s="106"/>
      <c r="N119" s="106"/>
    </row>
    <row r="120" spans="12:14" x14ac:dyDescent="0.25">
      <c r="L120" s="106"/>
      <c r="M120" s="106"/>
      <c r="N120" s="106"/>
    </row>
    <row r="121" spans="12:14" x14ac:dyDescent="0.25">
      <c r="L121" s="106"/>
      <c r="M121" s="106"/>
      <c r="N121" s="106"/>
    </row>
    <row r="122" spans="12:14" x14ac:dyDescent="0.25">
      <c r="L122" s="106"/>
      <c r="M122" s="106"/>
      <c r="N122" s="106"/>
    </row>
    <row r="123" spans="12:14" x14ac:dyDescent="0.25">
      <c r="L123" s="106"/>
      <c r="M123" s="106"/>
      <c r="N123" s="106"/>
    </row>
    <row r="124" spans="12:14" x14ac:dyDescent="0.25">
      <c r="L124" s="106"/>
      <c r="M124" s="106"/>
      <c r="N124" s="106"/>
    </row>
    <row r="125" spans="12:14" x14ac:dyDescent="0.25">
      <c r="L125" s="106"/>
      <c r="M125" s="106"/>
      <c r="N125" s="106"/>
    </row>
    <row r="126" spans="12:14" x14ac:dyDescent="0.25">
      <c r="L126" s="106"/>
      <c r="M126" s="106"/>
      <c r="N126" s="106"/>
    </row>
    <row r="127" spans="12:14" x14ac:dyDescent="0.25">
      <c r="L127" s="106"/>
      <c r="M127" s="106"/>
      <c r="N127" s="106"/>
    </row>
    <row r="128" spans="12:14" x14ac:dyDescent="0.25">
      <c r="L128" s="106"/>
      <c r="M128" s="106"/>
      <c r="N128" s="106"/>
    </row>
    <row r="129" spans="12:14" x14ac:dyDescent="0.25">
      <c r="L129" s="106"/>
      <c r="M129" s="106"/>
      <c r="N129" s="106"/>
    </row>
    <row r="130" spans="12:14" x14ac:dyDescent="0.25">
      <c r="L130" s="106"/>
      <c r="M130" s="106"/>
      <c r="N130" s="106"/>
    </row>
    <row r="131" spans="12:14" x14ac:dyDescent="0.25">
      <c r="L131" s="106"/>
      <c r="M131" s="106"/>
      <c r="N131" s="106"/>
    </row>
    <row r="132" spans="12:14" x14ac:dyDescent="0.25">
      <c r="L132" s="106"/>
      <c r="M132" s="106"/>
      <c r="N132" s="106"/>
    </row>
    <row r="133" spans="12:14" x14ac:dyDescent="0.25">
      <c r="L133" s="106"/>
      <c r="M133" s="106"/>
      <c r="N133" s="106"/>
    </row>
    <row r="134" spans="12:14" x14ac:dyDescent="0.25">
      <c r="L134" s="106"/>
      <c r="M134" s="106"/>
      <c r="N134" s="106"/>
    </row>
    <row r="135" spans="12:14" x14ac:dyDescent="0.25">
      <c r="L135" s="106"/>
      <c r="M135" s="106"/>
      <c r="N135" s="106"/>
    </row>
    <row r="136" spans="12:14" x14ac:dyDescent="0.25">
      <c r="L136" s="106"/>
      <c r="M136" s="106"/>
      <c r="N136" s="106"/>
    </row>
    <row r="137" spans="12:14" x14ac:dyDescent="0.25">
      <c r="L137" s="106"/>
      <c r="M137" s="106"/>
      <c r="N137" s="106"/>
    </row>
    <row r="138" spans="12:14" x14ac:dyDescent="0.25">
      <c r="L138" s="106"/>
      <c r="M138" s="106"/>
      <c r="N138" s="106"/>
    </row>
    <row r="139" spans="12:14" x14ac:dyDescent="0.25">
      <c r="L139" s="106"/>
      <c r="M139" s="106"/>
      <c r="N139" s="106"/>
    </row>
    <row r="140" spans="12:14" x14ac:dyDescent="0.25">
      <c r="L140" s="106"/>
      <c r="M140" s="106"/>
      <c r="N140" s="106"/>
    </row>
    <row r="141" spans="12:14" x14ac:dyDescent="0.25">
      <c r="L141" s="106"/>
      <c r="M141" s="106"/>
      <c r="N141" s="106"/>
    </row>
    <row r="142" spans="12:14" x14ac:dyDescent="0.25">
      <c r="L142" s="106"/>
      <c r="M142" s="106"/>
      <c r="N142" s="106"/>
    </row>
    <row r="143" spans="12:14" x14ac:dyDescent="0.25">
      <c r="L143" s="106"/>
      <c r="M143" s="106"/>
      <c r="N143" s="106"/>
    </row>
    <row r="144" spans="12:14" x14ac:dyDescent="0.25">
      <c r="L144" s="106"/>
      <c r="M144" s="106"/>
      <c r="N144" s="106"/>
    </row>
    <row r="145" spans="12:14" x14ac:dyDescent="0.25">
      <c r="L145" s="106"/>
      <c r="M145" s="106"/>
      <c r="N145" s="106"/>
    </row>
    <row r="146" spans="12:14" x14ac:dyDescent="0.25">
      <c r="L146" s="106"/>
      <c r="M146" s="106"/>
      <c r="N146" s="106"/>
    </row>
    <row r="147" spans="12:14" x14ac:dyDescent="0.25">
      <c r="L147" s="106"/>
      <c r="M147" s="106"/>
      <c r="N147" s="106"/>
    </row>
    <row r="148" spans="12:14" x14ac:dyDescent="0.25">
      <c r="L148" s="106"/>
      <c r="M148" s="106"/>
      <c r="N148" s="106"/>
    </row>
    <row r="149" spans="12:14" x14ac:dyDescent="0.25">
      <c r="L149" s="106"/>
      <c r="M149" s="106"/>
      <c r="N149" s="106"/>
    </row>
    <row r="150" spans="12:14" x14ac:dyDescent="0.25">
      <c r="L150" s="106"/>
      <c r="M150" s="106"/>
      <c r="N150" s="106"/>
    </row>
    <row r="151" spans="12:14" x14ac:dyDescent="0.25">
      <c r="L151" s="106"/>
      <c r="M151" s="106"/>
      <c r="N151" s="106"/>
    </row>
    <row r="152" spans="12:14" x14ac:dyDescent="0.25">
      <c r="L152" s="106"/>
      <c r="M152" s="106"/>
      <c r="N152" s="106"/>
    </row>
    <row r="153" spans="12:14" x14ac:dyDescent="0.25">
      <c r="L153" s="106"/>
      <c r="M153" s="106"/>
      <c r="N153" s="106"/>
    </row>
    <row r="154" spans="12:14" x14ac:dyDescent="0.25">
      <c r="L154" s="106"/>
      <c r="M154" s="106"/>
      <c r="N154" s="106"/>
    </row>
    <row r="155" spans="12:14" x14ac:dyDescent="0.25">
      <c r="L155" s="106"/>
      <c r="M155" s="106"/>
      <c r="N155" s="106"/>
    </row>
    <row r="156" spans="12:14" x14ac:dyDescent="0.25">
      <c r="L156" s="106"/>
      <c r="M156" s="106"/>
      <c r="N156" s="106"/>
    </row>
    <row r="157" spans="12:14" x14ac:dyDescent="0.25">
      <c r="L157" s="106"/>
      <c r="M157" s="106"/>
      <c r="N157" s="106"/>
    </row>
    <row r="158" spans="12:14" x14ac:dyDescent="0.25">
      <c r="L158" s="106"/>
      <c r="M158" s="106"/>
      <c r="N158" s="106"/>
    </row>
    <row r="159" spans="12:14" x14ac:dyDescent="0.25">
      <c r="L159" s="106"/>
      <c r="M159" s="106"/>
      <c r="N159" s="106"/>
    </row>
    <row r="160" spans="12:14" x14ac:dyDescent="0.25">
      <c r="L160" s="106"/>
      <c r="M160" s="106"/>
      <c r="N160" s="106"/>
    </row>
    <row r="161" spans="12:14" x14ac:dyDescent="0.25">
      <c r="L161" s="106"/>
      <c r="M161" s="106"/>
      <c r="N161" s="106"/>
    </row>
    <row r="162" spans="12:14" x14ac:dyDescent="0.25">
      <c r="L162" s="106"/>
      <c r="M162" s="106"/>
      <c r="N162" s="106"/>
    </row>
    <row r="163" spans="12:14" x14ac:dyDescent="0.25">
      <c r="L163" s="106"/>
      <c r="M163" s="106"/>
      <c r="N163" s="106"/>
    </row>
    <row r="164" spans="12:14" x14ac:dyDescent="0.25">
      <c r="L164" s="106"/>
      <c r="M164" s="106"/>
      <c r="N164" s="106"/>
    </row>
    <row r="165" spans="12:14" x14ac:dyDescent="0.25">
      <c r="L165" s="106"/>
      <c r="M165" s="106"/>
      <c r="N165" s="106"/>
    </row>
    <row r="166" spans="12:14" x14ac:dyDescent="0.25">
      <c r="L166" s="106"/>
      <c r="M166" s="106"/>
      <c r="N166" s="106"/>
    </row>
    <row r="167" spans="12:14" x14ac:dyDescent="0.25">
      <c r="L167" s="106"/>
      <c r="M167" s="106"/>
      <c r="N167" s="106"/>
    </row>
    <row r="168" spans="12:14" x14ac:dyDescent="0.25">
      <c r="L168" s="106"/>
      <c r="M168" s="106"/>
      <c r="N168" s="106"/>
    </row>
    <row r="169" spans="12:14" x14ac:dyDescent="0.25">
      <c r="L169" s="106"/>
      <c r="M169" s="106"/>
      <c r="N169" s="106"/>
    </row>
    <row r="170" spans="12:14" x14ac:dyDescent="0.25">
      <c r="L170" s="106"/>
      <c r="M170" s="106"/>
      <c r="N170" s="106"/>
    </row>
    <row r="171" spans="12:14" x14ac:dyDescent="0.25">
      <c r="L171" s="106"/>
      <c r="M171" s="106"/>
      <c r="N171" s="106"/>
    </row>
    <row r="172" spans="12:14" x14ac:dyDescent="0.25">
      <c r="L172" s="106"/>
      <c r="M172" s="106"/>
      <c r="N172" s="106"/>
    </row>
    <row r="173" spans="12:14" x14ac:dyDescent="0.25">
      <c r="L173" s="106"/>
      <c r="M173" s="106"/>
      <c r="N173" s="106"/>
    </row>
    <row r="174" spans="12:14" x14ac:dyDescent="0.25">
      <c r="L174" s="106"/>
      <c r="M174" s="106"/>
      <c r="N174" s="106"/>
    </row>
    <row r="175" spans="12:14" x14ac:dyDescent="0.25">
      <c r="L175" s="106"/>
      <c r="M175" s="106"/>
      <c r="N175" s="106"/>
    </row>
    <row r="176" spans="12:14" x14ac:dyDescent="0.25">
      <c r="L176" s="106"/>
      <c r="M176" s="106"/>
      <c r="N176" s="106"/>
    </row>
    <row r="177" spans="12:14" x14ac:dyDescent="0.25">
      <c r="L177" s="106"/>
      <c r="M177" s="106"/>
      <c r="N177" s="106"/>
    </row>
    <row r="178" spans="12:14" x14ac:dyDescent="0.25">
      <c r="L178" s="106"/>
      <c r="M178" s="106"/>
      <c r="N178" s="106"/>
    </row>
    <row r="179" spans="12:14" x14ac:dyDescent="0.25">
      <c r="L179" s="106"/>
      <c r="M179" s="106"/>
      <c r="N179" s="106"/>
    </row>
    <row r="180" spans="12:14" x14ac:dyDescent="0.25">
      <c r="L180" s="106"/>
      <c r="M180" s="106"/>
      <c r="N180" s="106"/>
    </row>
    <row r="181" spans="12:14" x14ac:dyDescent="0.25">
      <c r="L181" s="106"/>
      <c r="M181" s="106"/>
      <c r="N181" s="106"/>
    </row>
    <row r="182" spans="12:14" x14ac:dyDescent="0.25">
      <c r="L182" s="106"/>
      <c r="M182" s="106"/>
      <c r="N182" s="106"/>
    </row>
    <row r="183" spans="12:14" x14ac:dyDescent="0.25">
      <c r="L183" s="106"/>
      <c r="M183" s="106"/>
      <c r="N183" s="106"/>
    </row>
    <row r="184" spans="12:14" x14ac:dyDescent="0.25">
      <c r="L184" s="106"/>
      <c r="M184" s="106"/>
      <c r="N184" s="106"/>
    </row>
    <row r="185" spans="12:14" x14ac:dyDescent="0.25">
      <c r="L185" s="106"/>
      <c r="M185" s="106"/>
      <c r="N185" s="106"/>
    </row>
    <row r="186" spans="12:14" x14ac:dyDescent="0.25">
      <c r="L186" s="106"/>
      <c r="M186" s="106"/>
      <c r="N186" s="106"/>
    </row>
    <row r="187" spans="12:14" x14ac:dyDescent="0.25">
      <c r="L187" s="106"/>
      <c r="M187" s="106"/>
      <c r="N187" s="106"/>
    </row>
    <row r="188" spans="12:14" x14ac:dyDescent="0.25">
      <c r="L188" s="106"/>
      <c r="M188" s="106"/>
      <c r="N188" s="106"/>
    </row>
    <row r="189" spans="12:14" x14ac:dyDescent="0.25">
      <c r="L189" s="106"/>
      <c r="M189" s="106"/>
      <c r="N189" s="106"/>
    </row>
    <row r="190" spans="12:14" x14ac:dyDescent="0.25">
      <c r="L190" s="106"/>
      <c r="M190" s="106"/>
      <c r="N190" s="106"/>
    </row>
    <row r="191" spans="12:14" x14ac:dyDescent="0.25">
      <c r="L191" s="106"/>
      <c r="M191" s="106"/>
      <c r="N191" s="106"/>
    </row>
    <row r="192" spans="12:14" x14ac:dyDescent="0.25">
      <c r="L192" s="106"/>
      <c r="M192" s="106"/>
      <c r="N192" s="106"/>
    </row>
    <row r="193" spans="12:14" x14ac:dyDescent="0.25">
      <c r="L193" s="106"/>
      <c r="M193" s="106"/>
      <c r="N193" s="106"/>
    </row>
    <row r="194" spans="12:14" x14ac:dyDescent="0.25">
      <c r="L194" s="106"/>
      <c r="M194" s="106"/>
      <c r="N194" s="106"/>
    </row>
    <row r="195" spans="12:14" x14ac:dyDescent="0.25">
      <c r="L195" s="106"/>
      <c r="M195" s="106"/>
      <c r="N195" s="106"/>
    </row>
    <row r="196" spans="12:14" x14ac:dyDescent="0.25">
      <c r="L196" s="106"/>
      <c r="M196" s="106"/>
      <c r="N196" s="106"/>
    </row>
    <row r="197" spans="12:14" x14ac:dyDescent="0.25">
      <c r="L197" s="106"/>
      <c r="M197" s="106"/>
      <c r="N197" s="106"/>
    </row>
    <row r="198" spans="12:14" x14ac:dyDescent="0.25">
      <c r="L198" s="106"/>
      <c r="M198" s="106"/>
      <c r="N198" s="106"/>
    </row>
    <row r="199" spans="12:14" x14ac:dyDescent="0.25">
      <c r="L199" s="106"/>
      <c r="M199" s="106"/>
      <c r="N199" s="106"/>
    </row>
    <row r="200" spans="12:14" x14ac:dyDescent="0.25">
      <c r="L200" s="106"/>
      <c r="M200" s="106"/>
      <c r="N200" s="106"/>
    </row>
    <row r="201" spans="12:14" x14ac:dyDescent="0.25">
      <c r="L201" s="106"/>
      <c r="M201" s="106"/>
      <c r="N201" s="106"/>
    </row>
    <row r="202" spans="12:14" x14ac:dyDescent="0.25">
      <c r="L202" s="106"/>
      <c r="M202" s="106"/>
      <c r="N202" s="106"/>
    </row>
    <row r="203" spans="12:14" x14ac:dyDescent="0.25">
      <c r="L203" s="106"/>
      <c r="M203" s="106"/>
      <c r="N203" s="106"/>
    </row>
    <row r="204" spans="12:14" x14ac:dyDescent="0.25">
      <c r="L204" s="106"/>
      <c r="M204" s="106"/>
      <c r="N204" s="106"/>
    </row>
    <row r="205" spans="12:14" x14ac:dyDescent="0.25">
      <c r="L205" s="106"/>
      <c r="M205" s="106"/>
      <c r="N205" s="106"/>
    </row>
    <row r="206" spans="12:14" x14ac:dyDescent="0.25">
      <c r="L206" s="106"/>
      <c r="M206" s="106"/>
      <c r="N206" s="106"/>
    </row>
    <row r="207" spans="12:14" x14ac:dyDescent="0.25">
      <c r="L207" s="106"/>
      <c r="M207" s="106"/>
      <c r="N207" s="106"/>
    </row>
    <row r="208" spans="12:14" x14ac:dyDescent="0.25">
      <c r="L208" s="106"/>
      <c r="M208" s="106"/>
      <c r="N208" s="106"/>
    </row>
    <row r="209" spans="12:14" x14ac:dyDescent="0.25">
      <c r="L209" s="106"/>
      <c r="M209" s="106"/>
      <c r="N209" s="106"/>
    </row>
    <row r="210" spans="12:14" x14ac:dyDescent="0.25">
      <c r="L210" s="106"/>
      <c r="M210" s="106"/>
      <c r="N210" s="106"/>
    </row>
    <row r="211" spans="12:14" x14ac:dyDescent="0.25">
      <c r="L211" s="106"/>
      <c r="M211" s="106"/>
      <c r="N211" s="106"/>
    </row>
    <row r="212" spans="12:14" x14ac:dyDescent="0.25">
      <c r="L212" s="106"/>
      <c r="M212" s="106"/>
      <c r="N212" s="106"/>
    </row>
    <row r="213" spans="12:14" x14ac:dyDescent="0.25">
      <c r="L213" s="106"/>
      <c r="M213" s="106"/>
      <c r="N213" s="106"/>
    </row>
    <row r="214" spans="12:14" x14ac:dyDescent="0.25">
      <c r="L214" s="106"/>
      <c r="M214" s="106"/>
      <c r="N214" s="106"/>
    </row>
    <row r="215" spans="12:14" x14ac:dyDescent="0.25">
      <c r="L215" s="106"/>
      <c r="M215" s="106"/>
      <c r="N215" s="106"/>
    </row>
    <row r="216" spans="12:14" x14ac:dyDescent="0.25">
      <c r="L216" s="106"/>
      <c r="M216" s="106"/>
      <c r="N216" s="106"/>
    </row>
    <row r="217" spans="12:14" x14ac:dyDescent="0.25">
      <c r="L217" s="106"/>
      <c r="M217" s="106"/>
      <c r="N217" s="106"/>
    </row>
    <row r="218" spans="12:14" x14ac:dyDescent="0.25">
      <c r="L218" s="106"/>
      <c r="M218" s="106"/>
      <c r="N218" s="106"/>
    </row>
    <row r="219" spans="12:14" x14ac:dyDescent="0.25">
      <c r="L219" s="106"/>
      <c r="M219" s="106"/>
      <c r="N219" s="106"/>
    </row>
    <row r="220" spans="12:14" x14ac:dyDescent="0.25">
      <c r="L220" s="106"/>
      <c r="M220" s="106"/>
      <c r="N220" s="106"/>
    </row>
    <row r="221" spans="12:14" x14ac:dyDescent="0.25">
      <c r="L221" s="106"/>
      <c r="M221" s="106"/>
      <c r="N221" s="106"/>
    </row>
    <row r="222" spans="12:14" x14ac:dyDescent="0.25">
      <c r="L222" s="106"/>
      <c r="M222" s="106"/>
      <c r="N222" s="106"/>
    </row>
    <row r="223" spans="12:14" x14ac:dyDescent="0.25">
      <c r="L223" s="106"/>
      <c r="M223" s="106"/>
      <c r="N223" s="106"/>
    </row>
    <row r="224" spans="12:14" x14ac:dyDescent="0.25">
      <c r="L224" s="106"/>
      <c r="M224" s="106"/>
      <c r="N224" s="106"/>
    </row>
    <row r="225" spans="12:14" x14ac:dyDescent="0.25">
      <c r="L225" s="106"/>
      <c r="M225" s="106"/>
      <c r="N225" s="106"/>
    </row>
    <row r="226" spans="12:14" x14ac:dyDescent="0.25">
      <c r="L226" s="106"/>
      <c r="M226" s="106"/>
      <c r="N226" s="106"/>
    </row>
    <row r="227" spans="12:14" x14ac:dyDescent="0.25">
      <c r="L227" s="106"/>
      <c r="M227" s="106"/>
      <c r="N227" s="106"/>
    </row>
    <row r="228" spans="12:14" x14ac:dyDescent="0.25">
      <c r="L228" s="106"/>
      <c r="M228" s="106"/>
      <c r="N228" s="106"/>
    </row>
    <row r="229" spans="12:14" x14ac:dyDescent="0.25">
      <c r="L229" s="106"/>
      <c r="M229" s="106"/>
      <c r="N229" s="106"/>
    </row>
    <row r="230" spans="12:14" x14ac:dyDescent="0.25">
      <c r="L230" s="106"/>
      <c r="M230" s="106"/>
      <c r="N230" s="106"/>
    </row>
    <row r="231" spans="12:14" x14ac:dyDescent="0.25">
      <c r="L231" s="106"/>
      <c r="M231" s="106"/>
      <c r="N231" s="106"/>
    </row>
    <row r="232" spans="12:14" x14ac:dyDescent="0.25">
      <c r="L232" s="106"/>
      <c r="M232" s="106"/>
      <c r="N232" s="106"/>
    </row>
    <row r="233" spans="12:14" x14ac:dyDescent="0.25">
      <c r="L233" s="106"/>
      <c r="M233" s="106"/>
      <c r="N233" s="106"/>
    </row>
    <row r="234" spans="12:14" x14ac:dyDescent="0.25">
      <c r="L234" s="106"/>
      <c r="M234" s="106"/>
      <c r="N234" s="106"/>
    </row>
    <row r="235" spans="12:14" x14ac:dyDescent="0.25">
      <c r="L235" s="106"/>
      <c r="M235" s="106"/>
      <c r="N235" s="106"/>
    </row>
    <row r="236" spans="12:14" x14ac:dyDescent="0.25">
      <c r="L236" s="106"/>
      <c r="M236" s="106"/>
      <c r="N236" s="106"/>
    </row>
    <row r="237" spans="12:14" x14ac:dyDescent="0.25">
      <c r="L237" s="106"/>
      <c r="M237" s="106"/>
      <c r="N237" s="106"/>
    </row>
    <row r="238" spans="12:14" x14ac:dyDescent="0.25">
      <c r="L238" s="106"/>
      <c r="M238" s="106"/>
      <c r="N238" s="106"/>
    </row>
    <row r="239" spans="12:14" x14ac:dyDescent="0.25">
      <c r="L239" s="106"/>
      <c r="M239" s="106"/>
      <c r="N239" s="106"/>
    </row>
    <row r="240" spans="12:14" x14ac:dyDescent="0.25">
      <c r="L240" s="106"/>
      <c r="M240" s="106"/>
      <c r="N240" s="106"/>
    </row>
    <row r="241" spans="12:14" x14ac:dyDescent="0.25">
      <c r="L241" s="106"/>
      <c r="M241" s="106"/>
      <c r="N241" s="106"/>
    </row>
    <row r="242" spans="12:14" x14ac:dyDescent="0.25">
      <c r="L242" s="106"/>
      <c r="M242" s="106"/>
      <c r="N242" s="106"/>
    </row>
    <row r="243" spans="12:14" x14ac:dyDescent="0.25">
      <c r="L243" s="106"/>
      <c r="M243" s="106"/>
      <c r="N243" s="106"/>
    </row>
    <row r="244" spans="12:14" x14ac:dyDescent="0.25">
      <c r="L244" s="106"/>
      <c r="M244" s="106"/>
      <c r="N244" s="106"/>
    </row>
    <row r="245" spans="12:14" x14ac:dyDescent="0.25">
      <c r="L245" s="106"/>
      <c r="M245" s="106"/>
      <c r="N245" s="106"/>
    </row>
    <row r="246" spans="12:14" x14ac:dyDescent="0.25">
      <c r="L246" s="106"/>
      <c r="M246" s="106"/>
      <c r="N246" s="106"/>
    </row>
    <row r="247" spans="12:14" x14ac:dyDescent="0.25">
      <c r="L247" s="106"/>
      <c r="M247" s="106"/>
      <c r="N247" s="106"/>
    </row>
    <row r="248" spans="12:14" x14ac:dyDescent="0.25">
      <c r="L248" s="106"/>
      <c r="M248" s="106"/>
      <c r="N248" s="106"/>
    </row>
    <row r="249" spans="12:14" x14ac:dyDescent="0.25">
      <c r="L249" s="106"/>
      <c r="M249" s="106"/>
      <c r="N249" s="106"/>
    </row>
    <row r="250" spans="12:14" x14ac:dyDescent="0.25">
      <c r="L250" s="106"/>
      <c r="M250" s="106"/>
      <c r="N250" s="106"/>
    </row>
    <row r="251" spans="12:14" x14ac:dyDescent="0.25">
      <c r="L251" s="106"/>
      <c r="M251" s="106"/>
      <c r="N251" s="106"/>
    </row>
    <row r="252" spans="12:14" x14ac:dyDescent="0.25">
      <c r="L252" s="106"/>
      <c r="M252" s="106"/>
      <c r="N252" s="106"/>
    </row>
    <row r="253" spans="12:14" x14ac:dyDescent="0.25">
      <c r="L253" s="106"/>
      <c r="M253" s="106"/>
      <c r="N253" s="106"/>
    </row>
    <row r="254" spans="12:14" x14ac:dyDescent="0.25">
      <c r="L254" s="106"/>
      <c r="M254" s="106"/>
      <c r="N254" s="106"/>
    </row>
    <row r="255" spans="12:14" x14ac:dyDescent="0.25">
      <c r="L255" s="106"/>
      <c r="M255" s="106"/>
      <c r="N255" s="106"/>
    </row>
    <row r="256" spans="12:14" x14ac:dyDescent="0.25">
      <c r="L256" s="106"/>
      <c r="M256" s="106"/>
      <c r="N256" s="106"/>
    </row>
    <row r="257" spans="12:14" x14ac:dyDescent="0.25">
      <c r="L257" s="106"/>
      <c r="M257" s="106"/>
      <c r="N257" s="106"/>
    </row>
    <row r="258" spans="12:14" x14ac:dyDescent="0.25">
      <c r="L258" s="106"/>
      <c r="M258" s="106"/>
      <c r="N258" s="106"/>
    </row>
    <row r="259" spans="12:14" x14ac:dyDescent="0.25">
      <c r="L259" s="106"/>
      <c r="M259" s="106"/>
      <c r="N259" s="106"/>
    </row>
    <row r="260" spans="12:14" x14ac:dyDescent="0.25">
      <c r="L260" s="106"/>
      <c r="M260" s="106"/>
      <c r="N260" s="106"/>
    </row>
    <row r="261" spans="12:14" x14ac:dyDescent="0.25">
      <c r="L261" s="106"/>
      <c r="M261" s="106"/>
      <c r="N261" s="106"/>
    </row>
    <row r="262" spans="12:14" x14ac:dyDescent="0.25">
      <c r="L262" s="106"/>
      <c r="M262" s="106"/>
      <c r="N262" s="106"/>
    </row>
    <row r="263" spans="12:14" x14ac:dyDescent="0.25">
      <c r="L263" s="106"/>
      <c r="M263" s="106"/>
      <c r="N263" s="106"/>
    </row>
    <row r="264" spans="12:14" x14ac:dyDescent="0.25">
      <c r="L264" s="106"/>
      <c r="M264" s="106"/>
      <c r="N264" s="106"/>
    </row>
    <row r="265" spans="12:14" x14ac:dyDescent="0.25">
      <c r="L265" s="106"/>
      <c r="M265" s="106"/>
      <c r="N265" s="106"/>
    </row>
    <row r="266" spans="12:14" x14ac:dyDescent="0.25">
      <c r="L266" s="106"/>
      <c r="M266" s="106"/>
      <c r="N266" s="106"/>
    </row>
    <row r="267" spans="12:14" x14ac:dyDescent="0.25">
      <c r="L267" s="106"/>
      <c r="M267" s="106"/>
      <c r="N267" s="106"/>
    </row>
    <row r="268" spans="12:14" x14ac:dyDescent="0.25">
      <c r="L268" s="106"/>
      <c r="M268" s="106"/>
      <c r="N268" s="106"/>
    </row>
    <row r="269" spans="12:14" x14ac:dyDescent="0.25">
      <c r="L269" s="106"/>
      <c r="M269" s="106"/>
      <c r="N269" s="106"/>
    </row>
    <row r="270" spans="12:14" x14ac:dyDescent="0.25">
      <c r="L270" s="106"/>
      <c r="M270" s="106"/>
      <c r="N270" s="106"/>
    </row>
    <row r="271" spans="12:14" x14ac:dyDescent="0.25">
      <c r="L271" s="106"/>
      <c r="M271" s="106"/>
      <c r="N271" s="106"/>
    </row>
    <row r="272" spans="12:14" x14ac:dyDescent="0.25">
      <c r="L272" s="106"/>
      <c r="M272" s="106"/>
      <c r="N272" s="106"/>
    </row>
    <row r="273" spans="12:14" x14ac:dyDescent="0.25">
      <c r="L273" s="106"/>
      <c r="M273" s="106"/>
      <c r="N273" s="106"/>
    </row>
    <row r="274" spans="12:14" x14ac:dyDescent="0.25">
      <c r="L274" s="106"/>
      <c r="M274" s="106"/>
      <c r="N274" s="106"/>
    </row>
    <row r="275" spans="12:14" x14ac:dyDescent="0.25">
      <c r="L275" s="106"/>
      <c r="M275" s="106"/>
      <c r="N275" s="106"/>
    </row>
    <row r="276" spans="12:14" x14ac:dyDescent="0.25">
      <c r="L276" s="106"/>
      <c r="M276" s="106"/>
      <c r="N276" s="106"/>
    </row>
    <row r="277" spans="12:14" x14ac:dyDescent="0.25">
      <c r="L277" s="106"/>
      <c r="M277" s="106"/>
      <c r="N277" s="106"/>
    </row>
    <row r="278" spans="12:14" x14ac:dyDescent="0.25">
      <c r="L278" s="106"/>
      <c r="M278" s="106"/>
      <c r="N278" s="106"/>
    </row>
    <row r="279" spans="12:14" x14ac:dyDescent="0.25">
      <c r="L279" s="106"/>
      <c r="M279" s="106"/>
      <c r="N279" s="106"/>
    </row>
    <row r="280" spans="12:14" x14ac:dyDescent="0.25">
      <c r="L280" s="106"/>
      <c r="M280" s="106"/>
      <c r="N280" s="106"/>
    </row>
    <row r="281" spans="12:14" x14ac:dyDescent="0.25">
      <c r="L281" s="106"/>
      <c r="M281" s="106"/>
      <c r="N281" s="106"/>
    </row>
    <row r="282" spans="12:14" x14ac:dyDescent="0.25">
      <c r="L282" s="106"/>
      <c r="M282" s="106"/>
      <c r="N282" s="106"/>
    </row>
    <row r="283" spans="12:14" x14ac:dyDescent="0.25">
      <c r="L283" s="106"/>
      <c r="M283" s="106"/>
      <c r="N283" s="106"/>
    </row>
    <row r="284" spans="12:14" x14ac:dyDescent="0.25">
      <c r="L284" s="106"/>
      <c r="M284" s="106"/>
      <c r="N284" s="106"/>
    </row>
    <row r="285" spans="12:14" x14ac:dyDescent="0.25">
      <c r="L285" s="106"/>
      <c r="M285" s="106"/>
      <c r="N285" s="106"/>
    </row>
    <row r="286" spans="12:14" x14ac:dyDescent="0.25">
      <c r="L286" s="106"/>
      <c r="M286" s="106"/>
      <c r="N286" s="106"/>
    </row>
    <row r="287" spans="12:14" x14ac:dyDescent="0.25">
      <c r="L287" s="106"/>
      <c r="M287" s="106"/>
      <c r="N287" s="106"/>
    </row>
    <row r="288" spans="12:14" x14ac:dyDescent="0.25">
      <c r="L288" s="106"/>
      <c r="M288" s="106"/>
      <c r="N288" s="106"/>
    </row>
    <row r="289" spans="12:14" x14ac:dyDescent="0.25">
      <c r="L289" s="106"/>
      <c r="M289" s="106"/>
      <c r="N289" s="106"/>
    </row>
    <row r="290" spans="12:14" x14ac:dyDescent="0.25">
      <c r="L290" s="106"/>
      <c r="M290" s="106"/>
      <c r="N290" s="106"/>
    </row>
    <row r="291" spans="12:14" x14ac:dyDescent="0.25">
      <c r="L291" s="106"/>
      <c r="M291" s="106"/>
      <c r="N291" s="106"/>
    </row>
    <row r="292" spans="12:14" x14ac:dyDescent="0.25">
      <c r="L292" s="106"/>
      <c r="M292" s="106"/>
      <c r="N292" s="106"/>
    </row>
    <row r="293" spans="12:14" x14ac:dyDescent="0.25">
      <c r="L293" s="106"/>
      <c r="M293" s="106"/>
      <c r="N293" s="106"/>
    </row>
    <row r="294" spans="12:14" x14ac:dyDescent="0.25">
      <c r="L294" s="106"/>
      <c r="M294" s="106"/>
      <c r="N294" s="106"/>
    </row>
    <row r="295" spans="12:14" x14ac:dyDescent="0.25">
      <c r="L295" s="106"/>
      <c r="M295" s="106"/>
      <c r="N295" s="106"/>
    </row>
    <row r="296" spans="12:14" x14ac:dyDescent="0.25">
      <c r="L296" s="106"/>
      <c r="M296" s="106"/>
      <c r="N296" s="106"/>
    </row>
    <row r="297" spans="12:14" x14ac:dyDescent="0.25">
      <c r="L297" s="106"/>
      <c r="M297" s="106"/>
      <c r="N297" s="106"/>
    </row>
    <row r="298" spans="12:14" x14ac:dyDescent="0.25">
      <c r="L298" s="106"/>
      <c r="M298" s="106"/>
      <c r="N298" s="106"/>
    </row>
    <row r="299" spans="12:14" x14ac:dyDescent="0.25">
      <c r="L299" s="106"/>
      <c r="M299" s="106"/>
      <c r="N299" s="106"/>
    </row>
    <row r="300" spans="12:14" x14ac:dyDescent="0.25">
      <c r="L300" s="106"/>
      <c r="M300" s="106"/>
      <c r="N300" s="106"/>
    </row>
    <row r="301" spans="12:14" x14ac:dyDescent="0.25">
      <c r="L301" s="106"/>
      <c r="M301" s="106"/>
      <c r="N301" s="106"/>
    </row>
    <row r="302" spans="12:14" x14ac:dyDescent="0.25">
      <c r="L302" s="106"/>
      <c r="M302" s="106"/>
      <c r="N302" s="106"/>
    </row>
    <row r="303" spans="12:14" x14ac:dyDescent="0.25">
      <c r="L303" s="106"/>
      <c r="M303" s="106"/>
      <c r="N303" s="106"/>
    </row>
    <row r="304" spans="12:14" x14ac:dyDescent="0.25">
      <c r="L304" s="106"/>
      <c r="M304" s="106"/>
      <c r="N304" s="106"/>
    </row>
    <row r="305" spans="12:14" x14ac:dyDescent="0.25">
      <c r="L305" s="106"/>
      <c r="M305" s="106"/>
      <c r="N305" s="106"/>
    </row>
    <row r="306" spans="12:14" x14ac:dyDescent="0.25">
      <c r="L306" s="106"/>
      <c r="M306" s="106"/>
      <c r="N306" s="106"/>
    </row>
    <row r="307" spans="12:14" x14ac:dyDescent="0.25">
      <c r="L307" s="106"/>
      <c r="M307" s="106"/>
      <c r="N307" s="106"/>
    </row>
    <row r="308" spans="12:14" x14ac:dyDescent="0.25">
      <c r="L308" s="106"/>
      <c r="M308" s="106"/>
      <c r="N308" s="106"/>
    </row>
    <row r="309" spans="12:14" x14ac:dyDescent="0.25">
      <c r="L309" s="106"/>
      <c r="M309" s="106"/>
      <c r="N309" s="106"/>
    </row>
    <row r="310" spans="12:14" x14ac:dyDescent="0.25">
      <c r="L310" s="106"/>
      <c r="M310" s="106"/>
      <c r="N310" s="106"/>
    </row>
    <row r="311" spans="12:14" x14ac:dyDescent="0.25">
      <c r="L311" s="106"/>
      <c r="M311" s="106"/>
      <c r="N311" s="106"/>
    </row>
    <row r="312" spans="12:14" x14ac:dyDescent="0.25">
      <c r="L312" s="106"/>
      <c r="M312" s="106"/>
      <c r="N312" s="106"/>
    </row>
    <row r="313" spans="12:14" x14ac:dyDescent="0.25">
      <c r="L313" s="106"/>
      <c r="M313" s="106"/>
      <c r="N313" s="106"/>
    </row>
    <row r="314" spans="12:14" x14ac:dyDescent="0.25">
      <c r="L314" s="106"/>
      <c r="M314" s="106"/>
      <c r="N314" s="106"/>
    </row>
    <row r="315" spans="12:14" x14ac:dyDescent="0.25">
      <c r="L315" s="106"/>
      <c r="M315" s="106"/>
      <c r="N315" s="106"/>
    </row>
    <row r="316" spans="12:14" x14ac:dyDescent="0.25">
      <c r="L316" s="106"/>
      <c r="M316" s="106"/>
      <c r="N316" s="106"/>
    </row>
    <row r="317" spans="12:14" x14ac:dyDescent="0.25">
      <c r="L317" s="106"/>
      <c r="M317" s="106"/>
      <c r="N317" s="106"/>
    </row>
    <row r="318" spans="12:14" x14ac:dyDescent="0.25">
      <c r="L318" s="106"/>
      <c r="M318" s="106"/>
      <c r="N318" s="106"/>
    </row>
    <row r="319" spans="12:14" x14ac:dyDescent="0.25">
      <c r="L319" s="106"/>
      <c r="M319" s="106"/>
      <c r="N319" s="106"/>
    </row>
    <row r="320" spans="12:14" x14ac:dyDescent="0.25">
      <c r="L320" s="106"/>
      <c r="M320" s="106"/>
      <c r="N320" s="106"/>
    </row>
    <row r="321" spans="12:14" x14ac:dyDescent="0.25">
      <c r="L321" s="106"/>
      <c r="M321" s="106"/>
      <c r="N321" s="106"/>
    </row>
    <row r="322" spans="12:14" x14ac:dyDescent="0.25">
      <c r="L322" s="106"/>
      <c r="M322" s="106"/>
      <c r="N322" s="106"/>
    </row>
    <row r="323" spans="12:14" x14ac:dyDescent="0.25">
      <c r="L323" s="106"/>
      <c r="M323" s="106"/>
      <c r="N323" s="106"/>
    </row>
    <row r="324" spans="12:14" x14ac:dyDescent="0.25">
      <c r="L324" s="106"/>
      <c r="M324" s="106"/>
      <c r="N324" s="106"/>
    </row>
    <row r="325" spans="12:14" x14ac:dyDescent="0.25">
      <c r="L325" s="106"/>
      <c r="M325" s="106"/>
      <c r="N325" s="106"/>
    </row>
    <row r="326" spans="12:14" x14ac:dyDescent="0.25">
      <c r="L326" s="106"/>
      <c r="M326" s="106"/>
      <c r="N326" s="106"/>
    </row>
    <row r="327" spans="12:14" x14ac:dyDescent="0.25">
      <c r="L327" s="106"/>
      <c r="M327" s="106"/>
      <c r="N327" s="106"/>
    </row>
    <row r="328" spans="12:14" x14ac:dyDescent="0.25">
      <c r="L328" s="106"/>
      <c r="M328" s="106"/>
      <c r="N328" s="106"/>
    </row>
    <row r="329" spans="12:14" x14ac:dyDescent="0.25">
      <c r="L329" s="106"/>
      <c r="M329" s="106"/>
      <c r="N329" s="106"/>
    </row>
    <row r="330" spans="12:14" x14ac:dyDescent="0.25">
      <c r="L330" s="106"/>
      <c r="M330" s="106"/>
      <c r="N330" s="106"/>
    </row>
    <row r="331" spans="12:14" x14ac:dyDescent="0.25">
      <c r="L331" s="106"/>
      <c r="M331" s="106"/>
      <c r="N331" s="106"/>
    </row>
    <row r="332" spans="12:14" x14ac:dyDescent="0.25">
      <c r="L332" s="106"/>
      <c r="M332" s="106"/>
      <c r="N332" s="106"/>
    </row>
    <row r="333" spans="12:14" x14ac:dyDescent="0.25">
      <c r="L333" s="106"/>
      <c r="M333" s="106"/>
      <c r="N333" s="106"/>
    </row>
    <row r="334" spans="12:14" x14ac:dyDescent="0.25">
      <c r="L334" s="106"/>
      <c r="M334" s="106"/>
      <c r="N334" s="106"/>
    </row>
    <row r="335" spans="12:14" x14ac:dyDescent="0.25">
      <c r="L335" s="106"/>
      <c r="M335" s="106"/>
      <c r="N335" s="106"/>
    </row>
    <row r="336" spans="12:14" x14ac:dyDescent="0.25">
      <c r="L336" s="106"/>
      <c r="M336" s="106"/>
      <c r="N336" s="106"/>
    </row>
    <row r="337" spans="12:14" x14ac:dyDescent="0.25">
      <c r="L337" s="106"/>
      <c r="M337" s="106"/>
      <c r="N337" s="106"/>
    </row>
    <row r="338" spans="12:14" x14ac:dyDescent="0.25">
      <c r="L338" s="106"/>
      <c r="M338" s="106"/>
      <c r="N338" s="106"/>
    </row>
    <row r="339" spans="12:14" x14ac:dyDescent="0.25">
      <c r="L339" s="106"/>
      <c r="M339" s="106"/>
      <c r="N339" s="106"/>
    </row>
    <row r="340" spans="12:14" x14ac:dyDescent="0.25">
      <c r="L340" s="106"/>
      <c r="M340" s="106"/>
      <c r="N340" s="106"/>
    </row>
    <row r="341" spans="12:14" x14ac:dyDescent="0.25">
      <c r="L341" s="106"/>
      <c r="M341" s="106"/>
      <c r="N341" s="106"/>
    </row>
    <row r="342" spans="12:14" x14ac:dyDescent="0.25">
      <c r="L342" s="106"/>
      <c r="M342" s="106"/>
      <c r="N342" s="106"/>
    </row>
    <row r="343" spans="12:14" x14ac:dyDescent="0.25">
      <c r="L343" s="106"/>
      <c r="M343" s="106"/>
      <c r="N343" s="106"/>
    </row>
    <row r="344" spans="12:14" x14ac:dyDescent="0.25">
      <c r="L344" s="106"/>
      <c r="M344" s="106"/>
      <c r="N344" s="106"/>
    </row>
    <row r="345" spans="12:14" x14ac:dyDescent="0.25">
      <c r="L345" s="106"/>
      <c r="M345" s="106"/>
      <c r="N345" s="106"/>
    </row>
    <row r="346" spans="12:14" x14ac:dyDescent="0.25">
      <c r="L346" s="106"/>
      <c r="M346" s="106"/>
      <c r="N346" s="106"/>
    </row>
    <row r="347" spans="12:14" x14ac:dyDescent="0.25">
      <c r="L347" s="106"/>
      <c r="M347" s="106"/>
      <c r="N347" s="106"/>
    </row>
    <row r="348" spans="12:14" x14ac:dyDescent="0.25">
      <c r="L348" s="106"/>
      <c r="M348" s="106"/>
      <c r="N348" s="106"/>
    </row>
    <row r="349" spans="12:14" x14ac:dyDescent="0.25">
      <c r="L349" s="106"/>
      <c r="M349" s="106"/>
      <c r="N349" s="106"/>
    </row>
    <row r="350" spans="12:14" x14ac:dyDescent="0.25">
      <c r="L350" s="106"/>
      <c r="M350" s="106"/>
      <c r="N350" s="106"/>
    </row>
    <row r="351" spans="12:14" x14ac:dyDescent="0.25">
      <c r="L351" s="106"/>
      <c r="M351" s="106"/>
      <c r="N351" s="106"/>
    </row>
    <row r="352" spans="12:14" x14ac:dyDescent="0.25">
      <c r="L352" s="106"/>
      <c r="M352" s="106"/>
      <c r="N352" s="106"/>
    </row>
    <row r="353" spans="12:14" x14ac:dyDescent="0.25">
      <c r="L353" s="106"/>
      <c r="M353" s="106"/>
      <c r="N353" s="106"/>
    </row>
    <row r="354" spans="12:14" x14ac:dyDescent="0.25">
      <c r="L354" s="106"/>
      <c r="M354" s="106"/>
      <c r="N354" s="106"/>
    </row>
    <row r="355" spans="12:14" x14ac:dyDescent="0.25">
      <c r="L355" s="106"/>
      <c r="M355" s="106"/>
      <c r="N355" s="106"/>
    </row>
    <row r="356" spans="12:14" x14ac:dyDescent="0.25">
      <c r="L356" s="106"/>
      <c r="M356" s="106"/>
      <c r="N356" s="106"/>
    </row>
    <row r="357" spans="12:14" x14ac:dyDescent="0.25">
      <c r="L357" s="106"/>
      <c r="M357" s="106"/>
      <c r="N357" s="106"/>
    </row>
    <row r="358" spans="12:14" x14ac:dyDescent="0.25">
      <c r="L358" s="106"/>
      <c r="M358" s="106"/>
      <c r="N358" s="106"/>
    </row>
    <row r="359" spans="12:14" x14ac:dyDescent="0.25">
      <c r="L359" s="106"/>
      <c r="M359" s="106"/>
      <c r="N359" s="106"/>
    </row>
    <row r="360" spans="12:14" x14ac:dyDescent="0.25">
      <c r="L360" s="106"/>
      <c r="M360" s="106"/>
      <c r="N360" s="106"/>
    </row>
    <row r="361" spans="12:14" x14ac:dyDescent="0.25">
      <c r="L361" s="106"/>
      <c r="M361" s="106"/>
      <c r="N361" s="106"/>
    </row>
    <row r="362" spans="12:14" x14ac:dyDescent="0.25">
      <c r="L362" s="106"/>
      <c r="M362" s="106"/>
      <c r="N362" s="106"/>
    </row>
    <row r="363" spans="12:14" x14ac:dyDescent="0.25">
      <c r="L363" s="106"/>
      <c r="M363" s="106"/>
      <c r="N363" s="106"/>
    </row>
    <row r="364" spans="12:14" x14ac:dyDescent="0.25">
      <c r="L364" s="106"/>
      <c r="M364" s="106"/>
      <c r="N364" s="106"/>
    </row>
    <row r="365" spans="12:14" x14ac:dyDescent="0.25">
      <c r="L365" s="106"/>
      <c r="M365" s="106"/>
      <c r="N365" s="106"/>
    </row>
    <row r="366" spans="12:14" x14ac:dyDescent="0.25">
      <c r="L366" s="106"/>
      <c r="M366" s="106"/>
      <c r="N366" s="106"/>
    </row>
    <row r="367" spans="12:14" x14ac:dyDescent="0.25">
      <c r="L367" s="106"/>
      <c r="M367" s="106"/>
      <c r="N367" s="106"/>
    </row>
    <row r="368" spans="12:14" x14ac:dyDescent="0.25">
      <c r="L368" s="106"/>
      <c r="M368" s="106"/>
      <c r="N368" s="106"/>
    </row>
    <row r="369" spans="12:14" x14ac:dyDescent="0.25">
      <c r="L369" s="106"/>
      <c r="M369" s="106"/>
      <c r="N369" s="106"/>
    </row>
    <row r="370" spans="12:14" x14ac:dyDescent="0.25">
      <c r="L370" s="106"/>
      <c r="M370" s="106"/>
      <c r="N370" s="106"/>
    </row>
    <row r="371" spans="12:14" x14ac:dyDescent="0.25">
      <c r="L371" s="106"/>
      <c r="M371" s="106"/>
      <c r="N371" s="106"/>
    </row>
    <row r="372" spans="12:14" x14ac:dyDescent="0.25">
      <c r="L372" s="106"/>
      <c r="M372" s="106"/>
      <c r="N372" s="106"/>
    </row>
    <row r="373" spans="12:14" x14ac:dyDescent="0.25">
      <c r="L373" s="106"/>
      <c r="M373" s="106"/>
      <c r="N373" s="106"/>
    </row>
    <row r="374" spans="12:14" x14ac:dyDescent="0.25">
      <c r="L374" s="106"/>
      <c r="M374" s="106"/>
      <c r="N374" s="106"/>
    </row>
    <row r="375" spans="12:14" x14ac:dyDescent="0.25">
      <c r="L375" s="106"/>
      <c r="M375" s="106"/>
      <c r="N375" s="106"/>
    </row>
    <row r="376" spans="12:14" x14ac:dyDescent="0.25">
      <c r="L376" s="106"/>
      <c r="M376" s="106"/>
      <c r="N376" s="106"/>
    </row>
    <row r="377" spans="12:14" x14ac:dyDescent="0.25">
      <c r="L377" s="106"/>
      <c r="M377" s="106"/>
      <c r="N377" s="106"/>
    </row>
    <row r="378" spans="12:14" x14ac:dyDescent="0.25">
      <c r="L378" s="106"/>
      <c r="M378" s="106"/>
      <c r="N378" s="106"/>
    </row>
    <row r="379" spans="12:14" x14ac:dyDescent="0.25">
      <c r="L379" s="106"/>
      <c r="M379" s="106"/>
      <c r="N379" s="106"/>
    </row>
    <row r="380" spans="12:14" x14ac:dyDescent="0.25">
      <c r="L380" s="106"/>
      <c r="M380" s="106"/>
      <c r="N380" s="106"/>
    </row>
    <row r="381" spans="12:14" x14ac:dyDescent="0.25">
      <c r="L381" s="106"/>
      <c r="M381" s="106"/>
      <c r="N381" s="106"/>
    </row>
    <row r="382" spans="12:14" x14ac:dyDescent="0.25">
      <c r="L382" s="106"/>
      <c r="M382" s="106"/>
      <c r="N382" s="106"/>
    </row>
    <row r="383" spans="12:14" x14ac:dyDescent="0.25">
      <c r="L383" s="106"/>
      <c r="M383" s="106"/>
      <c r="N383" s="106"/>
    </row>
    <row r="384" spans="12:14" x14ac:dyDescent="0.25">
      <c r="L384" s="106"/>
      <c r="M384" s="106"/>
      <c r="N384" s="106"/>
    </row>
    <row r="385" spans="12:14" x14ac:dyDescent="0.25">
      <c r="L385" s="106"/>
      <c r="M385" s="106"/>
      <c r="N385" s="106"/>
    </row>
    <row r="386" spans="12:14" x14ac:dyDescent="0.25">
      <c r="L386" s="106"/>
      <c r="M386" s="106"/>
      <c r="N386" s="106"/>
    </row>
    <row r="387" spans="12:14" x14ac:dyDescent="0.25">
      <c r="L387" s="106"/>
      <c r="M387" s="106"/>
      <c r="N387" s="106"/>
    </row>
    <row r="388" spans="12:14" x14ac:dyDescent="0.25">
      <c r="L388" s="106"/>
      <c r="M388" s="106"/>
      <c r="N388" s="106"/>
    </row>
    <row r="389" spans="12:14" x14ac:dyDescent="0.25">
      <c r="L389" s="106"/>
      <c r="M389" s="106"/>
      <c r="N389" s="106"/>
    </row>
    <row r="390" spans="12:14" x14ac:dyDescent="0.25">
      <c r="L390" s="106"/>
      <c r="M390" s="106"/>
      <c r="N390" s="106"/>
    </row>
    <row r="391" spans="12:14" x14ac:dyDescent="0.25">
      <c r="L391" s="106"/>
      <c r="M391" s="106"/>
      <c r="N391" s="106"/>
    </row>
    <row r="392" spans="12:14" x14ac:dyDescent="0.25">
      <c r="L392" s="106"/>
      <c r="M392" s="106"/>
      <c r="N392" s="106"/>
    </row>
    <row r="393" spans="12:14" x14ac:dyDescent="0.25">
      <c r="L393" s="106"/>
      <c r="M393" s="106"/>
      <c r="N393" s="106"/>
    </row>
    <row r="394" spans="12:14" x14ac:dyDescent="0.25">
      <c r="L394" s="106"/>
      <c r="M394" s="106"/>
      <c r="N394" s="106"/>
    </row>
    <row r="395" spans="12:14" x14ac:dyDescent="0.25">
      <c r="L395" s="106"/>
      <c r="M395" s="106"/>
      <c r="N395" s="106"/>
    </row>
    <row r="396" spans="12:14" x14ac:dyDescent="0.25">
      <c r="L396" s="106"/>
      <c r="M396" s="106"/>
      <c r="N396" s="106"/>
    </row>
    <row r="397" spans="12:14" x14ac:dyDescent="0.25">
      <c r="L397" s="106"/>
      <c r="M397" s="106"/>
      <c r="N397" s="106"/>
    </row>
    <row r="398" spans="12:14" x14ac:dyDescent="0.25">
      <c r="L398" s="106"/>
      <c r="M398" s="106"/>
      <c r="N398" s="106"/>
    </row>
    <row r="399" spans="12:14" x14ac:dyDescent="0.25">
      <c r="L399" s="106"/>
      <c r="M399" s="106"/>
      <c r="N399" s="106"/>
    </row>
    <row r="400" spans="12:14" x14ac:dyDescent="0.25">
      <c r="L400" s="106"/>
      <c r="M400" s="106"/>
      <c r="N400" s="106"/>
    </row>
    <row r="401" spans="12:14" x14ac:dyDescent="0.25">
      <c r="L401" s="106"/>
      <c r="M401" s="106"/>
      <c r="N401" s="106"/>
    </row>
    <row r="402" spans="12:14" x14ac:dyDescent="0.25">
      <c r="L402" s="106"/>
      <c r="M402" s="106"/>
      <c r="N402" s="106"/>
    </row>
    <row r="403" spans="12:14" x14ac:dyDescent="0.25">
      <c r="L403" s="106"/>
      <c r="M403" s="106"/>
      <c r="N403" s="106"/>
    </row>
    <row r="404" spans="12:14" x14ac:dyDescent="0.25">
      <c r="L404" s="106"/>
      <c r="M404" s="106"/>
      <c r="N404" s="106"/>
    </row>
    <row r="405" spans="12:14" x14ac:dyDescent="0.25">
      <c r="L405" s="106"/>
      <c r="M405" s="106"/>
      <c r="N405" s="106"/>
    </row>
    <row r="406" spans="12:14" x14ac:dyDescent="0.25">
      <c r="L406" s="106"/>
      <c r="M406" s="106"/>
      <c r="N406" s="106"/>
    </row>
    <row r="407" spans="12:14" x14ac:dyDescent="0.25">
      <c r="L407" s="106"/>
      <c r="M407" s="106"/>
      <c r="N407" s="106"/>
    </row>
    <row r="408" spans="12:14" x14ac:dyDescent="0.25">
      <c r="L408" s="106"/>
      <c r="M408" s="106"/>
      <c r="N408" s="106"/>
    </row>
    <row r="409" spans="12:14" x14ac:dyDescent="0.25">
      <c r="L409" s="106"/>
      <c r="M409" s="106"/>
      <c r="N409" s="106"/>
    </row>
    <row r="410" spans="12:14" x14ac:dyDescent="0.25">
      <c r="L410" s="106"/>
      <c r="M410" s="106"/>
      <c r="N410" s="106"/>
    </row>
    <row r="411" spans="12:14" x14ac:dyDescent="0.25">
      <c r="L411" s="106"/>
      <c r="M411" s="106"/>
      <c r="N411" s="106"/>
    </row>
    <row r="412" spans="12:14" x14ac:dyDescent="0.25">
      <c r="L412" s="106"/>
      <c r="M412" s="106"/>
      <c r="N412" s="106"/>
    </row>
    <row r="413" spans="12:14" x14ac:dyDescent="0.25">
      <c r="L413" s="106"/>
      <c r="M413" s="106"/>
      <c r="N413" s="106"/>
    </row>
    <row r="414" spans="12:14" x14ac:dyDescent="0.25">
      <c r="L414" s="106"/>
      <c r="M414" s="106"/>
      <c r="N414" s="106"/>
    </row>
    <row r="415" spans="12:14" x14ac:dyDescent="0.25">
      <c r="L415" s="106"/>
      <c r="M415" s="106"/>
      <c r="N415" s="106"/>
    </row>
    <row r="416" spans="12:14" x14ac:dyDescent="0.25">
      <c r="L416" s="106"/>
      <c r="M416" s="106"/>
      <c r="N416" s="106"/>
    </row>
    <row r="417" spans="12:14" x14ac:dyDescent="0.25">
      <c r="L417" s="106"/>
      <c r="M417" s="106"/>
      <c r="N417" s="106"/>
    </row>
    <row r="418" spans="12:14" x14ac:dyDescent="0.25">
      <c r="L418" s="106"/>
      <c r="M418" s="106"/>
      <c r="N418" s="106"/>
    </row>
    <row r="419" spans="12:14" x14ac:dyDescent="0.25">
      <c r="L419" s="106"/>
      <c r="M419" s="106"/>
      <c r="N419" s="106"/>
    </row>
    <row r="420" spans="12:14" x14ac:dyDescent="0.25">
      <c r="L420" s="106"/>
      <c r="M420" s="106"/>
      <c r="N420" s="106"/>
    </row>
    <row r="421" spans="12:14" x14ac:dyDescent="0.25">
      <c r="L421" s="106"/>
      <c r="M421" s="106"/>
      <c r="N421" s="106"/>
    </row>
    <row r="422" spans="12:14" x14ac:dyDescent="0.25">
      <c r="L422" s="106"/>
      <c r="M422" s="106"/>
      <c r="N422" s="106"/>
    </row>
    <row r="423" spans="12:14" x14ac:dyDescent="0.25">
      <c r="L423" s="106"/>
      <c r="M423" s="106"/>
      <c r="N423" s="106"/>
    </row>
    <row r="424" spans="12:14" x14ac:dyDescent="0.25">
      <c r="L424" s="106"/>
      <c r="M424" s="106"/>
      <c r="N424" s="106"/>
    </row>
    <row r="425" spans="12:14" x14ac:dyDescent="0.25">
      <c r="L425" s="106"/>
      <c r="M425" s="106"/>
      <c r="N425" s="106"/>
    </row>
    <row r="426" spans="12:14" x14ac:dyDescent="0.25">
      <c r="L426" s="106"/>
      <c r="M426" s="106"/>
      <c r="N426" s="106"/>
    </row>
    <row r="427" spans="12:14" x14ac:dyDescent="0.25">
      <c r="L427" s="106"/>
      <c r="M427" s="106"/>
      <c r="N427" s="106"/>
    </row>
    <row r="428" spans="12:14" x14ac:dyDescent="0.25">
      <c r="L428" s="106"/>
      <c r="M428" s="106"/>
      <c r="N428" s="106"/>
    </row>
    <row r="429" spans="12:14" x14ac:dyDescent="0.25">
      <c r="L429" s="106"/>
      <c r="M429" s="106"/>
      <c r="N429" s="106"/>
    </row>
    <row r="430" spans="12:14" x14ac:dyDescent="0.25">
      <c r="L430" s="106"/>
      <c r="M430" s="106"/>
      <c r="N430" s="106"/>
    </row>
    <row r="431" spans="12:14" x14ac:dyDescent="0.25">
      <c r="L431" s="106"/>
      <c r="M431" s="106"/>
      <c r="N431" s="106"/>
    </row>
    <row r="432" spans="12:14" x14ac:dyDescent="0.25">
      <c r="L432" s="106"/>
      <c r="M432" s="106"/>
      <c r="N432" s="106"/>
    </row>
    <row r="433" spans="12:14" x14ac:dyDescent="0.25">
      <c r="L433" s="106"/>
      <c r="M433" s="106"/>
      <c r="N433" s="106"/>
    </row>
    <row r="434" spans="12:14" x14ac:dyDescent="0.25">
      <c r="L434" s="106"/>
      <c r="M434" s="106"/>
      <c r="N434" s="106"/>
    </row>
    <row r="435" spans="12:14" x14ac:dyDescent="0.25">
      <c r="L435" s="106"/>
      <c r="M435" s="106"/>
      <c r="N435" s="106"/>
    </row>
    <row r="436" spans="12:14" x14ac:dyDescent="0.25">
      <c r="L436" s="106"/>
      <c r="M436" s="106"/>
      <c r="N436" s="106"/>
    </row>
    <row r="437" spans="12:14" x14ac:dyDescent="0.25">
      <c r="L437" s="106"/>
      <c r="M437" s="106"/>
      <c r="N437" s="106"/>
    </row>
    <row r="438" spans="12:14" x14ac:dyDescent="0.25">
      <c r="L438" s="106"/>
      <c r="M438" s="106"/>
      <c r="N438" s="106"/>
    </row>
    <row r="439" spans="12:14" x14ac:dyDescent="0.25">
      <c r="L439" s="106"/>
      <c r="M439" s="106"/>
      <c r="N439" s="106"/>
    </row>
    <row r="440" spans="12:14" x14ac:dyDescent="0.25">
      <c r="L440" s="106"/>
      <c r="M440" s="106"/>
      <c r="N440" s="106"/>
    </row>
    <row r="441" spans="12:14" x14ac:dyDescent="0.25">
      <c r="L441" s="106"/>
      <c r="M441" s="106"/>
      <c r="N441" s="106"/>
    </row>
    <row r="442" spans="12:14" x14ac:dyDescent="0.25">
      <c r="L442" s="106"/>
      <c r="M442" s="106"/>
      <c r="N442" s="106"/>
    </row>
    <row r="443" spans="12:14" x14ac:dyDescent="0.25">
      <c r="L443" s="106"/>
      <c r="M443" s="106"/>
      <c r="N443" s="106"/>
    </row>
    <row r="444" spans="12:14" x14ac:dyDescent="0.25">
      <c r="L444" s="106"/>
      <c r="M444" s="106"/>
      <c r="N444" s="106"/>
    </row>
    <row r="445" spans="12:14" x14ac:dyDescent="0.25">
      <c r="L445" s="106"/>
      <c r="M445" s="106"/>
      <c r="N445" s="106"/>
    </row>
    <row r="446" spans="12:14" x14ac:dyDescent="0.25">
      <c r="L446" s="106"/>
      <c r="M446" s="106"/>
      <c r="N446" s="106"/>
    </row>
    <row r="447" spans="12:14" x14ac:dyDescent="0.25">
      <c r="L447" s="106"/>
      <c r="M447" s="106"/>
      <c r="N447" s="106"/>
    </row>
    <row r="448" spans="12:14" x14ac:dyDescent="0.25">
      <c r="L448" s="106"/>
      <c r="M448" s="106"/>
      <c r="N448" s="106"/>
    </row>
    <row r="449" spans="12:14" x14ac:dyDescent="0.25">
      <c r="L449" s="106"/>
      <c r="M449" s="106"/>
      <c r="N449" s="106"/>
    </row>
    <row r="450" spans="12:14" x14ac:dyDescent="0.25">
      <c r="L450" s="106"/>
      <c r="M450" s="106"/>
      <c r="N450" s="106"/>
    </row>
    <row r="451" spans="12:14" x14ac:dyDescent="0.25">
      <c r="L451" s="106"/>
      <c r="M451" s="106"/>
      <c r="N451" s="106"/>
    </row>
    <row r="452" spans="12:14" x14ac:dyDescent="0.25">
      <c r="L452" s="106"/>
      <c r="M452" s="106"/>
      <c r="N452" s="106"/>
    </row>
    <row r="453" spans="12:14" x14ac:dyDescent="0.25">
      <c r="L453" s="106"/>
      <c r="M453" s="106"/>
      <c r="N453" s="106"/>
    </row>
    <row r="454" spans="12:14" x14ac:dyDescent="0.25">
      <c r="L454" s="106"/>
      <c r="M454" s="106"/>
      <c r="N454" s="106"/>
    </row>
    <row r="455" spans="12:14" x14ac:dyDescent="0.25">
      <c r="L455" s="106"/>
      <c r="M455" s="106"/>
      <c r="N455" s="106"/>
    </row>
    <row r="456" spans="12:14" x14ac:dyDescent="0.25">
      <c r="L456" s="106"/>
      <c r="M456" s="106"/>
      <c r="N456" s="106"/>
    </row>
    <row r="457" spans="12:14" x14ac:dyDescent="0.25">
      <c r="L457" s="106"/>
      <c r="M457" s="106"/>
      <c r="N457" s="106"/>
    </row>
    <row r="458" spans="12:14" x14ac:dyDescent="0.25">
      <c r="L458" s="106"/>
      <c r="M458" s="106"/>
      <c r="N458" s="106"/>
    </row>
    <row r="459" spans="12:14" x14ac:dyDescent="0.25">
      <c r="L459" s="106"/>
      <c r="M459" s="106"/>
      <c r="N459" s="106"/>
    </row>
    <row r="460" spans="12:14" x14ac:dyDescent="0.25">
      <c r="L460" s="106"/>
      <c r="M460" s="106"/>
      <c r="N460" s="106"/>
    </row>
    <row r="461" spans="12:14" x14ac:dyDescent="0.25">
      <c r="L461" s="106"/>
      <c r="M461" s="106"/>
      <c r="N461" s="106"/>
    </row>
    <row r="462" spans="12:14" x14ac:dyDescent="0.25">
      <c r="L462" s="106"/>
      <c r="M462" s="106"/>
      <c r="N462" s="106"/>
    </row>
    <row r="463" spans="12:14" x14ac:dyDescent="0.25">
      <c r="L463" s="106"/>
      <c r="M463" s="106"/>
      <c r="N463" s="106"/>
    </row>
    <row r="464" spans="12:14" x14ac:dyDescent="0.25">
      <c r="L464" s="106"/>
      <c r="M464" s="106"/>
      <c r="N464" s="106"/>
    </row>
    <row r="465" spans="12:14" x14ac:dyDescent="0.25">
      <c r="L465" s="106"/>
      <c r="M465" s="106"/>
      <c r="N465" s="106"/>
    </row>
    <row r="466" spans="12:14" x14ac:dyDescent="0.25">
      <c r="L466" s="106"/>
      <c r="M466" s="106"/>
      <c r="N466" s="106"/>
    </row>
    <row r="467" spans="12:14" x14ac:dyDescent="0.25">
      <c r="L467" s="106"/>
      <c r="M467" s="106"/>
      <c r="N467" s="106"/>
    </row>
    <row r="468" spans="12:14" x14ac:dyDescent="0.25">
      <c r="L468" s="106"/>
      <c r="M468" s="106"/>
      <c r="N468" s="106"/>
    </row>
    <row r="469" spans="12:14" x14ac:dyDescent="0.25">
      <c r="L469" s="106"/>
      <c r="M469" s="106"/>
      <c r="N469" s="106"/>
    </row>
    <row r="470" spans="12:14" x14ac:dyDescent="0.25">
      <c r="L470" s="106"/>
      <c r="M470" s="106"/>
      <c r="N470" s="106"/>
    </row>
    <row r="471" spans="12:14" x14ac:dyDescent="0.25">
      <c r="L471" s="106"/>
      <c r="M471" s="106"/>
      <c r="N471" s="106"/>
    </row>
    <row r="472" spans="12:14" x14ac:dyDescent="0.25">
      <c r="L472" s="106"/>
      <c r="M472" s="106"/>
      <c r="N472" s="106"/>
    </row>
    <row r="473" spans="12:14" x14ac:dyDescent="0.25">
      <c r="L473" s="106"/>
      <c r="M473" s="106"/>
      <c r="N473" s="106"/>
    </row>
    <row r="474" spans="12:14" x14ac:dyDescent="0.25">
      <c r="L474" s="106"/>
      <c r="M474" s="106"/>
      <c r="N474" s="106"/>
    </row>
    <row r="475" spans="12:14" x14ac:dyDescent="0.25">
      <c r="L475" s="106"/>
      <c r="M475" s="106"/>
      <c r="N475" s="106"/>
    </row>
    <row r="476" spans="12:14" x14ac:dyDescent="0.25">
      <c r="L476" s="106"/>
      <c r="M476" s="106"/>
      <c r="N476" s="106"/>
    </row>
    <row r="477" spans="12:14" x14ac:dyDescent="0.25">
      <c r="L477" s="106"/>
      <c r="M477" s="106"/>
      <c r="N477" s="106"/>
    </row>
    <row r="478" spans="12:14" x14ac:dyDescent="0.25">
      <c r="L478" s="106"/>
      <c r="M478" s="106"/>
      <c r="N478" s="106"/>
    </row>
    <row r="479" spans="12:14" x14ac:dyDescent="0.25">
      <c r="L479" s="106"/>
      <c r="M479" s="106"/>
      <c r="N479" s="106"/>
    </row>
    <row r="480" spans="12:14" x14ac:dyDescent="0.25">
      <c r="L480" s="106"/>
      <c r="M480" s="106"/>
      <c r="N480" s="106"/>
    </row>
    <row r="481" spans="12:14" x14ac:dyDescent="0.25">
      <c r="L481" s="106"/>
      <c r="M481" s="106"/>
      <c r="N481" s="106"/>
    </row>
    <row r="482" spans="12:14" x14ac:dyDescent="0.25">
      <c r="L482" s="106"/>
      <c r="M482" s="106"/>
      <c r="N482" s="106"/>
    </row>
    <row r="483" spans="12:14" x14ac:dyDescent="0.25">
      <c r="L483" s="106"/>
      <c r="M483" s="106"/>
      <c r="N483" s="106"/>
    </row>
    <row r="484" spans="12:14" x14ac:dyDescent="0.25">
      <c r="L484" s="106"/>
      <c r="M484" s="106"/>
      <c r="N484" s="106"/>
    </row>
    <row r="485" spans="12:14" x14ac:dyDescent="0.25">
      <c r="L485" s="106"/>
      <c r="M485" s="106"/>
      <c r="N485" s="106"/>
    </row>
    <row r="486" spans="12:14" x14ac:dyDescent="0.25">
      <c r="L486" s="106"/>
      <c r="M486" s="106"/>
      <c r="N486" s="106"/>
    </row>
    <row r="487" spans="12:14" x14ac:dyDescent="0.25">
      <c r="L487" s="106"/>
      <c r="M487" s="106"/>
      <c r="N487" s="106"/>
    </row>
    <row r="488" spans="12:14" x14ac:dyDescent="0.25">
      <c r="L488" s="106"/>
      <c r="M488" s="106"/>
      <c r="N488" s="106"/>
    </row>
    <row r="489" spans="12:14" x14ac:dyDescent="0.25">
      <c r="L489" s="106"/>
      <c r="M489" s="106"/>
      <c r="N489" s="106"/>
    </row>
    <row r="490" spans="12:14" x14ac:dyDescent="0.25">
      <c r="L490" s="106"/>
      <c r="M490" s="106"/>
      <c r="N490" s="106"/>
    </row>
    <row r="491" spans="12:14" x14ac:dyDescent="0.25">
      <c r="L491" s="106"/>
      <c r="M491" s="106"/>
      <c r="N491" s="106"/>
    </row>
    <row r="492" spans="12:14" x14ac:dyDescent="0.25">
      <c r="L492" s="106"/>
      <c r="M492" s="106"/>
      <c r="N492" s="106"/>
    </row>
    <row r="493" spans="12:14" x14ac:dyDescent="0.25">
      <c r="L493" s="106"/>
      <c r="M493" s="106"/>
      <c r="N493" s="106"/>
    </row>
    <row r="494" spans="12:14" x14ac:dyDescent="0.25">
      <c r="L494" s="106"/>
      <c r="M494" s="106"/>
      <c r="N494" s="106"/>
    </row>
    <row r="495" spans="12:14" x14ac:dyDescent="0.25">
      <c r="L495" s="106"/>
      <c r="M495" s="106"/>
      <c r="N495" s="106"/>
    </row>
    <row r="496" spans="12:14" x14ac:dyDescent="0.25">
      <c r="L496" s="106"/>
      <c r="M496" s="106"/>
      <c r="N496" s="106"/>
    </row>
    <row r="497" spans="12:14" x14ac:dyDescent="0.25">
      <c r="L497" s="106"/>
      <c r="M497" s="106"/>
      <c r="N497" s="106"/>
    </row>
    <row r="498" spans="12:14" x14ac:dyDescent="0.25">
      <c r="L498" s="106"/>
      <c r="M498" s="106"/>
      <c r="N498" s="106"/>
    </row>
    <row r="499" spans="12:14" x14ac:dyDescent="0.25">
      <c r="L499" s="106"/>
      <c r="M499" s="106"/>
      <c r="N499" s="106"/>
    </row>
    <row r="500" spans="12:14" x14ac:dyDescent="0.25">
      <c r="L500" s="106"/>
      <c r="M500" s="106"/>
      <c r="N500" s="106"/>
    </row>
    <row r="501" spans="12:14" x14ac:dyDescent="0.25">
      <c r="L501" s="106"/>
      <c r="M501" s="106"/>
      <c r="N501" s="106"/>
    </row>
    <row r="502" spans="12:14" x14ac:dyDescent="0.25">
      <c r="L502" s="106"/>
      <c r="M502" s="106"/>
      <c r="N502" s="106"/>
    </row>
    <row r="503" spans="12:14" x14ac:dyDescent="0.25">
      <c r="L503" s="106"/>
      <c r="M503" s="106"/>
      <c r="N503" s="106"/>
    </row>
    <row r="504" spans="12:14" x14ac:dyDescent="0.25">
      <c r="L504" s="106"/>
      <c r="M504" s="106"/>
      <c r="N504" s="106"/>
    </row>
    <row r="505" spans="12:14" x14ac:dyDescent="0.25">
      <c r="L505" s="106"/>
      <c r="M505" s="106"/>
      <c r="N505" s="106"/>
    </row>
    <row r="506" spans="12:14" x14ac:dyDescent="0.25">
      <c r="L506" s="106"/>
      <c r="M506" s="106"/>
      <c r="N506" s="106"/>
    </row>
    <row r="507" spans="12:14" x14ac:dyDescent="0.25">
      <c r="L507" s="106"/>
      <c r="M507" s="106"/>
      <c r="N507" s="106"/>
    </row>
    <row r="508" spans="12:14" x14ac:dyDescent="0.25">
      <c r="L508" s="106"/>
      <c r="M508" s="106"/>
      <c r="N508" s="106"/>
    </row>
    <row r="509" spans="12:14" x14ac:dyDescent="0.25">
      <c r="L509" s="106"/>
      <c r="M509" s="106"/>
      <c r="N509" s="106"/>
    </row>
    <row r="510" spans="12:14" x14ac:dyDescent="0.25">
      <c r="L510" s="106"/>
      <c r="M510" s="106"/>
      <c r="N510" s="106"/>
    </row>
    <row r="511" spans="12:14" x14ac:dyDescent="0.25">
      <c r="L511" s="106"/>
      <c r="M511" s="106"/>
      <c r="N511" s="106"/>
    </row>
    <row r="512" spans="12:14" x14ac:dyDescent="0.25">
      <c r="L512" s="106"/>
      <c r="M512" s="106"/>
      <c r="N512" s="106"/>
    </row>
    <row r="513" spans="12:14" x14ac:dyDescent="0.25">
      <c r="L513" s="106"/>
      <c r="M513" s="106"/>
      <c r="N513" s="106"/>
    </row>
    <row r="514" spans="12:14" x14ac:dyDescent="0.25">
      <c r="L514" s="106"/>
      <c r="M514" s="106"/>
      <c r="N514" s="106"/>
    </row>
    <row r="515" spans="12:14" x14ac:dyDescent="0.25">
      <c r="L515" s="106"/>
      <c r="M515" s="106"/>
      <c r="N515" s="106"/>
    </row>
    <row r="516" spans="12:14" x14ac:dyDescent="0.25">
      <c r="L516" s="106"/>
      <c r="M516" s="106"/>
      <c r="N516" s="106"/>
    </row>
    <row r="517" spans="12:14" x14ac:dyDescent="0.25">
      <c r="L517" s="106"/>
      <c r="M517" s="106"/>
      <c r="N517" s="106"/>
    </row>
    <row r="518" spans="12:14" x14ac:dyDescent="0.25">
      <c r="L518" s="106"/>
      <c r="M518" s="106"/>
      <c r="N518" s="106"/>
    </row>
    <row r="519" spans="12:14" x14ac:dyDescent="0.25">
      <c r="L519" s="106"/>
      <c r="M519" s="106"/>
      <c r="N519" s="106"/>
    </row>
    <row r="520" spans="12:14" x14ac:dyDescent="0.25">
      <c r="L520" s="106"/>
      <c r="M520" s="106"/>
      <c r="N520" s="106"/>
    </row>
    <row r="521" spans="12:14" x14ac:dyDescent="0.25">
      <c r="L521" s="106"/>
      <c r="M521" s="106"/>
      <c r="N521" s="106"/>
    </row>
    <row r="522" spans="12:14" x14ac:dyDescent="0.25">
      <c r="L522" s="106"/>
      <c r="M522" s="106"/>
      <c r="N522" s="106"/>
    </row>
    <row r="523" spans="12:14" x14ac:dyDescent="0.25">
      <c r="L523" s="106"/>
      <c r="M523" s="106"/>
      <c r="N523" s="106"/>
    </row>
    <row r="524" spans="12:14" x14ac:dyDescent="0.25">
      <c r="L524" s="106"/>
      <c r="M524" s="106"/>
      <c r="N524" s="106"/>
    </row>
    <row r="525" spans="12:14" x14ac:dyDescent="0.25">
      <c r="L525" s="106"/>
      <c r="M525" s="106"/>
      <c r="N525" s="106"/>
    </row>
    <row r="526" spans="12:14" x14ac:dyDescent="0.25">
      <c r="L526" s="106"/>
      <c r="M526" s="106"/>
      <c r="N526" s="106"/>
    </row>
    <row r="527" spans="12:14" x14ac:dyDescent="0.25">
      <c r="L527" s="106"/>
      <c r="M527" s="106"/>
      <c r="N527" s="106"/>
    </row>
    <row r="528" spans="12:14" x14ac:dyDescent="0.25">
      <c r="L528" s="106"/>
      <c r="M528" s="106"/>
      <c r="N528" s="106"/>
    </row>
    <row r="529" spans="12:14" x14ac:dyDescent="0.25">
      <c r="L529" s="106"/>
      <c r="M529" s="106"/>
      <c r="N529" s="106"/>
    </row>
    <row r="530" spans="12:14" x14ac:dyDescent="0.25">
      <c r="L530" s="106"/>
      <c r="M530" s="106"/>
      <c r="N530" s="106"/>
    </row>
    <row r="531" spans="12:14" x14ac:dyDescent="0.25">
      <c r="L531" s="106"/>
      <c r="M531" s="106"/>
      <c r="N531" s="106"/>
    </row>
    <row r="532" spans="12:14" x14ac:dyDescent="0.25">
      <c r="L532" s="106"/>
      <c r="M532" s="106"/>
      <c r="N532" s="106"/>
    </row>
    <row r="533" spans="12:14" x14ac:dyDescent="0.25">
      <c r="L533" s="106"/>
      <c r="M533" s="106"/>
      <c r="N533" s="106"/>
    </row>
    <row r="534" spans="12:14" x14ac:dyDescent="0.25">
      <c r="L534" s="106"/>
      <c r="M534" s="106"/>
      <c r="N534" s="106"/>
    </row>
    <row r="535" spans="12:14" x14ac:dyDescent="0.25">
      <c r="L535" s="106"/>
      <c r="M535" s="106"/>
      <c r="N535" s="106"/>
    </row>
    <row r="536" spans="12:14" x14ac:dyDescent="0.25">
      <c r="L536" s="106"/>
      <c r="M536" s="106"/>
      <c r="N536" s="106"/>
    </row>
    <row r="537" spans="12:14" x14ac:dyDescent="0.25">
      <c r="L537" s="106"/>
      <c r="M537" s="106"/>
      <c r="N537" s="106"/>
    </row>
    <row r="538" spans="12:14" x14ac:dyDescent="0.25">
      <c r="L538" s="106"/>
      <c r="M538" s="106"/>
      <c r="N538" s="106"/>
    </row>
    <row r="539" spans="12:14" x14ac:dyDescent="0.25">
      <c r="L539" s="106"/>
      <c r="M539" s="106"/>
      <c r="N539" s="106"/>
    </row>
    <row r="540" spans="12:14" x14ac:dyDescent="0.25">
      <c r="L540" s="106"/>
      <c r="M540" s="106"/>
      <c r="N540" s="106"/>
    </row>
    <row r="541" spans="12:14" x14ac:dyDescent="0.25">
      <c r="L541" s="106"/>
      <c r="M541" s="106"/>
      <c r="N541" s="106"/>
    </row>
    <row r="542" spans="12:14" x14ac:dyDescent="0.25">
      <c r="L542" s="106"/>
      <c r="M542" s="106"/>
      <c r="N542" s="106"/>
    </row>
    <row r="543" spans="12:14" x14ac:dyDescent="0.25">
      <c r="L543" s="106"/>
      <c r="M543" s="106"/>
      <c r="N543" s="106"/>
    </row>
    <row r="544" spans="12:14" x14ac:dyDescent="0.25">
      <c r="L544" s="106"/>
      <c r="M544" s="106"/>
      <c r="N544" s="106"/>
    </row>
    <row r="545" spans="12:14" x14ac:dyDescent="0.25">
      <c r="L545" s="106"/>
      <c r="M545" s="106"/>
      <c r="N545" s="106"/>
    </row>
    <row r="546" spans="12:14" x14ac:dyDescent="0.25">
      <c r="L546" s="106"/>
      <c r="M546" s="106"/>
      <c r="N546" s="106"/>
    </row>
    <row r="547" spans="12:14" x14ac:dyDescent="0.25">
      <c r="L547" s="106"/>
      <c r="M547" s="106"/>
      <c r="N547" s="106"/>
    </row>
    <row r="548" spans="12:14" x14ac:dyDescent="0.25">
      <c r="L548" s="106"/>
      <c r="M548" s="106"/>
      <c r="N548" s="106"/>
    </row>
    <row r="549" spans="12:14" x14ac:dyDescent="0.25">
      <c r="L549" s="106"/>
      <c r="M549" s="106"/>
      <c r="N549" s="106"/>
    </row>
    <row r="550" spans="12:14" x14ac:dyDescent="0.25">
      <c r="L550" s="106"/>
      <c r="M550" s="106"/>
      <c r="N550" s="106"/>
    </row>
    <row r="551" spans="12:14" x14ac:dyDescent="0.25">
      <c r="L551" s="106"/>
      <c r="M551" s="106"/>
      <c r="N551" s="106"/>
    </row>
    <row r="552" spans="12:14" x14ac:dyDescent="0.25">
      <c r="L552" s="106"/>
      <c r="M552" s="106"/>
      <c r="N552" s="106"/>
    </row>
    <row r="553" spans="12:14" x14ac:dyDescent="0.25">
      <c r="L553" s="106"/>
      <c r="M553" s="106"/>
      <c r="N553" s="106"/>
    </row>
    <row r="554" spans="12:14" x14ac:dyDescent="0.25">
      <c r="L554" s="106"/>
      <c r="M554" s="106"/>
      <c r="N554" s="106"/>
    </row>
    <row r="555" spans="12:14" x14ac:dyDescent="0.25">
      <c r="L555" s="106"/>
      <c r="M555" s="106"/>
      <c r="N555" s="106"/>
    </row>
    <row r="556" spans="12:14" x14ac:dyDescent="0.25">
      <c r="L556" s="106"/>
      <c r="M556" s="106"/>
      <c r="N556" s="106"/>
    </row>
    <row r="557" spans="12:14" x14ac:dyDescent="0.25">
      <c r="L557" s="106"/>
      <c r="M557" s="106"/>
      <c r="N557" s="106"/>
    </row>
    <row r="558" spans="12:14" x14ac:dyDescent="0.25">
      <c r="L558" s="106"/>
      <c r="M558" s="106"/>
      <c r="N558" s="106"/>
    </row>
    <row r="559" spans="12:14" x14ac:dyDescent="0.25">
      <c r="L559" s="106"/>
      <c r="M559" s="106"/>
      <c r="N559" s="106"/>
    </row>
    <row r="560" spans="12:14" x14ac:dyDescent="0.25">
      <c r="L560" s="106"/>
      <c r="M560" s="106"/>
      <c r="N560" s="106"/>
    </row>
    <row r="561" spans="12:14" x14ac:dyDescent="0.25">
      <c r="L561" s="106"/>
      <c r="M561" s="106"/>
      <c r="N561" s="106"/>
    </row>
    <row r="562" spans="12:14" x14ac:dyDescent="0.25">
      <c r="L562" s="106"/>
      <c r="M562" s="106"/>
      <c r="N562" s="106"/>
    </row>
    <row r="563" spans="12:14" x14ac:dyDescent="0.25">
      <c r="L563" s="106"/>
      <c r="M563" s="106"/>
      <c r="N563" s="106"/>
    </row>
    <row r="564" spans="12:14" x14ac:dyDescent="0.25">
      <c r="L564" s="106"/>
      <c r="M564" s="106"/>
      <c r="N564" s="106"/>
    </row>
    <row r="565" spans="12:14" x14ac:dyDescent="0.25">
      <c r="L565" s="106"/>
      <c r="M565" s="106"/>
      <c r="N565" s="106"/>
    </row>
    <row r="566" spans="12:14" x14ac:dyDescent="0.25">
      <c r="L566" s="106"/>
      <c r="M566" s="106"/>
      <c r="N566" s="106"/>
    </row>
    <row r="567" spans="12:14" x14ac:dyDescent="0.25">
      <c r="L567" s="106"/>
      <c r="M567" s="106"/>
      <c r="N567" s="106"/>
    </row>
    <row r="568" spans="12:14" x14ac:dyDescent="0.25">
      <c r="L568" s="106"/>
      <c r="M568" s="106"/>
      <c r="N568" s="106"/>
    </row>
    <row r="569" spans="12:14" x14ac:dyDescent="0.25">
      <c r="L569" s="106"/>
      <c r="M569" s="106"/>
      <c r="N569" s="106"/>
    </row>
    <row r="570" spans="12:14" x14ac:dyDescent="0.25">
      <c r="L570" s="106"/>
      <c r="M570" s="106"/>
      <c r="N570" s="106"/>
    </row>
    <row r="571" spans="12:14" x14ac:dyDescent="0.25">
      <c r="L571" s="106"/>
      <c r="M571" s="106"/>
      <c r="N571" s="106"/>
    </row>
    <row r="572" spans="12:14" x14ac:dyDescent="0.25">
      <c r="L572" s="106"/>
      <c r="M572" s="106"/>
      <c r="N572" s="106"/>
    </row>
    <row r="573" spans="12:14" x14ac:dyDescent="0.25">
      <c r="L573" s="106"/>
      <c r="M573" s="106"/>
      <c r="N573" s="106"/>
    </row>
    <row r="574" spans="12:14" x14ac:dyDescent="0.25">
      <c r="L574" s="106"/>
      <c r="M574" s="106"/>
      <c r="N574" s="106"/>
    </row>
    <row r="575" spans="12:14" x14ac:dyDescent="0.25">
      <c r="L575" s="106"/>
      <c r="M575" s="106"/>
      <c r="N575" s="106"/>
    </row>
    <row r="576" spans="12:14" x14ac:dyDescent="0.25">
      <c r="L576" s="106"/>
      <c r="M576" s="106"/>
      <c r="N576" s="106"/>
    </row>
    <row r="577" spans="12:14" x14ac:dyDescent="0.25">
      <c r="L577" s="106"/>
      <c r="M577" s="106"/>
      <c r="N577" s="106"/>
    </row>
    <row r="578" spans="12:14" x14ac:dyDescent="0.25">
      <c r="L578" s="106"/>
      <c r="M578" s="106"/>
      <c r="N578" s="106"/>
    </row>
    <row r="579" spans="12:14" x14ac:dyDescent="0.25">
      <c r="L579" s="106"/>
      <c r="M579" s="106"/>
      <c r="N579" s="106"/>
    </row>
    <row r="580" spans="12:14" x14ac:dyDescent="0.25">
      <c r="L580" s="106"/>
      <c r="M580" s="106"/>
      <c r="N580" s="106"/>
    </row>
    <row r="581" spans="12:14" x14ac:dyDescent="0.25">
      <c r="L581" s="106"/>
      <c r="M581" s="106"/>
      <c r="N581" s="106"/>
    </row>
    <row r="582" spans="12:14" x14ac:dyDescent="0.25">
      <c r="L582" s="106"/>
      <c r="M582" s="106"/>
      <c r="N582" s="106"/>
    </row>
    <row r="583" spans="12:14" x14ac:dyDescent="0.25">
      <c r="L583" s="106"/>
      <c r="M583" s="106"/>
      <c r="N583" s="106"/>
    </row>
    <row r="584" spans="12:14" x14ac:dyDescent="0.25">
      <c r="L584" s="106"/>
      <c r="M584" s="106"/>
      <c r="N584" s="106"/>
    </row>
    <row r="585" spans="12:14" x14ac:dyDescent="0.25">
      <c r="L585" s="106"/>
      <c r="M585" s="106"/>
      <c r="N585" s="106"/>
    </row>
    <row r="586" spans="12:14" x14ac:dyDescent="0.25">
      <c r="L586" s="106"/>
      <c r="M586" s="106"/>
      <c r="N586" s="106"/>
    </row>
    <row r="587" spans="12:14" x14ac:dyDescent="0.25">
      <c r="L587" s="106"/>
      <c r="M587" s="106"/>
      <c r="N587" s="106"/>
    </row>
    <row r="588" spans="12:14" x14ac:dyDescent="0.25">
      <c r="L588" s="106"/>
      <c r="M588" s="106"/>
      <c r="N588" s="106"/>
    </row>
    <row r="589" spans="12:14" x14ac:dyDescent="0.25">
      <c r="L589" s="106"/>
      <c r="M589" s="106"/>
      <c r="N589" s="106"/>
    </row>
    <row r="590" spans="12:14" x14ac:dyDescent="0.25">
      <c r="L590" s="106"/>
      <c r="M590" s="106"/>
      <c r="N590" s="106"/>
    </row>
    <row r="591" spans="12:14" x14ac:dyDescent="0.25">
      <c r="L591" s="106"/>
      <c r="M591" s="106"/>
      <c r="N591" s="106"/>
    </row>
    <row r="592" spans="12:14" x14ac:dyDescent="0.25">
      <c r="L592" s="106"/>
      <c r="M592" s="106"/>
      <c r="N592" s="106"/>
    </row>
    <row r="593" spans="12:14" x14ac:dyDescent="0.25">
      <c r="L593" s="106"/>
      <c r="M593" s="106"/>
      <c r="N593" s="106"/>
    </row>
    <row r="594" spans="12:14" x14ac:dyDescent="0.25">
      <c r="L594" s="106"/>
      <c r="M594" s="106"/>
      <c r="N594" s="106"/>
    </row>
    <row r="595" spans="12:14" x14ac:dyDescent="0.25">
      <c r="L595" s="106"/>
      <c r="M595" s="106"/>
      <c r="N595" s="106"/>
    </row>
    <row r="596" spans="12:14" x14ac:dyDescent="0.25">
      <c r="L596" s="106"/>
      <c r="M596" s="106"/>
      <c r="N596" s="106"/>
    </row>
    <row r="597" spans="12:14" x14ac:dyDescent="0.25">
      <c r="L597" s="106"/>
      <c r="M597" s="106"/>
      <c r="N597" s="106"/>
    </row>
    <row r="598" spans="12:14" x14ac:dyDescent="0.25">
      <c r="L598" s="106"/>
      <c r="M598" s="106"/>
      <c r="N598" s="106"/>
    </row>
    <row r="599" spans="12:14" x14ac:dyDescent="0.25">
      <c r="L599" s="106"/>
      <c r="M599" s="106"/>
      <c r="N599" s="106"/>
    </row>
    <row r="600" spans="12:14" x14ac:dyDescent="0.25">
      <c r="L600" s="106"/>
      <c r="M600" s="106"/>
      <c r="N600" s="106"/>
    </row>
    <row r="601" spans="12:14" x14ac:dyDescent="0.25">
      <c r="L601" s="106"/>
      <c r="M601" s="106"/>
      <c r="N601" s="106"/>
    </row>
    <row r="602" spans="12:14" x14ac:dyDescent="0.25">
      <c r="L602" s="106"/>
      <c r="M602" s="106"/>
      <c r="N602" s="106"/>
    </row>
    <row r="603" spans="12:14" x14ac:dyDescent="0.25">
      <c r="L603" s="106"/>
      <c r="M603" s="106"/>
      <c r="N603" s="106"/>
    </row>
    <row r="604" spans="12:14" x14ac:dyDescent="0.25">
      <c r="L604" s="106"/>
      <c r="M604" s="106"/>
      <c r="N604" s="106"/>
    </row>
    <row r="605" spans="12:14" x14ac:dyDescent="0.25">
      <c r="L605" s="106"/>
      <c r="M605" s="106"/>
      <c r="N605" s="106"/>
    </row>
    <row r="606" spans="12:14" x14ac:dyDescent="0.25">
      <c r="L606" s="106"/>
      <c r="M606" s="106"/>
      <c r="N606" s="106"/>
    </row>
    <row r="607" spans="12:14" x14ac:dyDescent="0.25">
      <c r="L607" s="106"/>
      <c r="M607" s="106"/>
      <c r="N607" s="106"/>
    </row>
    <row r="608" spans="12:14" x14ac:dyDescent="0.25">
      <c r="L608" s="106"/>
      <c r="M608" s="106"/>
      <c r="N608" s="106"/>
    </row>
    <row r="609" spans="12:14" x14ac:dyDescent="0.25">
      <c r="L609" s="106"/>
      <c r="M609" s="106"/>
      <c r="N609" s="106"/>
    </row>
    <row r="610" spans="12:14" x14ac:dyDescent="0.25">
      <c r="L610" s="106"/>
      <c r="M610" s="106"/>
      <c r="N610" s="106"/>
    </row>
    <row r="611" spans="12:14" x14ac:dyDescent="0.25">
      <c r="L611" s="106"/>
      <c r="M611" s="106"/>
      <c r="N611" s="106"/>
    </row>
    <row r="612" spans="12:14" x14ac:dyDescent="0.25">
      <c r="L612" s="106"/>
      <c r="M612" s="106"/>
      <c r="N612" s="106"/>
    </row>
    <row r="613" spans="12:14" x14ac:dyDescent="0.25">
      <c r="L613" s="106"/>
      <c r="M613" s="106"/>
      <c r="N613" s="106"/>
    </row>
    <row r="614" spans="12:14" x14ac:dyDescent="0.25">
      <c r="L614" s="106"/>
      <c r="M614" s="106"/>
      <c r="N614" s="106"/>
    </row>
    <row r="615" spans="12:14" x14ac:dyDescent="0.25">
      <c r="L615" s="106"/>
      <c r="M615" s="106"/>
      <c r="N615" s="106"/>
    </row>
    <row r="616" spans="12:14" x14ac:dyDescent="0.25">
      <c r="L616" s="106"/>
      <c r="M616" s="106"/>
      <c r="N616" s="106"/>
    </row>
    <row r="617" spans="12:14" x14ac:dyDescent="0.25">
      <c r="L617" s="106"/>
      <c r="M617" s="106"/>
      <c r="N617" s="106"/>
    </row>
    <row r="618" spans="12:14" x14ac:dyDescent="0.25">
      <c r="L618" s="106"/>
      <c r="M618" s="106"/>
      <c r="N618" s="106"/>
    </row>
    <row r="619" spans="12:14" x14ac:dyDescent="0.25">
      <c r="L619" s="106"/>
      <c r="M619" s="106"/>
      <c r="N619" s="106"/>
    </row>
    <row r="620" spans="12:14" x14ac:dyDescent="0.25">
      <c r="L620" s="106"/>
      <c r="M620" s="106"/>
      <c r="N620" s="106"/>
    </row>
    <row r="621" spans="12:14" x14ac:dyDescent="0.25">
      <c r="L621" s="106"/>
      <c r="M621" s="106"/>
      <c r="N621" s="106"/>
    </row>
    <row r="622" spans="12:14" x14ac:dyDescent="0.25">
      <c r="L622" s="106"/>
      <c r="M622" s="106"/>
      <c r="N622" s="106"/>
    </row>
    <row r="623" spans="12:14" x14ac:dyDescent="0.25">
      <c r="L623" s="106"/>
      <c r="M623" s="106"/>
      <c r="N623" s="106"/>
    </row>
    <row r="624" spans="12:14" x14ac:dyDescent="0.25">
      <c r="L624" s="106"/>
      <c r="M624" s="106"/>
      <c r="N624" s="106"/>
    </row>
    <row r="625" spans="12:14" x14ac:dyDescent="0.25">
      <c r="L625" s="106"/>
      <c r="M625" s="106"/>
      <c r="N625" s="106"/>
    </row>
    <row r="626" spans="12:14" x14ac:dyDescent="0.25">
      <c r="L626" s="106"/>
      <c r="M626" s="106"/>
      <c r="N626" s="106"/>
    </row>
    <row r="627" spans="12:14" x14ac:dyDescent="0.25">
      <c r="L627" s="106"/>
      <c r="M627" s="106"/>
      <c r="N627" s="106"/>
    </row>
    <row r="628" spans="12:14" x14ac:dyDescent="0.25">
      <c r="L628" s="106"/>
      <c r="M628" s="106"/>
      <c r="N628" s="106"/>
    </row>
    <row r="629" spans="12:14" x14ac:dyDescent="0.25">
      <c r="L629" s="106"/>
      <c r="M629" s="106"/>
      <c r="N629" s="106"/>
    </row>
    <row r="630" spans="12:14" x14ac:dyDescent="0.25">
      <c r="L630" s="106"/>
      <c r="M630" s="106"/>
      <c r="N630" s="106"/>
    </row>
    <row r="631" spans="12:14" x14ac:dyDescent="0.25">
      <c r="L631" s="106"/>
      <c r="M631" s="106"/>
      <c r="N631" s="106"/>
    </row>
    <row r="632" spans="12:14" x14ac:dyDescent="0.25">
      <c r="L632" s="106"/>
      <c r="M632" s="106"/>
      <c r="N632" s="106"/>
    </row>
    <row r="633" spans="12:14" x14ac:dyDescent="0.25">
      <c r="L633" s="106"/>
      <c r="M633" s="106"/>
      <c r="N633" s="106"/>
    </row>
    <row r="634" spans="12:14" x14ac:dyDescent="0.25">
      <c r="L634" s="106"/>
      <c r="M634" s="106"/>
      <c r="N634" s="106"/>
    </row>
    <row r="635" spans="12:14" x14ac:dyDescent="0.25">
      <c r="L635" s="106"/>
      <c r="M635" s="106"/>
      <c r="N635" s="106"/>
    </row>
    <row r="636" spans="12:14" x14ac:dyDescent="0.25">
      <c r="L636" s="106"/>
      <c r="M636" s="106"/>
      <c r="N636" s="106"/>
    </row>
    <row r="637" spans="12:14" x14ac:dyDescent="0.25">
      <c r="L637" s="106"/>
      <c r="M637" s="106"/>
      <c r="N637" s="106"/>
    </row>
    <row r="638" spans="12:14" x14ac:dyDescent="0.25">
      <c r="L638" s="106"/>
      <c r="M638" s="106"/>
      <c r="N638" s="106"/>
    </row>
    <row r="639" spans="12:14" x14ac:dyDescent="0.25">
      <c r="L639" s="106"/>
      <c r="M639" s="106"/>
      <c r="N639" s="106"/>
    </row>
    <row r="640" spans="12:14" x14ac:dyDescent="0.25">
      <c r="L640" s="106"/>
      <c r="M640" s="106"/>
      <c r="N640" s="106"/>
    </row>
    <row r="641" spans="12:14" x14ac:dyDescent="0.25">
      <c r="L641" s="106"/>
      <c r="M641" s="106"/>
      <c r="N641" s="106"/>
    </row>
    <row r="642" spans="12:14" x14ac:dyDescent="0.25">
      <c r="L642" s="106"/>
      <c r="M642" s="106"/>
      <c r="N642" s="106"/>
    </row>
    <row r="643" spans="12:14" x14ac:dyDescent="0.25">
      <c r="L643" s="106"/>
      <c r="M643" s="106"/>
      <c r="N643" s="106"/>
    </row>
    <row r="644" spans="12:14" x14ac:dyDescent="0.25">
      <c r="L644" s="106"/>
      <c r="M644" s="106"/>
      <c r="N644" s="106"/>
    </row>
    <row r="645" spans="12:14" x14ac:dyDescent="0.25">
      <c r="L645" s="106"/>
      <c r="M645" s="106"/>
      <c r="N645" s="106"/>
    </row>
    <row r="646" spans="12:14" x14ac:dyDescent="0.25">
      <c r="L646" s="106"/>
      <c r="M646" s="106"/>
      <c r="N646" s="106"/>
    </row>
    <row r="647" spans="12:14" x14ac:dyDescent="0.25">
      <c r="L647" s="106"/>
      <c r="M647" s="106"/>
      <c r="N647" s="106"/>
    </row>
    <row r="648" spans="12:14" x14ac:dyDescent="0.25">
      <c r="L648" s="106"/>
      <c r="M648" s="106"/>
      <c r="N648" s="106"/>
    </row>
    <row r="649" spans="12:14" x14ac:dyDescent="0.25">
      <c r="L649" s="106"/>
      <c r="M649" s="106"/>
      <c r="N649" s="106"/>
    </row>
    <row r="650" spans="12:14" x14ac:dyDescent="0.25">
      <c r="L650" s="106"/>
      <c r="M650" s="106"/>
      <c r="N650" s="106"/>
    </row>
    <row r="651" spans="12:14" x14ac:dyDescent="0.25">
      <c r="L651" s="106"/>
      <c r="M651" s="106"/>
      <c r="N651" s="106"/>
    </row>
    <row r="652" spans="12:14" x14ac:dyDescent="0.25">
      <c r="L652" s="106"/>
      <c r="M652" s="106"/>
      <c r="N652" s="106"/>
    </row>
    <row r="653" spans="12:14" x14ac:dyDescent="0.25">
      <c r="L653" s="106"/>
      <c r="M653" s="106"/>
      <c r="N653" s="106"/>
    </row>
    <row r="654" spans="12:14" x14ac:dyDescent="0.25">
      <c r="L654" s="106"/>
      <c r="M654" s="106"/>
      <c r="N654" s="106"/>
    </row>
    <row r="655" spans="12:14" x14ac:dyDescent="0.25">
      <c r="L655" s="106"/>
      <c r="M655" s="106"/>
      <c r="N655" s="106"/>
    </row>
    <row r="656" spans="12:14" x14ac:dyDescent="0.25">
      <c r="L656" s="106"/>
      <c r="M656" s="106"/>
      <c r="N656" s="106"/>
    </row>
    <row r="657" spans="12:14" x14ac:dyDescent="0.25">
      <c r="L657" s="106"/>
      <c r="M657" s="106"/>
      <c r="N657" s="106"/>
    </row>
    <row r="658" spans="12:14" x14ac:dyDescent="0.25">
      <c r="L658" s="106"/>
      <c r="M658" s="106"/>
      <c r="N658" s="106"/>
    </row>
    <row r="659" spans="12:14" x14ac:dyDescent="0.25">
      <c r="L659" s="106"/>
      <c r="M659" s="106"/>
      <c r="N659" s="106"/>
    </row>
    <row r="660" spans="12:14" x14ac:dyDescent="0.25">
      <c r="L660" s="106"/>
      <c r="M660" s="106"/>
      <c r="N660" s="106"/>
    </row>
    <row r="661" spans="12:14" x14ac:dyDescent="0.25">
      <c r="L661" s="106"/>
      <c r="M661" s="106"/>
      <c r="N661" s="106"/>
    </row>
    <row r="662" spans="12:14" x14ac:dyDescent="0.25">
      <c r="L662" s="106"/>
      <c r="M662" s="106"/>
      <c r="N662" s="106"/>
    </row>
    <row r="663" spans="12:14" x14ac:dyDescent="0.25">
      <c r="L663" s="106"/>
      <c r="M663" s="106"/>
      <c r="N663" s="106"/>
    </row>
    <row r="664" spans="12:14" x14ac:dyDescent="0.25">
      <c r="L664" s="106"/>
      <c r="M664" s="106"/>
      <c r="N664" s="106"/>
    </row>
    <row r="665" spans="12:14" x14ac:dyDescent="0.25">
      <c r="L665" s="106"/>
      <c r="M665" s="106"/>
      <c r="N665" s="106"/>
    </row>
    <row r="666" spans="12:14" x14ac:dyDescent="0.25">
      <c r="L666" s="106"/>
      <c r="M666" s="106"/>
      <c r="N666" s="106"/>
    </row>
    <row r="667" spans="12:14" x14ac:dyDescent="0.25">
      <c r="L667" s="106"/>
      <c r="M667" s="106"/>
      <c r="N667" s="106"/>
    </row>
    <row r="668" spans="12:14" x14ac:dyDescent="0.25">
      <c r="L668" s="106"/>
      <c r="M668" s="106"/>
      <c r="N668" s="106"/>
    </row>
    <row r="669" spans="12:14" x14ac:dyDescent="0.25">
      <c r="L669" s="106"/>
      <c r="M669" s="106"/>
      <c r="N669" s="106"/>
    </row>
    <row r="670" spans="12:14" x14ac:dyDescent="0.25">
      <c r="L670" s="106"/>
      <c r="M670" s="106"/>
      <c r="N670" s="106"/>
    </row>
    <row r="671" spans="12:14" x14ac:dyDescent="0.25">
      <c r="L671" s="106"/>
      <c r="M671" s="106"/>
      <c r="N671" s="106"/>
    </row>
    <row r="672" spans="12:14" x14ac:dyDescent="0.25">
      <c r="L672" s="106"/>
      <c r="M672" s="106"/>
      <c r="N672" s="106"/>
    </row>
    <row r="673" spans="12:14" x14ac:dyDescent="0.25">
      <c r="L673" s="106"/>
      <c r="M673" s="106"/>
      <c r="N673" s="106"/>
    </row>
    <row r="674" spans="12:14" x14ac:dyDescent="0.25">
      <c r="L674" s="106"/>
      <c r="M674" s="106"/>
      <c r="N674" s="106"/>
    </row>
    <row r="675" spans="12:14" x14ac:dyDescent="0.25">
      <c r="L675" s="106"/>
      <c r="M675" s="106"/>
      <c r="N675" s="106"/>
    </row>
    <row r="676" spans="12:14" x14ac:dyDescent="0.25">
      <c r="L676" s="106"/>
      <c r="M676" s="106"/>
      <c r="N676" s="106"/>
    </row>
    <row r="677" spans="12:14" x14ac:dyDescent="0.25">
      <c r="L677" s="106"/>
      <c r="M677" s="106"/>
      <c r="N677" s="106"/>
    </row>
    <row r="678" spans="12:14" x14ac:dyDescent="0.25">
      <c r="L678" s="106"/>
      <c r="M678" s="106"/>
      <c r="N678" s="106"/>
    </row>
    <row r="679" spans="12:14" x14ac:dyDescent="0.25">
      <c r="L679" s="106"/>
      <c r="M679" s="106"/>
      <c r="N679" s="106"/>
    </row>
    <row r="680" spans="12:14" x14ac:dyDescent="0.25">
      <c r="L680" s="106"/>
      <c r="M680" s="106"/>
      <c r="N680" s="106"/>
    </row>
    <row r="681" spans="12:14" x14ac:dyDescent="0.25">
      <c r="L681" s="106"/>
      <c r="M681" s="106"/>
      <c r="N681" s="106"/>
    </row>
    <row r="682" spans="12:14" x14ac:dyDescent="0.25">
      <c r="L682" s="106"/>
      <c r="M682" s="106"/>
      <c r="N682" s="106"/>
    </row>
    <row r="683" spans="12:14" x14ac:dyDescent="0.25">
      <c r="L683" s="106"/>
      <c r="M683" s="106"/>
      <c r="N683" s="106"/>
    </row>
    <row r="684" spans="12:14" x14ac:dyDescent="0.25">
      <c r="L684" s="106"/>
      <c r="M684" s="106"/>
      <c r="N684" s="106"/>
    </row>
    <row r="685" spans="12:14" x14ac:dyDescent="0.25">
      <c r="L685" s="106"/>
      <c r="M685" s="106"/>
      <c r="N685" s="106"/>
    </row>
    <row r="686" spans="12:14" x14ac:dyDescent="0.25">
      <c r="L686" s="106"/>
      <c r="M686" s="106"/>
      <c r="N686" s="106"/>
    </row>
    <row r="687" spans="12:14" x14ac:dyDescent="0.25">
      <c r="L687" s="106"/>
      <c r="M687" s="106"/>
      <c r="N687" s="106"/>
    </row>
    <row r="688" spans="12:14" x14ac:dyDescent="0.25">
      <c r="L688" s="106"/>
      <c r="M688" s="106"/>
      <c r="N688" s="106"/>
    </row>
    <row r="689" spans="12:14" x14ac:dyDescent="0.25">
      <c r="L689" s="106"/>
      <c r="M689" s="106"/>
      <c r="N689" s="106"/>
    </row>
    <row r="690" spans="12:14" x14ac:dyDescent="0.25">
      <c r="L690" s="106"/>
      <c r="M690" s="106"/>
      <c r="N690" s="106"/>
    </row>
    <row r="691" spans="12:14" x14ac:dyDescent="0.25">
      <c r="L691" s="106"/>
      <c r="M691" s="106"/>
      <c r="N691" s="106"/>
    </row>
    <row r="692" spans="12:14" x14ac:dyDescent="0.25">
      <c r="L692" s="106"/>
      <c r="M692" s="106"/>
      <c r="N692" s="106"/>
    </row>
    <row r="693" spans="12:14" x14ac:dyDescent="0.25">
      <c r="L693" s="106"/>
      <c r="M693" s="106"/>
      <c r="N693" s="106"/>
    </row>
    <row r="694" spans="12:14" x14ac:dyDescent="0.25">
      <c r="L694" s="106"/>
      <c r="M694" s="106"/>
      <c r="N694" s="106"/>
    </row>
    <row r="695" spans="12:14" x14ac:dyDescent="0.25">
      <c r="L695" s="106"/>
      <c r="M695" s="106"/>
      <c r="N695" s="106"/>
    </row>
    <row r="696" spans="12:14" x14ac:dyDescent="0.25">
      <c r="L696" s="106"/>
      <c r="M696" s="106"/>
      <c r="N696" s="106"/>
    </row>
    <row r="697" spans="12:14" x14ac:dyDescent="0.25">
      <c r="L697" s="106"/>
      <c r="M697" s="106"/>
      <c r="N697" s="106"/>
    </row>
    <row r="698" spans="12:14" x14ac:dyDescent="0.25">
      <c r="L698" s="106"/>
      <c r="M698" s="106"/>
      <c r="N698" s="106"/>
    </row>
    <row r="699" spans="12:14" x14ac:dyDescent="0.25">
      <c r="L699" s="106"/>
      <c r="M699" s="106"/>
      <c r="N699" s="106"/>
    </row>
    <row r="700" spans="12:14" x14ac:dyDescent="0.25">
      <c r="L700" s="106"/>
      <c r="M700" s="106"/>
      <c r="N700" s="106"/>
    </row>
    <row r="701" spans="12:14" x14ac:dyDescent="0.25">
      <c r="L701" s="106"/>
      <c r="M701" s="106"/>
      <c r="N701" s="106"/>
    </row>
    <row r="702" spans="12:14" x14ac:dyDescent="0.25">
      <c r="L702" s="106"/>
      <c r="M702" s="106"/>
      <c r="N702" s="106"/>
    </row>
    <row r="703" spans="12:14" x14ac:dyDescent="0.25">
      <c r="L703" s="106"/>
      <c r="M703" s="106"/>
      <c r="N703" s="106"/>
    </row>
    <row r="704" spans="12:14" x14ac:dyDescent="0.25">
      <c r="L704" s="106"/>
      <c r="M704" s="106"/>
      <c r="N704" s="106"/>
    </row>
    <row r="705" spans="12:14" x14ac:dyDescent="0.25">
      <c r="L705" s="106"/>
      <c r="M705" s="106"/>
      <c r="N705" s="106"/>
    </row>
    <row r="706" spans="12:14" x14ac:dyDescent="0.25">
      <c r="L706" s="106"/>
      <c r="M706" s="106"/>
      <c r="N706" s="106"/>
    </row>
    <row r="707" spans="12:14" x14ac:dyDescent="0.25">
      <c r="L707" s="106"/>
      <c r="M707" s="106"/>
      <c r="N707" s="106"/>
    </row>
    <row r="708" spans="12:14" x14ac:dyDescent="0.25">
      <c r="L708" s="106"/>
      <c r="M708" s="106"/>
      <c r="N708" s="106"/>
    </row>
    <row r="709" spans="12:14" x14ac:dyDescent="0.25">
      <c r="L709" s="106"/>
      <c r="M709" s="106"/>
      <c r="N709" s="106"/>
    </row>
    <row r="710" spans="12:14" x14ac:dyDescent="0.25">
      <c r="L710" s="106"/>
      <c r="M710" s="106"/>
      <c r="N710" s="106"/>
    </row>
    <row r="711" spans="12:14" x14ac:dyDescent="0.25">
      <c r="L711" s="106"/>
      <c r="M711" s="106"/>
      <c r="N711" s="106"/>
    </row>
    <row r="712" spans="12:14" x14ac:dyDescent="0.25">
      <c r="L712" s="106"/>
      <c r="M712" s="106"/>
      <c r="N712" s="106"/>
    </row>
    <row r="713" spans="12:14" x14ac:dyDescent="0.25">
      <c r="L713" s="106"/>
      <c r="M713" s="106"/>
      <c r="N713" s="106"/>
    </row>
    <row r="714" spans="12:14" x14ac:dyDescent="0.25">
      <c r="L714" s="106"/>
      <c r="M714" s="106"/>
      <c r="N714" s="106"/>
    </row>
    <row r="715" spans="12:14" x14ac:dyDescent="0.25">
      <c r="L715" s="106"/>
      <c r="M715" s="106"/>
      <c r="N715" s="106"/>
    </row>
    <row r="716" spans="12:14" x14ac:dyDescent="0.25">
      <c r="L716" s="106"/>
      <c r="M716" s="106"/>
      <c r="N716" s="106"/>
    </row>
    <row r="717" spans="12:14" x14ac:dyDescent="0.25">
      <c r="L717" s="106"/>
      <c r="M717" s="106"/>
      <c r="N717" s="106"/>
    </row>
    <row r="718" spans="12:14" x14ac:dyDescent="0.25">
      <c r="L718" s="106"/>
      <c r="M718" s="106"/>
      <c r="N718" s="106"/>
    </row>
    <row r="719" spans="12:14" x14ac:dyDescent="0.25">
      <c r="L719" s="106"/>
      <c r="M719" s="106"/>
      <c r="N719" s="106"/>
    </row>
    <row r="720" spans="12:14" x14ac:dyDescent="0.25">
      <c r="L720" s="106"/>
      <c r="M720" s="106"/>
      <c r="N720" s="106"/>
    </row>
    <row r="721" spans="12:14" x14ac:dyDescent="0.25">
      <c r="L721" s="106"/>
      <c r="M721" s="106"/>
      <c r="N721" s="106"/>
    </row>
    <row r="722" spans="12:14" x14ac:dyDescent="0.25">
      <c r="L722" s="106"/>
      <c r="M722" s="106"/>
      <c r="N722" s="106"/>
    </row>
    <row r="723" spans="12:14" x14ac:dyDescent="0.25">
      <c r="L723" s="106"/>
      <c r="M723" s="106"/>
      <c r="N723" s="106"/>
    </row>
    <row r="724" spans="12:14" x14ac:dyDescent="0.25">
      <c r="L724" s="106"/>
      <c r="M724" s="106"/>
      <c r="N724" s="106"/>
    </row>
    <row r="725" spans="12:14" x14ac:dyDescent="0.25">
      <c r="L725" s="106"/>
      <c r="M725" s="106"/>
      <c r="N725" s="106"/>
    </row>
    <row r="726" spans="12:14" x14ac:dyDescent="0.25">
      <c r="L726" s="106"/>
      <c r="M726" s="106"/>
      <c r="N726" s="106"/>
    </row>
    <row r="727" spans="12:14" x14ac:dyDescent="0.25">
      <c r="L727" s="106"/>
      <c r="M727" s="106"/>
      <c r="N727" s="106"/>
    </row>
    <row r="728" spans="12:14" x14ac:dyDescent="0.25">
      <c r="L728" s="106"/>
      <c r="M728" s="106"/>
      <c r="N728" s="106"/>
    </row>
    <row r="729" spans="12:14" x14ac:dyDescent="0.25">
      <c r="L729" s="106"/>
      <c r="M729" s="106"/>
      <c r="N729" s="106"/>
    </row>
    <row r="730" spans="12:14" x14ac:dyDescent="0.25">
      <c r="L730" s="106"/>
      <c r="M730" s="106"/>
      <c r="N730" s="106"/>
    </row>
    <row r="731" spans="12:14" x14ac:dyDescent="0.25">
      <c r="L731" s="106"/>
      <c r="M731" s="106"/>
      <c r="N731" s="106"/>
    </row>
    <row r="732" spans="12:14" x14ac:dyDescent="0.25">
      <c r="L732" s="106"/>
      <c r="M732" s="106"/>
      <c r="N732" s="106"/>
    </row>
    <row r="733" spans="12:14" x14ac:dyDescent="0.25">
      <c r="L733" s="106"/>
      <c r="M733" s="106"/>
      <c r="N733" s="106"/>
    </row>
    <row r="734" spans="12:14" x14ac:dyDescent="0.25">
      <c r="L734" s="106"/>
      <c r="M734" s="106"/>
      <c r="N734" s="106"/>
    </row>
    <row r="735" spans="12:14" x14ac:dyDescent="0.25">
      <c r="L735" s="106"/>
      <c r="M735" s="106"/>
      <c r="N735" s="106"/>
    </row>
    <row r="736" spans="12:14" x14ac:dyDescent="0.25">
      <c r="L736" s="106"/>
      <c r="M736" s="106"/>
      <c r="N736" s="106"/>
    </row>
    <row r="737" spans="12:14" x14ac:dyDescent="0.25">
      <c r="L737" s="106"/>
      <c r="M737" s="106"/>
      <c r="N737" s="106"/>
    </row>
    <row r="738" spans="12:14" x14ac:dyDescent="0.25">
      <c r="L738" s="106"/>
      <c r="M738" s="106"/>
      <c r="N738" s="106"/>
    </row>
    <row r="739" spans="12:14" x14ac:dyDescent="0.25">
      <c r="L739" s="106"/>
      <c r="M739" s="106"/>
      <c r="N739" s="106"/>
    </row>
    <row r="740" spans="12:14" x14ac:dyDescent="0.25">
      <c r="L740" s="106"/>
      <c r="M740" s="106"/>
      <c r="N740" s="106"/>
    </row>
    <row r="741" spans="12:14" x14ac:dyDescent="0.25">
      <c r="L741" s="106"/>
      <c r="M741" s="106"/>
      <c r="N741" s="106"/>
    </row>
    <row r="742" spans="12:14" x14ac:dyDescent="0.25">
      <c r="L742" s="106"/>
      <c r="M742" s="106"/>
      <c r="N742" s="106"/>
    </row>
    <row r="743" spans="12:14" x14ac:dyDescent="0.25">
      <c r="L743" s="106"/>
      <c r="M743" s="106"/>
      <c r="N743" s="106"/>
    </row>
    <row r="744" spans="12:14" x14ac:dyDescent="0.25">
      <c r="L744" s="106"/>
      <c r="M744" s="106"/>
      <c r="N744" s="106"/>
    </row>
    <row r="745" spans="12:14" x14ac:dyDescent="0.25">
      <c r="L745" s="106"/>
      <c r="M745" s="106"/>
      <c r="N745" s="106"/>
    </row>
    <row r="746" spans="12:14" x14ac:dyDescent="0.25">
      <c r="L746" s="106"/>
      <c r="M746" s="106"/>
      <c r="N746" s="106"/>
    </row>
    <row r="747" spans="12:14" x14ac:dyDescent="0.25">
      <c r="L747" s="106"/>
      <c r="M747" s="106"/>
      <c r="N747" s="106"/>
    </row>
    <row r="748" spans="12:14" x14ac:dyDescent="0.25">
      <c r="L748" s="106"/>
      <c r="M748" s="106"/>
      <c r="N748" s="106"/>
    </row>
    <row r="749" spans="12:14" x14ac:dyDescent="0.25">
      <c r="L749" s="106"/>
      <c r="M749" s="106"/>
      <c r="N749" s="106"/>
    </row>
    <row r="750" spans="12:14" x14ac:dyDescent="0.25">
      <c r="L750" s="106"/>
      <c r="M750" s="106"/>
      <c r="N750" s="106"/>
    </row>
    <row r="751" spans="12:14" x14ac:dyDescent="0.25">
      <c r="L751" s="106"/>
      <c r="M751" s="106"/>
      <c r="N751" s="106"/>
    </row>
    <row r="752" spans="12:14" x14ac:dyDescent="0.25">
      <c r="L752" s="106"/>
      <c r="M752" s="106"/>
      <c r="N752" s="106"/>
    </row>
    <row r="753" spans="12:14" x14ac:dyDescent="0.25">
      <c r="L753" s="106"/>
      <c r="M753" s="106"/>
      <c r="N753" s="106"/>
    </row>
    <row r="754" spans="12:14" x14ac:dyDescent="0.25">
      <c r="L754" s="106"/>
      <c r="M754" s="106"/>
      <c r="N754" s="106"/>
    </row>
    <row r="755" spans="12:14" x14ac:dyDescent="0.25">
      <c r="L755" s="106"/>
      <c r="M755" s="106"/>
      <c r="N755" s="106"/>
    </row>
    <row r="756" spans="12:14" x14ac:dyDescent="0.25">
      <c r="L756" s="106"/>
      <c r="M756" s="106"/>
      <c r="N756" s="106"/>
    </row>
    <row r="757" spans="12:14" x14ac:dyDescent="0.25">
      <c r="L757" s="106"/>
      <c r="M757" s="106"/>
      <c r="N757" s="106"/>
    </row>
    <row r="758" spans="12:14" x14ac:dyDescent="0.25">
      <c r="L758" s="106"/>
      <c r="M758" s="106"/>
      <c r="N758" s="106"/>
    </row>
    <row r="759" spans="12:14" x14ac:dyDescent="0.25">
      <c r="L759" s="106"/>
      <c r="M759" s="106"/>
      <c r="N759" s="106"/>
    </row>
    <row r="760" spans="12:14" x14ac:dyDescent="0.25">
      <c r="L760" s="106"/>
      <c r="M760" s="106"/>
      <c r="N760" s="106"/>
    </row>
    <row r="761" spans="12:14" x14ac:dyDescent="0.25">
      <c r="L761" s="106"/>
      <c r="M761" s="106"/>
      <c r="N761" s="106"/>
    </row>
    <row r="762" spans="12:14" x14ac:dyDescent="0.25">
      <c r="L762" s="106"/>
      <c r="M762" s="106"/>
      <c r="N762" s="106"/>
    </row>
    <row r="763" spans="12:14" x14ac:dyDescent="0.25">
      <c r="L763" s="106"/>
      <c r="M763" s="106"/>
      <c r="N763" s="106"/>
    </row>
    <row r="764" spans="12:14" x14ac:dyDescent="0.25">
      <c r="L764" s="106"/>
      <c r="M764" s="106"/>
      <c r="N764" s="106"/>
    </row>
    <row r="765" spans="12:14" x14ac:dyDescent="0.25">
      <c r="L765" s="106"/>
      <c r="M765" s="106"/>
      <c r="N765" s="106"/>
    </row>
    <row r="766" spans="12:14" x14ac:dyDescent="0.25">
      <c r="L766" s="106"/>
      <c r="M766" s="106"/>
      <c r="N766" s="106"/>
    </row>
    <row r="767" spans="12:14" x14ac:dyDescent="0.25">
      <c r="L767" s="106"/>
      <c r="M767" s="106"/>
      <c r="N767" s="106"/>
    </row>
    <row r="768" spans="12:14" x14ac:dyDescent="0.25">
      <c r="L768" s="106"/>
      <c r="M768" s="106"/>
      <c r="N768" s="106"/>
    </row>
    <row r="769" spans="12:14" x14ac:dyDescent="0.25">
      <c r="L769" s="106"/>
      <c r="M769" s="106"/>
      <c r="N769" s="106"/>
    </row>
    <row r="770" spans="12:14" x14ac:dyDescent="0.25">
      <c r="L770" s="106"/>
      <c r="M770" s="106"/>
      <c r="N770" s="106"/>
    </row>
    <row r="771" spans="12:14" x14ac:dyDescent="0.25">
      <c r="L771" s="106"/>
      <c r="M771" s="106"/>
      <c r="N771" s="106"/>
    </row>
    <row r="772" spans="12:14" x14ac:dyDescent="0.25">
      <c r="L772" s="106"/>
      <c r="M772" s="106"/>
      <c r="N772" s="106"/>
    </row>
    <row r="773" spans="12:14" x14ac:dyDescent="0.25">
      <c r="L773" s="106"/>
      <c r="M773" s="106"/>
      <c r="N773" s="106"/>
    </row>
    <row r="774" spans="12:14" x14ac:dyDescent="0.25">
      <c r="L774" s="106"/>
      <c r="M774" s="106"/>
      <c r="N774" s="106"/>
    </row>
    <row r="775" spans="12:14" x14ac:dyDescent="0.25">
      <c r="L775" s="106"/>
      <c r="M775" s="106"/>
      <c r="N775" s="106"/>
    </row>
    <row r="776" spans="12:14" x14ac:dyDescent="0.25">
      <c r="L776" s="106"/>
      <c r="M776" s="106"/>
      <c r="N776" s="106"/>
    </row>
    <row r="777" spans="12:14" x14ac:dyDescent="0.25">
      <c r="L777" s="106"/>
      <c r="M777" s="106"/>
      <c r="N777" s="106"/>
    </row>
    <row r="778" spans="12:14" x14ac:dyDescent="0.25">
      <c r="L778" s="106"/>
      <c r="M778" s="106"/>
      <c r="N778" s="106"/>
    </row>
    <row r="779" spans="12:14" x14ac:dyDescent="0.25">
      <c r="L779" s="106"/>
      <c r="M779" s="106"/>
      <c r="N779" s="106"/>
    </row>
    <row r="780" spans="12:14" x14ac:dyDescent="0.25">
      <c r="L780" s="106"/>
      <c r="M780" s="106"/>
      <c r="N780" s="106"/>
    </row>
    <row r="781" spans="12:14" x14ac:dyDescent="0.25">
      <c r="L781" s="106"/>
      <c r="M781" s="106"/>
      <c r="N781" s="106"/>
    </row>
    <row r="782" spans="12:14" x14ac:dyDescent="0.25">
      <c r="L782" s="106"/>
      <c r="M782" s="106"/>
      <c r="N782" s="106"/>
    </row>
    <row r="783" spans="12:14" x14ac:dyDescent="0.25">
      <c r="L783" s="106"/>
      <c r="M783" s="106"/>
      <c r="N783" s="106"/>
    </row>
    <row r="784" spans="12:14" x14ac:dyDescent="0.25">
      <c r="L784" s="106"/>
      <c r="M784" s="106"/>
      <c r="N784" s="106"/>
    </row>
    <row r="785" spans="12:14" x14ac:dyDescent="0.25">
      <c r="L785" s="106"/>
      <c r="M785" s="106"/>
      <c r="N785" s="106"/>
    </row>
    <row r="786" spans="12:14" x14ac:dyDescent="0.25">
      <c r="L786" s="106"/>
      <c r="M786" s="106"/>
      <c r="N786" s="106"/>
    </row>
    <row r="787" spans="12:14" x14ac:dyDescent="0.25">
      <c r="L787" s="106"/>
      <c r="M787" s="106"/>
      <c r="N787" s="106"/>
    </row>
    <row r="788" spans="12:14" x14ac:dyDescent="0.25">
      <c r="L788" s="106"/>
      <c r="M788" s="106"/>
      <c r="N788" s="106"/>
    </row>
    <row r="789" spans="12:14" x14ac:dyDescent="0.25">
      <c r="L789" s="106"/>
      <c r="M789" s="106"/>
      <c r="N789" s="106"/>
    </row>
    <row r="790" spans="12:14" x14ac:dyDescent="0.25">
      <c r="L790" s="106"/>
      <c r="M790" s="106"/>
      <c r="N790" s="106"/>
    </row>
    <row r="791" spans="12:14" x14ac:dyDescent="0.25">
      <c r="L791" s="106"/>
      <c r="M791" s="106"/>
      <c r="N791" s="106"/>
    </row>
    <row r="792" spans="12:14" x14ac:dyDescent="0.25">
      <c r="L792" s="106"/>
      <c r="M792" s="106"/>
      <c r="N792" s="106"/>
    </row>
    <row r="793" spans="12:14" x14ac:dyDescent="0.25">
      <c r="L793" s="106"/>
      <c r="M793" s="106"/>
      <c r="N793" s="106"/>
    </row>
    <row r="794" spans="12:14" x14ac:dyDescent="0.25">
      <c r="L794" s="106"/>
      <c r="M794" s="106"/>
      <c r="N794" s="106"/>
    </row>
    <row r="795" spans="12:14" x14ac:dyDescent="0.25">
      <c r="L795" s="106"/>
      <c r="M795" s="106"/>
      <c r="N795" s="106"/>
    </row>
    <row r="796" spans="12:14" x14ac:dyDescent="0.25">
      <c r="L796" s="106"/>
      <c r="M796" s="106"/>
      <c r="N796" s="106"/>
    </row>
    <row r="797" spans="12:14" x14ac:dyDescent="0.25">
      <c r="L797" s="106"/>
      <c r="M797" s="106"/>
      <c r="N797" s="106"/>
    </row>
    <row r="798" spans="12:14" x14ac:dyDescent="0.25">
      <c r="L798" s="106"/>
      <c r="M798" s="106"/>
      <c r="N798" s="106"/>
    </row>
    <row r="799" spans="12:14" x14ac:dyDescent="0.25">
      <c r="L799" s="106"/>
      <c r="M799" s="106"/>
      <c r="N799" s="106"/>
    </row>
    <row r="800" spans="12:14" x14ac:dyDescent="0.25">
      <c r="L800" s="106"/>
      <c r="M800" s="106"/>
      <c r="N800" s="106"/>
    </row>
    <row r="801" spans="12:14" x14ac:dyDescent="0.25">
      <c r="L801" s="106"/>
      <c r="M801" s="106"/>
      <c r="N801" s="106"/>
    </row>
    <row r="802" spans="12:14" x14ac:dyDescent="0.25">
      <c r="L802" s="106"/>
      <c r="M802" s="106"/>
      <c r="N802" s="106"/>
    </row>
    <row r="803" spans="12:14" x14ac:dyDescent="0.25">
      <c r="L803" s="106"/>
      <c r="M803" s="106"/>
      <c r="N803" s="106"/>
    </row>
    <row r="804" spans="12:14" x14ac:dyDescent="0.25">
      <c r="L804" s="106"/>
      <c r="M804" s="106"/>
      <c r="N804" s="106"/>
    </row>
    <row r="805" spans="12:14" x14ac:dyDescent="0.25">
      <c r="L805" s="106"/>
      <c r="M805" s="106"/>
      <c r="N805" s="106"/>
    </row>
    <row r="806" spans="12:14" x14ac:dyDescent="0.25">
      <c r="L806" s="106"/>
      <c r="M806" s="106"/>
      <c r="N806" s="106"/>
    </row>
    <row r="807" spans="12:14" x14ac:dyDescent="0.25">
      <c r="L807" s="106"/>
      <c r="M807" s="106"/>
      <c r="N807" s="106"/>
    </row>
    <row r="808" spans="12:14" x14ac:dyDescent="0.25">
      <c r="L808" s="106"/>
      <c r="M808" s="106"/>
      <c r="N808" s="106"/>
    </row>
    <row r="809" spans="12:14" x14ac:dyDescent="0.25">
      <c r="L809" s="106"/>
      <c r="M809" s="106"/>
      <c r="N809" s="106"/>
    </row>
    <row r="810" spans="12:14" x14ac:dyDescent="0.25">
      <c r="L810" s="106"/>
      <c r="M810" s="106"/>
      <c r="N810" s="106"/>
    </row>
    <row r="811" spans="12:14" x14ac:dyDescent="0.25">
      <c r="L811" s="106"/>
      <c r="M811" s="106"/>
      <c r="N811" s="106"/>
    </row>
    <row r="812" spans="12:14" x14ac:dyDescent="0.25">
      <c r="L812" s="106"/>
      <c r="M812" s="106"/>
      <c r="N812" s="106"/>
    </row>
    <row r="813" spans="12:14" x14ac:dyDescent="0.25">
      <c r="L813" s="106"/>
      <c r="M813" s="106"/>
      <c r="N813" s="106"/>
    </row>
    <row r="814" spans="12:14" x14ac:dyDescent="0.25">
      <c r="L814" s="106"/>
      <c r="M814" s="106"/>
      <c r="N814" s="106"/>
    </row>
    <row r="815" spans="12:14" x14ac:dyDescent="0.25">
      <c r="L815" s="106"/>
      <c r="M815" s="106"/>
      <c r="N815" s="106"/>
    </row>
    <row r="816" spans="12:14" x14ac:dyDescent="0.25">
      <c r="L816" s="106"/>
      <c r="M816" s="106"/>
      <c r="N816" s="106"/>
    </row>
    <row r="817" spans="12:14" x14ac:dyDescent="0.25">
      <c r="L817" s="106"/>
      <c r="M817" s="106"/>
      <c r="N817" s="106"/>
    </row>
    <row r="818" spans="12:14" x14ac:dyDescent="0.25">
      <c r="L818" s="106"/>
      <c r="M818" s="106"/>
      <c r="N818" s="106"/>
    </row>
    <row r="819" spans="12:14" x14ac:dyDescent="0.25">
      <c r="L819" s="106"/>
      <c r="M819" s="106"/>
      <c r="N819" s="106"/>
    </row>
    <row r="820" spans="12:14" x14ac:dyDescent="0.25">
      <c r="L820" s="106"/>
      <c r="M820" s="106"/>
      <c r="N820" s="106"/>
    </row>
    <row r="821" spans="12:14" x14ac:dyDescent="0.25">
      <c r="L821" s="106"/>
      <c r="M821" s="106"/>
      <c r="N821" s="106"/>
    </row>
    <row r="822" spans="12:14" x14ac:dyDescent="0.25">
      <c r="L822" s="106"/>
      <c r="M822" s="106"/>
      <c r="N822" s="106"/>
    </row>
    <row r="823" spans="12:14" x14ac:dyDescent="0.25">
      <c r="L823" s="106"/>
      <c r="M823" s="106"/>
      <c r="N823" s="106"/>
    </row>
    <row r="824" spans="12:14" x14ac:dyDescent="0.25">
      <c r="L824" s="106"/>
      <c r="M824" s="106"/>
      <c r="N824" s="106"/>
    </row>
    <row r="825" spans="12:14" x14ac:dyDescent="0.25">
      <c r="L825" s="106"/>
      <c r="M825" s="106"/>
      <c r="N825" s="106"/>
    </row>
    <row r="826" spans="12:14" x14ac:dyDescent="0.25">
      <c r="L826" s="106"/>
      <c r="M826" s="106"/>
      <c r="N826" s="106"/>
    </row>
    <row r="827" spans="12:14" x14ac:dyDescent="0.25">
      <c r="L827" s="106"/>
      <c r="M827" s="106"/>
      <c r="N827" s="106"/>
    </row>
    <row r="828" spans="12:14" x14ac:dyDescent="0.25">
      <c r="L828" s="106"/>
      <c r="M828" s="106"/>
      <c r="N828" s="106"/>
    </row>
    <row r="829" spans="12:14" x14ac:dyDescent="0.25">
      <c r="L829" s="106"/>
      <c r="M829" s="106"/>
      <c r="N829" s="106"/>
    </row>
    <row r="830" spans="12:14" x14ac:dyDescent="0.25">
      <c r="L830" s="106"/>
      <c r="M830" s="106"/>
      <c r="N830" s="106"/>
    </row>
    <row r="831" spans="12:14" x14ac:dyDescent="0.25">
      <c r="L831" s="106"/>
      <c r="M831" s="106"/>
      <c r="N831" s="106"/>
    </row>
    <row r="832" spans="12:14" x14ac:dyDescent="0.25">
      <c r="L832" s="106"/>
      <c r="M832" s="106"/>
      <c r="N832" s="106"/>
    </row>
    <row r="833" spans="12:14" x14ac:dyDescent="0.25">
      <c r="L833" s="106"/>
      <c r="M833" s="106"/>
      <c r="N833" s="106"/>
    </row>
    <row r="834" spans="12:14" x14ac:dyDescent="0.25">
      <c r="L834" s="106"/>
      <c r="M834" s="106"/>
      <c r="N834" s="106"/>
    </row>
    <row r="835" spans="12:14" x14ac:dyDescent="0.25">
      <c r="L835" s="106"/>
      <c r="M835" s="106"/>
      <c r="N835" s="106"/>
    </row>
    <row r="836" spans="12:14" x14ac:dyDescent="0.25">
      <c r="L836" s="106"/>
      <c r="M836" s="106"/>
      <c r="N836" s="106"/>
    </row>
    <row r="837" spans="12:14" x14ac:dyDescent="0.25">
      <c r="L837" s="106"/>
      <c r="M837" s="106"/>
      <c r="N837" s="106"/>
    </row>
    <row r="838" spans="12:14" x14ac:dyDescent="0.25">
      <c r="L838" s="106"/>
      <c r="M838" s="106"/>
      <c r="N838" s="106"/>
    </row>
    <row r="839" spans="12:14" x14ac:dyDescent="0.25">
      <c r="L839" s="106"/>
      <c r="M839" s="106"/>
      <c r="N839" s="106"/>
    </row>
    <row r="840" spans="12:14" x14ac:dyDescent="0.25">
      <c r="L840" s="106"/>
      <c r="M840" s="106"/>
      <c r="N840" s="106"/>
    </row>
    <row r="841" spans="12:14" x14ac:dyDescent="0.25">
      <c r="L841" s="106"/>
      <c r="M841" s="106"/>
      <c r="N841" s="106"/>
    </row>
    <row r="842" spans="12:14" x14ac:dyDescent="0.25">
      <c r="L842" s="106"/>
      <c r="M842" s="106"/>
      <c r="N842" s="106"/>
    </row>
    <row r="843" spans="12:14" x14ac:dyDescent="0.25">
      <c r="L843" s="106"/>
      <c r="M843" s="106"/>
      <c r="N843" s="106"/>
    </row>
    <row r="844" spans="12:14" x14ac:dyDescent="0.25">
      <c r="L844" s="106"/>
      <c r="M844" s="106"/>
      <c r="N844" s="106"/>
    </row>
    <row r="845" spans="12:14" x14ac:dyDescent="0.25">
      <c r="L845" s="106"/>
      <c r="M845" s="106"/>
      <c r="N845" s="106"/>
    </row>
    <row r="846" spans="12:14" x14ac:dyDescent="0.25">
      <c r="L846" s="106"/>
      <c r="M846" s="106"/>
      <c r="N846" s="106"/>
    </row>
    <row r="847" spans="12:14" x14ac:dyDescent="0.25">
      <c r="L847" s="106"/>
      <c r="M847" s="106"/>
      <c r="N847" s="106"/>
    </row>
    <row r="848" spans="12:14" x14ac:dyDescent="0.25">
      <c r="L848" s="106"/>
      <c r="M848" s="106"/>
      <c r="N848" s="106"/>
    </row>
    <row r="849" spans="12:14" x14ac:dyDescent="0.25">
      <c r="L849" s="106"/>
      <c r="M849" s="106"/>
      <c r="N849" s="106"/>
    </row>
    <row r="850" spans="12:14" x14ac:dyDescent="0.25">
      <c r="L850" s="106"/>
      <c r="M850" s="106"/>
      <c r="N850" s="106"/>
    </row>
    <row r="851" spans="12:14" x14ac:dyDescent="0.25">
      <c r="L851" s="106"/>
      <c r="M851" s="106"/>
      <c r="N851" s="106"/>
    </row>
    <row r="852" spans="12:14" x14ac:dyDescent="0.25">
      <c r="L852" s="106"/>
      <c r="M852" s="106"/>
      <c r="N852" s="106"/>
    </row>
    <row r="853" spans="12:14" x14ac:dyDescent="0.25">
      <c r="L853" s="106"/>
      <c r="M853" s="106"/>
      <c r="N853" s="106"/>
    </row>
    <row r="854" spans="12:14" x14ac:dyDescent="0.25">
      <c r="L854" s="106"/>
      <c r="M854" s="106"/>
      <c r="N854" s="106"/>
    </row>
    <row r="855" spans="12:14" x14ac:dyDescent="0.25">
      <c r="L855" s="106"/>
      <c r="M855" s="106"/>
      <c r="N855" s="106"/>
    </row>
    <row r="856" spans="12:14" x14ac:dyDescent="0.25">
      <c r="L856" s="106"/>
      <c r="M856" s="106"/>
      <c r="N856" s="106"/>
    </row>
    <row r="857" spans="12:14" x14ac:dyDescent="0.25">
      <c r="L857" s="106"/>
      <c r="M857" s="106"/>
      <c r="N857" s="106"/>
    </row>
    <row r="858" spans="12:14" x14ac:dyDescent="0.25">
      <c r="L858" s="106"/>
      <c r="M858" s="106"/>
      <c r="N858" s="106"/>
    </row>
    <row r="859" spans="12:14" x14ac:dyDescent="0.25">
      <c r="L859" s="106"/>
      <c r="M859" s="106"/>
      <c r="N859" s="106"/>
    </row>
    <row r="860" spans="12:14" x14ac:dyDescent="0.25">
      <c r="L860" s="106"/>
      <c r="M860" s="106"/>
      <c r="N860" s="106"/>
    </row>
    <row r="861" spans="12:14" x14ac:dyDescent="0.25">
      <c r="L861" s="106"/>
      <c r="M861" s="106"/>
      <c r="N861" s="106"/>
    </row>
    <row r="862" spans="12:14" x14ac:dyDescent="0.25">
      <c r="L862" s="106"/>
      <c r="M862" s="106"/>
      <c r="N862" s="106"/>
    </row>
    <row r="863" spans="12:14" x14ac:dyDescent="0.25">
      <c r="L863" s="106"/>
      <c r="M863" s="106"/>
      <c r="N863" s="106"/>
    </row>
    <row r="864" spans="12:14" x14ac:dyDescent="0.25">
      <c r="L864" s="106"/>
      <c r="M864" s="106"/>
      <c r="N864" s="106"/>
    </row>
    <row r="865" spans="12:14" x14ac:dyDescent="0.25">
      <c r="L865" s="106"/>
      <c r="M865" s="106"/>
      <c r="N865" s="106"/>
    </row>
    <row r="866" spans="12:14" x14ac:dyDescent="0.25">
      <c r="L866" s="106"/>
      <c r="M866" s="106"/>
      <c r="N866" s="106"/>
    </row>
    <row r="867" spans="12:14" x14ac:dyDescent="0.25">
      <c r="L867" s="106"/>
      <c r="M867" s="106"/>
      <c r="N867" s="106"/>
    </row>
    <row r="868" spans="12:14" x14ac:dyDescent="0.25">
      <c r="L868" s="106"/>
      <c r="M868" s="106"/>
      <c r="N868" s="106"/>
    </row>
    <row r="869" spans="12:14" x14ac:dyDescent="0.25">
      <c r="L869" s="106"/>
      <c r="M869" s="106"/>
      <c r="N869" s="106"/>
    </row>
    <row r="870" spans="12:14" x14ac:dyDescent="0.25">
      <c r="L870" s="106"/>
      <c r="M870" s="106"/>
      <c r="N870" s="106"/>
    </row>
    <row r="871" spans="12:14" x14ac:dyDescent="0.25">
      <c r="L871" s="106"/>
      <c r="M871" s="106"/>
      <c r="N871" s="106"/>
    </row>
    <row r="872" spans="12:14" x14ac:dyDescent="0.25">
      <c r="L872" s="106"/>
      <c r="M872" s="106"/>
      <c r="N872" s="106"/>
    </row>
    <row r="873" spans="12:14" x14ac:dyDescent="0.25">
      <c r="L873" s="106"/>
      <c r="M873" s="106"/>
      <c r="N873" s="106"/>
    </row>
    <row r="874" spans="12:14" x14ac:dyDescent="0.25">
      <c r="L874" s="106"/>
      <c r="M874" s="106"/>
      <c r="N874" s="106"/>
    </row>
    <row r="875" spans="12:14" x14ac:dyDescent="0.25">
      <c r="L875" s="106"/>
      <c r="M875" s="106"/>
      <c r="N875" s="106"/>
    </row>
    <row r="876" spans="12:14" x14ac:dyDescent="0.25">
      <c r="L876" s="106"/>
      <c r="M876" s="106"/>
      <c r="N876" s="106"/>
    </row>
    <row r="877" spans="12:14" x14ac:dyDescent="0.25">
      <c r="L877" s="106"/>
      <c r="M877" s="106"/>
      <c r="N877" s="106"/>
    </row>
    <row r="878" spans="12:14" x14ac:dyDescent="0.25">
      <c r="L878" s="106"/>
      <c r="M878" s="106"/>
      <c r="N878" s="106"/>
    </row>
    <row r="879" spans="12:14" x14ac:dyDescent="0.25">
      <c r="L879" s="106"/>
      <c r="M879" s="106"/>
      <c r="N879" s="106"/>
    </row>
    <row r="880" spans="12:14" x14ac:dyDescent="0.25">
      <c r="L880" s="106"/>
      <c r="M880" s="106"/>
      <c r="N880" s="106"/>
    </row>
    <row r="881" spans="12:14" x14ac:dyDescent="0.25">
      <c r="L881" s="106"/>
      <c r="M881" s="106"/>
      <c r="N881" s="106"/>
    </row>
    <row r="882" spans="12:14" x14ac:dyDescent="0.25">
      <c r="L882" s="106"/>
      <c r="M882" s="106"/>
      <c r="N882" s="106"/>
    </row>
    <row r="883" spans="12:14" x14ac:dyDescent="0.25">
      <c r="L883" s="106"/>
      <c r="M883" s="106"/>
      <c r="N883" s="106"/>
    </row>
    <row r="884" spans="12:14" x14ac:dyDescent="0.25">
      <c r="L884" s="106"/>
      <c r="M884" s="106"/>
      <c r="N884" s="106"/>
    </row>
    <row r="885" spans="12:14" x14ac:dyDescent="0.25">
      <c r="L885" s="106"/>
      <c r="M885" s="106"/>
      <c r="N885" s="106"/>
    </row>
    <row r="886" spans="12:14" x14ac:dyDescent="0.25">
      <c r="L886" s="106"/>
      <c r="M886" s="106"/>
      <c r="N886" s="106"/>
    </row>
    <row r="887" spans="12:14" x14ac:dyDescent="0.25">
      <c r="L887" s="106"/>
      <c r="M887" s="106"/>
      <c r="N887" s="106"/>
    </row>
    <row r="888" spans="12:14" x14ac:dyDescent="0.25">
      <c r="L888" s="106"/>
      <c r="M888" s="106"/>
      <c r="N888" s="106"/>
    </row>
    <row r="889" spans="12:14" x14ac:dyDescent="0.25">
      <c r="L889" s="106"/>
      <c r="M889" s="106"/>
      <c r="N889" s="106"/>
    </row>
    <row r="890" spans="12:14" x14ac:dyDescent="0.25">
      <c r="L890" s="106"/>
      <c r="M890" s="106"/>
      <c r="N890" s="106"/>
    </row>
    <row r="891" spans="12:14" x14ac:dyDescent="0.25">
      <c r="L891" s="106"/>
      <c r="M891" s="106"/>
      <c r="N891" s="106"/>
    </row>
    <row r="892" spans="12:14" x14ac:dyDescent="0.25">
      <c r="L892" s="106"/>
      <c r="M892" s="106"/>
      <c r="N892" s="106"/>
    </row>
    <row r="893" spans="12:14" x14ac:dyDescent="0.25">
      <c r="L893" s="106"/>
      <c r="M893" s="106"/>
      <c r="N893" s="106"/>
    </row>
    <row r="894" spans="12:14" x14ac:dyDescent="0.25">
      <c r="L894" s="106"/>
      <c r="M894" s="106"/>
      <c r="N894" s="106"/>
    </row>
    <row r="895" spans="12:14" x14ac:dyDescent="0.25">
      <c r="L895" s="106"/>
      <c r="M895" s="106"/>
      <c r="N895" s="106"/>
    </row>
    <row r="896" spans="12:14" x14ac:dyDescent="0.25">
      <c r="L896" s="106"/>
      <c r="M896" s="106"/>
      <c r="N896" s="106"/>
    </row>
    <row r="897" spans="12:14" x14ac:dyDescent="0.25">
      <c r="L897" s="106"/>
      <c r="M897" s="106"/>
      <c r="N897" s="106"/>
    </row>
    <row r="898" spans="12:14" x14ac:dyDescent="0.25">
      <c r="L898" s="106"/>
      <c r="M898" s="106"/>
      <c r="N898" s="106"/>
    </row>
    <row r="899" spans="12:14" x14ac:dyDescent="0.25">
      <c r="L899" s="106"/>
      <c r="M899" s="106"/>
      <c r="N899" s="106"/>
    </row>
    <row r="900" spans="12:14" x14ac:dyDescent="0.25">
      <c r="L900" s="106"/>
      <c r="M900" s="106"/>
      <c r="N900" s="106"/>
    </row>
    <row r="901" spans="12:14" x14ac:dyDescent="0.25">
      <c r="L901" s="106"/>
      <c r="M901" s="106"/>
      <c r="N901" s="106"/>
    </row>
    <row r="902" spans="12:14" x14ac:dyDescent="0.25">
      <c r="L902" s="106"/>
      <c r="M902" s="106"/>
      <c r="N902" s="106"/>
    </row>
    <row r="903" spans="12:14" x14ac:dyDescent="0.25">
      <c r="L903" s="106"/>
      <c r="M903" s="106"/>
      <c r="N903" s="106"/>
    </row>
    <row r="904" spans="12:14" x14ac:dyDescent="0.25">
      <c r="L904" s="106"/>
      <c r="M904" s="106"/>
      <c r="N904" s="106"/>
    </row>
    <row r="905" spans="12:14" x14ac:dyDescent="0.25">
      <c r="L905" s="106"/>
      <c r="M905" s="106"/>
      <c r="N905" s="106"/>
    </row>
    <row r="906" spans="12:14" x14ac:dyDescent="0.25">
      <c r="L906" s="106"/>
      <c r="M906" s="106"/>
      <c r="N906" s="106"/>
    </row>
    <row r="907" spans="12:14" x14ac:dyDescent="0.25">
      <c r="L907" s="106"/>
      <c r="M907" s="106"/>
      <c r="N907" s="106"/>
    </row>
    <row r="908" spans="12:14" x14ac:dyDescent="0.25">
      <c r="L908" s="106"/>
      <c r="M908" s="106"/>
      <c r="N908" s="106"/>
    </row>
    <row r="909" spans="12:14" x14ac:dyDescent="0.25">
      <c r="L909" s="106"/>
      <c r="M909" s="106"/>
      <c r="N909" s="106"/>
    </row>
    <row r="910" spans="12:14" x14ac:dyDescent="0.25">
      <c r="L910" s="106"/>
      <c r="M910" s="106"/>
      <c r="N910" s="106"/>
    </row>
    <row r="911" spans="12:14" x14ac:dyDescent="0.25">
      <c r="L911" s="106"/>
      <c r="M911" s="106"/>
      <c r="N911" s="106"/>
    </row>
    <row r="912" spans="12:14" x14ac:dyDescent="0.25">
      <c r="L912" s="106"/>
      <c r="M912" s="106"/>
      <c r="N912" s="106"/>
    </row>
    <row r="913" spans="12:14" x14ac:dyDescent="0.25">
      <c r="L913" s="106"/>
      <c r="M913" s="106"/>
      <c r="N913" s="106"/>
    </row>
    <row r="914" spans="12:14" x14ac:dyDescent="0.25">
      <c r="L914" s="106"/>
      <c r="M914" s="106"/>
      <c r="N914" s="106"/>
    </row>
    <row r="915" spans="12:14" x14ac:dyDescent="0.25">
      <c r="L915" s="106"/>
      <c r="M915" s="106"/>
      <c r="N915" s="106"/>
    </row>
    <row r="916" spans="12:14" x14ac:dyDescent="0.25">
      <c r="L916" s="106"/>
      <c r="M916" s="106"/>
      <c r="N916" s="106"/>
    </row>
    <row r="917" spans="12:14" x14ac:dyDescent="0.25">
      <c r="L917" s="106"/>
      <c r="M917" s="106"/>
      <c r="N917" s="106"/>
    </row>
    <row r="918" spans="12:14" x14ac:dyDescent="0.25">
      <c r="L918" s="106"/>
      <c r="M918" s="106"/>
      <c r="N918" s="106"/>
    </row>
    <row r="919" spans="12:14" x14ac:dyDescent="0.25">
      <c r="L919" s="106"/>
      <c r="M919" s="106"/>
      <c r="N919" s="106"/>
    </row>
    <row r="920" spans="12:14" x14ac:dyDescent="0.25">
      <c r="L920" s="106"/>
      <c r="M920" s="106"/>
      <c r="N920" s="106"/>
    </row>
    <row r="921" spans="12:14" x14ac:dyDescent="0.25">
      <c r="L921" s="106"/>
      <c r="M921" s="106"/>
      <c r="N921" s="106"/>
    </row>
    <row r="922" spans="12:14" x14ac:dyDescent="0.25">
      <c r="L922" s="106"/>
      <c r="M922" s="106"/>
      <c r="N922" s="106"/>
    </row>
    <row r="923" spans="12:14" x14ac:dyDescent="0.25">
      <c r="L923" s="106"/>
      <c r="M923" s="106"/>
      <c r="N923" s="106"/>
    </row>
    <row r="924" spans="12:14" x14ac:dyDescent="0.25">
      <c r="L924" s="106"/>
      <c r="M924" s="106"/>
      <c r="N924" s="106"/>
    </row>
    <row r="925" spans="12:14" x14ac:dyDescent="0.25">
      <c r="L925" s="106"/>
      <c r="M925" s="106"/>
      <c r="N925" s="106"/>
    </row>
    <row r="926" spans="12:14" x14ac:dyDescent="0.25">
      <c r="L926" s="106"/>
      <c r="M926" s="106"/>
      <c r="N926" s="106"/>
    </row>
    <row r="927" spans="12:14" x14ac:dyDescent="0.25">
      <c r="L927" s="106"/>
      <c r="M927" s="106"/>
      <c r="N927" s="106"/>
    </row>
    <row r="928" spans="12:14" x14ac:dyDescent="0.25">
      <c r="L928" s="106"/>
      <c r="M928" s="106"/>
      <c r="N928" s="106"/>
    </row>
    <row r="929" spans="12:14" x14ac:dyDescent="0.25">
      <c r="L929" s="106"/>
      <c r="M929" s="106"/>
      <c r="N929" s="106"/>
    </row>
    <row r="930" spans="12:14" x14ac:dyDescent="0.25">
      <c r="L930" s="106"/>
      <c r="M930" s="106"/>
      <c r="N930" s="106"/>
    </row>
    <row r="931" spans="12:14" x14ac:dyDescent="0.25">
      <c r="L931" s="106"/>
      <c r="M931" s="106"/>
      <c r="N931" s="106"/>
    </row>
    <row r="932" spans="12:14" x14ac:dyDescent="0.25">
      <c r="L932" s="106"/>
      <c r="M932" s="106"/>
      <c r="N932" s="106"/>
    </row>
    <row r="933" spans="12:14" x14ac:dyDescent="0.25">
      <c r="L933" s="106"/>
      <c r="M933" s="106"/>
      <c r="N933" s="106"/>
    </row>
    <row r="934" spans="12:14" x14ac:dyDescent="0.25">
      <c r="L934" s="106"/>
      <c r="M934" s="106"/>
      <c r="N934" s="106"/>
    </row>
    <row r="935" spans="12:14" x14ac:dyDescent="0.25">
      <c r="L935" s="106"/>
      <c r="M935" s="106"/>
      <c r="N935" s="106"/>
    </row>
    <row r="936" spans="12:14" x14ac:dyDescent="0.25">
      <c r="L936" s="106"/>
      <c r="M936" s="106"/>
      <c r="N936" s="106"/>
    </row>
    <row r="937" spans="12:14" x14ac:dyDescent="0.25">
      <c r="L937" s="106"/>
      <c r="M937" s="106"/>
      <c r="N937" s="106"/>
    </row>
    <row r="938" spans="12:14" x14ac:dyDescent="0.25">
      <c r="L938" s="106"/>
      <c r="M938" s="106"/>
      <c r="N938" s="106"/>
    </row>
    <row r="939" spans="12:14" x14ac:dyDescent="0.25">
      <c r="L939" s="106"/>
      <c r="M939" s="106"/>
      <c r="N939" s="106"/>
    </row>
    <row r="940" spans="12:14" x14ac:dyDescent="0.25">
      <c r="L940" s="106"/>
      <c r="M940" s="106"/>
      <c r="N940" s="106"/>
    </row>
    <row r="941" spans="12:14" x14ac:dyDescent="0.25">
      <c r="L941" s="106"/>
      <c r="M941" s="106"/>
      <c r="N941" s="106"/>
    </row>
    <row r="942" spans="12:14" x14ac:dyDescent="0.25">
      <c r="L942" s="106"/>
      <c r="M942" s="106"/>
      <c r="N942" s="106"/>
    </row>
    <row r="943" spans="12:14" x14ac:dyDescent="0.25">
      <c r="L943" s="106"/>
      <c r="M943" s="106"/>
      <c r="N943" s="106"/>
    </row>
    <row r="944" spans="12:14" x14ac:dyDescent="0.25">
      <c r="L944" s="106"/>
      <c r="M944" s="106"/>
      <c r="N944" s="106"/>
    </row>
    <row r="945" spans="12:14" x14ac:dyDescent="0.25">
      <c r="L945" s="106"/>
      <c r="M945" s="106"/>
      <c r="N945" s="106"/>
    </row>
    <row r="946" spans="12:14" x14ac:dyDescent="0.25">
      <c r="L946" s="106"/>
      <c r="M946" s="106"/>
      <c r="N946" s="106"/>
    </row>
    <row r="947" spans="12:14" x14ac:dyDescent="0.25">
      <c r="L947" s="106"/>
      <c r="M947" s="106"/>
      <c r="N947" s="106"/>
    </row>
    <row r="948" spans="12:14" x14ac:dyDescent="0.25">
      <c r="L948" s="106"/>
      <c r="M948" s="106"/>
      <c r="N948" s="106"/>
    </row>
    <row r="949" spans="12:14" x14ac:dyDescent="0.25">
      <c r="L949" s="106"/>
      <c r="M949" s="106"/>
      <c r="N949" s="106"/>
    </row>
    <row r="950" spans="12:14" x14ac:dyDescent="0.25">
      <c r="L950" s="106"/>
      <c r="M950" s="106"/>
      <c r="N950" s="106"/>
    </row>
    <row r="951" spans="12:14" x14ac:dyDescent="0.25">
      <c r="L951" s="106"/>
      <c r="M951" s="106"/>
      <c r="N951" s="106"/>
    </row>
    <row r="952" spans="12:14" x14ac:dyDescent="0.25">
      <c r="L952" s="106"/>
      <c r="M952" s="106"/>
      <c r="N952" s="106"/>
    </row>
    <row r="953" spans="12:14" x14ac:dyDescent="0.25">
      <c r="L953" s="106"/>
      <c r="M953" s="106"/>
      <c r="N953" s="106"/>
    </row>
    <row r="954" spans="12:14" x14ac:dyDescent="0.25">
      <c r="L954" s="106"/>
      <c r="M954" s="106"/>
      <c r="N954" s="106"/>
    </row>
    <row r="955" spans="12:14" x14ac:dyDescent="0.25">
      <c r="L955" s="106"/>
      <c r="M955" s="106"/>
      <c r="N955" s="106"/>
    </row>
    <row r="956" spans="12:14" x14ac:dyDescent="0.25">
      <c r="L956" s="106"/>
      <c r="M956" s="106"/>
      <c r="N956" s="106"/>
    </row>
    <row r="957" spans="12:14" x14ac:dyDescent="0.25">
      <c r="L957" s="106"/>
      <c r="M957" s="106"/>
      <c r="N957" s="106"/>
    </row>
    <row r="958" spans="12:14" x14ac:dyDescent="0.25">
      <c r="L958" s="106"/>
      <c r="M958" s="106"/>
      <c r="N958" s="106"/>
    </row>
    <row r="959" spans="12:14" x14ac:dyDescent="0.25">
      <c r="L959" s="106"/>
      <c r="M959" s="106"/>
      <c r="N959" s="106"/>
    </row>
    <row r="960" spans="12:14" x14ac:dyDescent="0.25">
      <c r="L960" s="106"/>
      <c r="M960" s="106"/>
      <c r="N960" s="106"/>
    </row>
    <row r="961" spans="12:14" x14ac:dyDescent="0.25">
      <c r="L961" s="106"/>
      <c r="M961" s="106"/>
      <c r="N961" s="106"/>
    </row>
    <row r="962" spans="12:14" x14ac:dyDescent="0.25">
      <c r="L962" s="106"/>
      <c r="M962" s="106"/>
      <c r="N962" s="106"/>
    </row>
    <row r="963" spans="12:14" x14ac:dyDescent="0.25">
      <c r="L963" s="106"/>
      <c r="M963" s="106"/>
      <c r="N963" s="106"/>
    </row>
    <row r="964" spans="12:14" x14ac:dyDescent="0.25">
      <c r="L964" s="106"/>
      <c r="M964" s="106"/>
      <c r="N964" s="106"/>
    </row>
    <row r="965" spans="12:14" x14ac:dyDescent="0.25">
      <c r="L965" s="106"/>
      <c r="M965" s="106"/>
      <c r="N965" s="106"/>
    </row>
    <row r="966" spans="12:14" x14ac:dyDescent="0.25">
      <c r="L966" s="106"/>
      <c r="M966" s="106"/>
      <c r="N966" s="106"/>
    </row>
    <row r="967" spans="12:14" x14ac:dyDescent="0.25">
      <c r="L967" s="106"/>
      <c r="M967" s="106"/>
      <c r="N967" s="106"/>
    </row>
    <row r="968" spans="12:14" x14ac:dyDescent="0.25">
      <c r="L968" s="106"/>
      <c r="M968" s="106"/>
      <c r="N968" s="106"/>
    </row>
    <row r="969" spans="12:14" x14ac:dyDescent="0.25">
      <c r="L969" s="106"/>
      <c r="M969" s="106"/>
      <c r="N969" s="106"/>
    </row>
    <row r="970" spans="12:14" x14ac:dyDescent="0.25">
      <c r="L970" s="106"/>
      <c r="M970" s="106"/>
      <c r="N970" s="106"/>
    </row>
    <row r="971" spans="12:14" x14ac:dyDescent="0.25">
      <c r="L971" s="106"/>
      <c r="M971" s="106"/>
      <c r="N971" s="106"/>
    </row>
    <row r="972" spans="12:14" x14ac:dyDescent="0.25">
      <c r="L972" s="106"/>
      <c r="M972" s="106"/>
      <c r="N972" s="106"/>
    </row>
    <row r="973" spans="12:14" x14ac:dyDescent="0.25">
      <c r="L973" s="106"/>
      <c r="M973" s="106"/>
      <c r="N973" s="106"/>
    </row>
    <row r="974" spans="12:14" x14ac:dyDescent="0.25">
      <c r="L974" s="106"/>
      <c r="M974" s="106"/>
      <c r="N974" s="106"/>
    </row>
    <row r="975" spans="12:14" x14ac:dyDescent="0.25">
      <c r="L975" s="106"/>
      <c r="M975" s="106"/>
      <c r="N975" s="106"/>
    </row>
    <row r="976" spans="12:14" x14ac:dyDescent="0.25">
      <c r="L976" s="106"/>
      <c r="M976" s="106"/>
      <c r="N976" s="106"/>
    </row>
    <row r="977" spans="12:14" x14ac:dyDescent="0.25">
      <c r="L977" s="106"/>
      <c r="M977" s="106"/>
      <c r="N977" s="106"/>
    </row>
    <row r="978" spans="12:14" x14ac:dyDescent="0.25">
      <c r="L978" s="106"/>
      <c r="M978" s="106"/>
      <c r="N978" s="106"/>
    </row>
    <row r="979" spans="12:14" x14ac:dyDescent="0.25">
      <c r="L979" s="106"/>
      <c r="M979" s="106"/>
      <c r="N979" s="106"/>
    </row>
    <row r="980" spans="12:14" x14ac:dyDescent="0.25">
      <c r="L980" s="106"/>
      <c r="M980" s="106"/>
      <c r="N980" s="106"/>
    </row>
    <row r="981" spans="12:14" x14ac:dyDescent="0.25">
      <c r="L981" s="106"/>
      <c r="M981" s="106"/>
      <c r="N981" s="106"/>
    </row>
    <row r="982" spans="12:14" x14ac:dyDescent="0.25">
      <c r="L982" s="106"/>
      <c r="M982" s="106"/>
      <c r="N982" s="106"/>
    </row>
    <row r="983" spans="12:14" x14ac:dyDescent="0.25">
      <c r="L983" s="106"/>
      <c r="M983" s="106"/>
      <c r="N983" s="106"/>
    </row>
    <row r="984" spans="12:14" x14ac:dyDescent="0.25">
      <c r="L984" s="106"/>
      <c r="M984" s="106"/>
      <c r="N984" s="106"/>
    </row>
    <row r="985" spans="12:14" x14ac:dyDescent="0.25">
      <c r="L985" s="106"/>
      <c r="M985" s="106"/>
      <c r="N985" s="106"/>
    </row>
    <row r="986" spans="12:14" x14ac:dyDescent="0.25">
      <c r="L986" s="106"/>
      <c r="M986" s="106"/>
      <c r="N986" s="106"/>
    </row>
    <row r="987" spans="12:14" x14ac:dyDescent="0.25">
      <c r="L987" s="106"/>
      <c r="M987" s="106"/>
      <c r="N987" s="106"/>
    </row>
    <row r="988" spans="12:14" x14ac:dyDescent="0.25">
      <c r="L988" s="106"/>
      <c r="M988" s="106"/>
      <c r="N988" s="106"/>
    </row>
    <row r="989" spans="12:14" x14ac:dyDescent="0.25">
      <c r="L989" s="106"/>
      <c r="M989" s="106"/>
      <c r="N989" s="106"/>
    </row>
    <row r="990" spans="12:14" x14ac:dyDescent="0.25">
      <c r="L990" s="106"/>
      <c r="M990" s="106"/>
      <c r="N990" s="106"/>
    </row>
    <row r="991" spans="12:14" x14ac:dyDescent="0.25">
      <c r="L991" s="106"/>
      <c r="M991" s="106"/>
      <c r="N991" s="106"/>
    </row>
    <row r="992" spans="12:14" x14ac:dyDescent="0.25">
      <c r="L992" s="106"/>
      <c r="M992" s="106"/>
      <c r="N992" s="106"/>
    </row>
    <row r="993" spans="12:14" x14ac:dyDescent="0.25">
      <c r="L993" s="106"/>
      <c r="M993" s="106"/>
      <c r="N993" s="106"/>
    </row>
    <row r="994" spans="12:14" x14ac:dyDescent="0.25">
      <c r="L994" s="106"/>
      <c r="M994" s="106"/>
      <c r="N994" s="106"/>
    </row>
    <row r="995" spans="12:14" x14ac:dyDescent="0.25">
      <c r="L995" s="106"/>
      <c r="M995" s="106"/>
      <c r="N995" s="106"/>
    </row>
    <row r="996" spans="12:14" x14ac:dyDescent="0.25">
      <c r="L996" s="106"/>
      <c r="M996" s="106"/>
      <c r="N996" s="106"/>
    </row>
    <row r="997" spans="12:14" x14ac:dyDescent="0.25">
      <c r="L997" s="106"/>
      <c r="M997" s="106"/>
      <c r="N997" s="106"/>
    </row>
    <row r="998" spans="12:14" x14ac:dyDescent="0.25">
      <c r="L998" s="106"/>
      <c r="M998" s="106"/>
      <c r="N998" s="106"/>
    </row>
  </sheetData>
  <sortState xmlns:xlrd2="http://schemas.microsoft.com/office/spreadsheetml/2017/richdata2" ref="B9:AG47">
    <sortCondition ref="B9"/>
  </sortState>
  <hyperlinks>
    <hyperlink ref="D9" r:id="rId1" xr:uid="{00000000-0004-0000-0700-000000000000}"/>
    <hyperlink ref="D10" r:id="rId2" xr:uid="{00000000-0004-0000-0700-000001000000}"/>
    <hyperlink ref="D11" r:id="rId3" xr:uid="{00000000-0004-0000-0700-000002000000}"/>
    <hyperlink ref="D12" r:id="rId4" xr:uid="{00000000-0004-0000-0700-000003000000}"/>
    <hyperlink ref="D13" r:id="rId5" xr:uid="{00000000-0004-0000-0700-000004000000}"/>
    <hyperlink ref="D14" r:id="rId6" xr:uid="{00000000-0004-0000-0700-000005000000}"/>
    <hyperlink ref="D15" r:id="rId7" xr:uid="{00000000-0004-0000-0700-000006000000}"/>
    <hyperlink ref="D16" r:id="rId8" xr:uid="{00000000-0004-0000-0700-000007000000}"/>
    <hyperlink ref="D17" r:id="rId9" xr:uid="{00000000-0004-0000-0700-000008000000}"/>
    <hyperlink ref="D20" r:id="rId10" xr:uid="{00000000-0004-0000-0700-000009000000}"/>
    <hyperlink ref="D22" r:id="rId11" xr:uid="{00000000-0004-0000-0700-00000A000000}"/>
    <hyperlink ref="D23" r:id="rId12" xr:uid="{00000000-0004-0000-0700-00000B000000}"/>
    <hyperlink ref="D24" r:id="rId13" xr:uid="{00000000-0004-0000-0700-00000C000000}"/>
    <hyperlink ref="D25" r:id="rId14" xr:uid="{00000000-0004-0000-0700-00000D000000}"/>
    <hyperlink ref="D26" r:id="rId15" xr:uid="{00000000-0004-0000-0700-00000E000000}"/>
    <hyperlink ref="D27" r:id="rId16" xr:uid="{00000000-0004-0000-0700-00000F000000}"/>
    <hyperlink ref="D28" r:id="rId17" xr:uid="{00000000-0004-0000-0700-000010000000}"/>
    <hyperlink ref="D29" r:id="rId18" xr:uid="{00000000-0004-0000-0700-000011000000}"/>
    <hyperlink ref="D30" r:id="rId19" xr:uid="{00000000-0004-0000-0700-000012000000}"/>
    <hyperlink ref="D31" r:id="rId20" xr:uid="{00000000-0004-0000-0700-000013000000}"/>
    <hyperlink ref="D32" r:id="rId21" xr:uid="{00000000-0004-0000-0700-000014000000}"/>
    <hyperlink ref="D33" r:id="rId22" xr:uid="{00000000-0004-0000-0700-000015000000}"/>
    <hyperlink ref="D34" r:id="rId23" xr:uid="{00000000-0004-0000-0700-000016000000}"/>
    <hyperlink ref="D35" r:id="rId24" xr:uid="{00000000-0004-0000-0700-000017000000}"/>
    <hyperlink ref="D36" r:id="rId25" xr:uid="{00000000-0004-0000-0700-000018000000}"/>
    <hyperlink ref="D37" r:id="rId26" xr:uid="{00000000-0004-0000-0700-000019000000}"/>
    <hyperlink ref="D38" r:id="rId27" xr:uid="{00000000-0004-0000-0700-00001A000000}"/>
    <hyperlink ref="D39" r:id="rId28" xr:uid="{00000000-0004-0000-0700-00001B000000}"/>
    <hyperlink ref="D40" r:id="rId29" xr:uid="{00000000-0004-0000-0700-00001C000000}"/>
    <hyperlink ref="D42" r:id="rId30" xr:uid="{00000000-0004-0000-0700-00001D000000}"/>
    <hyperlink ref="D43" r:id="rId31" xr:uid="{00000000-0004-0000-0700-00001E000000}"/>
    <hyperlink ref="D44" r:id="rId32" xr:uid="{00000000-0004-0000-0700-00001F000000}"/>
    <hyperlink ref="D45" r:id="rId33" xr:uid="{00000000-0004-0000-0700-000020000000}"/>
    <hyperlink ref="D46" r:id="rId34" xr:uid="{00000000-0004-0000-0700-000021000000}"/>
    <hyperlink ref="D47" r:id="rId35" xr:uid="{00000000-0004-0000-0700-000022000000}"/>
    <hyperlink ref="D18" r:id="rId36" xr:uid="{00000000-0004-0000-0700-000023000000}"/>
  </hyperlinks>
  <pageMargins left="0" right="0" top="0.5" bottom="0.5" header="0.25" footer="0.25"/>
  <pageSetup scale="55" orientation="landscape" r:id="rId37"/>
  <headerFooter>
    <oddFooter>&amp;C&amp;A
Page 6 of 8&amp;R&amp;D</oddFooter>
  </headerFooter>
  <rowBreaks count="1" manualBreakCount="1">
    <brk id="60" max="34" man="1"/>
  </rowBreaks>
  <drawing r:id="rId3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6:F30"/>
  <sheetViews>
    <sheetView view="pageBreakPreview" zoomScaleNormal="100" zoomScaleSheetLayoutView="100" workbookViewId="0">
      <selection activeCell="B6" sqref="B6"/>
    </sheetView>
  </sheetViews>
  <sheetFormatPr defaultColWidth="9.21875" defaultRowHeight="15" x14ac:dyDescent="0.25"/>
  <cols>
    <col min="1" max="1" width="2.77734375" style="117" customWidth="1"/>
    <col min="2" max="2" width="33.77734375" style="117" customWidth="1"/>
    <col min="3" max="3" width="25.77734375" style="118" customWidth="1"/>
    <col min="4" max="4" width="13.77734375" style="119" customWidth="1"/>
    <col min="5" max="5" width="13.77734375" style="120" customWidth="1"/>
    <col min="6" max="6" width="20.77734375" style="117" customWidth="1"/>
    <col min="7" max="16384" width="9.21875" style="117"/>
  </cols>
  <sheetData>
    <row r="6" spans="2:6" ht="17.399999999999999" x14ac:dyDescent="0.25">
      <c r="B6" s="4" t="s">
        <v>145</v>
      </c>
    </row>
    <row r="7" spans="2:6" x14ac:dyDescent="0.25">
      <c r="B7" s="117" t="s">
        <v>340</v>
      </c>
    </row>
    <row r="10" spans="2:6" x14ac:dyDescent="0.25">
      <c r="B10" s="117" t="s">
        <v>266</v>
      </c>
      <c r="C10" s="118" t="s">
        <v>262</v>
      </c>
      <c r="D10" s="119" t="s">
        <v>267</v>
      </c>
      <c r="E10" s="123" t="s">
        <v>268</v>
      </c>
      <c r="F10" s="121" t="s">
        <v>269</v>
      </c>
    </row>
    <row r="11" spans="2:6" x14ac:dyDescent="0.25">
      <c r="E11" s="123"/>
      <c r="F11" s="121"/>
    </row>
    <row r="12" spans="2:6" x14ac:dyDescent="0.25">
      <c r="B12" s="117" t="s">
        <v>263</v>
      </c>
      <c r="C12" s="118">
        <v>502</v>
      </c>
      <c r="D12" s="119">
        <v>10</v>
      </c>
      <c r="E12" s="123">
        <v>5</v>
      </c>
      <c r="F12" s="122">
        <f>SUM(D12*E12)</f>
        <v>50</v>
      </c>
    </row>
    <row r="13" spans="2:6" x14ac:dyDescent="0.25">
      <c r="E13" s="123"/>
      <c r="F13" s="122"/>
    </row>
    <row r="14" spans="2:6" x14ac:dyDescent="0.25">
      <c r="B14" s="117" t="s">
        <v>264</v>
      </c>
      <c r="C14" s="118">
        <v>503</v>
      </c>
      <c r="D14" s="119">
        <v>2</v>
      </c>
      <c r="E14" s="123">
        <v>5</v>
      </c>
      <c r="F14" s="122">
        <f>SUM(D14*E14)</f>
        <v>10</v>
      </c>
    </row>
    <row r="15" spans="2:6" x14ac:dyDescent="0.25">
      <c r="E15" s="123"/>
      <c r="F15" s="122"/>
    </row>
    <row r="16" spans="2:6" x14ac:dyDescent="0.25">
      <c r="B16" s="117" t="s">
        <v>265</v>
      </c>
      <c r="C16" s="118">
        <v>132</v>
      </c>
      <c r="D16" s="119">
        <v>20</v>
      </c>
      <c r="E16" s="123">
        <v>5</v>
      </c>
      <c r="F16" s="122">
        <f>SUM(D16*E16)</f>
        <v>100</v>
      </c>
    </row>
    <row r="17" spans="2:6" x14ac:dyDescent="0.25">
      <c r="E17" s="123"/>
      <c r="F17" s="122"/>
    </row>
    <row r="18" spans="2:6" x14ac:dyDescent="0.25">
      <c r="B18" s="117" t="s">
        <v>276</v>
      </c>
      <c r="E18" s="123">
        <v>250</v>
      </c>
      <c r="F18" s="121"/>
    </row>
    <row r="19" spans="2:6" x14ac:dyDescent="0.25">
      <c r="B19" s="117" t="s">
        <v>275</v>
      </c>
      <c r="E19" s="123">
        <v>300</v>
      </c>
      <c r="F19" s="121"/>
    </row>
    <row r="20" spans="2:6" x14ac:dyDescent="0.25">
      <c r="F20" s="121"/>
    </row>
    <row r="21" spans="2:6" x14ac:dyDescent="0.25">
      <c r="E21" s="122" t="s">
        <v>270</v>
      </c>
      <c r="F21" s="122">
        <f>SUM(F12:F16)</f>
        <v>160</v>
      </c>
    </row>
    <row r="22" spans="2:6" x14ac:dyDescent="0.25">
      <c r="E22" s="122" t="s">
        <v>271</v>
      </c>
      <c r="F22" s="122">
        <f>SUM(F21*12)+E19</f>
        <v>2220</v>
      </c>
    </row>
    <row r="23" spans="2:6" x14ac:dyDescent="0.25">
      <c r="E23" s="122"/>
      <c r="F23" s="122"/>
    </row>
    <row r="24" spans="2:6" x14ac:dyDescent="0.25">
      <c r="B24" s="117" t="s">
        <v>274</v>
      </c>
      <c r="F24" s="242">
        <v>100</v>
      </c>
    </row>
    <row r="25" spans="2:6" x14ac:dyDescent="0.25">
      <c r="B25" s="117" t="s">
        <v>273</v>
      </c>
      <c r="F25" s="242"/>
    </row>
    <row r="26" spans="2:6" x14ac:dyDescent="0.25">
      <c r="F26" s="242">
        <v>250</v>
      </c>
    </row>
    <row r="30" spans="2:6" x14ac:dyDescent="0.25">
      <c r="B30" s="117" t="s">
        <v>272</v>
      </c>
    </row>
  </sheetData>
  <pageMargins left="0" right="0" top="0.5" bottom="0.75" header="0.5" footer="0.5"/>
  <pageSetup orientation="landscape" r:id="rId1"/>
  <headerFooter>
    <oddFooter>&amp;C&amp;A
Page X of Y&amp;R&amp;D</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E51"/>
  <sheetViews>
    <sheetView showGridLines="0" view="pageBreakPreview" topLeftCell="A22" zoomScaleNormal="100" zoomScaleSheetLayoutView="100" workbookViewId="0">
      <selection activeCell="B30" sqref="B30"/>
    </sheetView>
  </sheetViews>
  <sheetFormatPr defaultColWidth="9.21875" defaultRowHeight="13.8" x14ac:dyDescent="0.25"/>
  <cols>
    <col min="1" max="1" width="1.77734375" style="5" customWidth="1"/>
    <col min="2" max="2" width="74.77734375" style="5" customWidth="1"/>
    <col min="3" max="3" width="62.77734375" style="5" customWidth="1"/>
    <col min="4" max="4" width="40.77734375" style="5" customWidth="1"/>
    <col min="5" max="5" width="28.44140625" style="5" customWidth="1"/>
    <col min="6" max="16384" width="9.21875" style="5"/>
  </cols>
  <sheetData>
    <row r="1" spans="2:5" ht="14.25" customHeight="1" x14ac:dyDescent="0.25"/>
    <row r="2" spans="2:5" ht="14.25" customHeight="1" x14ac:dyDescent="0.25"/>
    <row r="3" spans="2:5" ht="14.25" customHeight="1" x14ac:dyDescent="0.25"/>
    <row r="4" spans="2:5" ht="14.25" customHeight="1" x14ac:dyDescent="0.25"/>
    <row r="5" spans="2:5" ht="14.25" customHeight="1" x14ac:dyDescent="0.25"/>
    <row r="6" spans="2:5" s="178" customFormat="1" ht="19.5" customHeight="1" x14ac:dyDescent="0.25">
      <c r="B6" s="4" t="s">
        <v>145</v>
      </c>
      <c r="C6" s="177"/>
      <c r="D6" s="177"/>
    </row>
    <row r="7" spans="2:5" s="178" customFormat="1" ht="20.25" customHeight="1" x14ac:dyDescent="0.25">
      <c r="B7" s="9" t="s">
        <v>446</v>
      </c>
      <c r="C7" s="179"/>
      <c r="D7" s="179"/>
    </row>
    <row r="8" spans="2:5" s="178" customFormat="1" x14ac:dyDescent="0.25">
      <c r="B8" s="180"/>
      <c r="C8" s="181" t="s">
        <v>461</v>
      </c>
      <c r="D8" s="181"/>
    </row>
    <row r="9" spans="2:5" ht="15" x14ac:dyDescent="0.25">
      <c r="B9" s="102" t="s">
        <v>0</v>
      </c>
      <c r="C9" s="293" t="s">
        <v>258</v>
      </c>
      <c r="D9" s="293"/>
    </row>
    <row r="10" spans="2:5" ht="15" x14ac:dyDescent="0.25">
      <c r="B10" s="102"/>
      <c r="C10" s="294" t="s">
        <v>64</v>
      </c>
      <c r="D10" s="294"/>
      <c r="E10" s="387"/>
    </row>
    <row r="11" spans="2:5" s="183" customFormat="1" ht="15" x14ac:dyDescent="0.25">
      <c r="B11" s="182" t="s">
        <v>39</v>
      </c>
      <c r="C11" s="295" t="s">
        <v>51</v>
      </c>
      <c r="D11" s="295"/>
    </row>
    <row r="12" spans="2:5" ht="15" x14ac:dyDescent="0.25">
      <c r="B12" s="103" t="s">
        <v>40</v>
      </c>
      <c r="C12" s="295" t="s">
        <v>445</v>
      </c>
      <c r="D12" s="295"/>
    </row>
    <row r="13" spans="2:5" ht="15" x14ac:dyDescent="0.25">
      <c r="B13" s="103" t="s">
        <v>41</v>
      </c>
      <c r="C13" s="296">
        <v>300000</v>
      </c>
      <c r="D13" s="296"/>
    </row>
    <row r="14" spans="2:5" ht="15" x14ac:dyDescent="0.25">
      <c r="B14" s="103" t="s">
        <v>467</v>
      </c>
      <c r="C14" s="296">
        <v>60000</v>
      </c>
      <c r="D14" s="296"/>
    </row>
    <row r="15" spans="2:5" ht="15" x14ac:dyDescent="0.25">
      <c r="B15" s="103" t="s">
        <v>462</v>
      </c>
      <c r="C15" s="296" t="s">
        <v>463</v>
      </c>
      <c r="D15" s="296"/>
    </row>
    <row r="16" spans="2:5" ht="15" x14ac:dyDescent="0.25">
      <c r="B16" s="103" t="s">
        <v>42</v>
      </c>
      <c r="C16" s="297">
        <v>1</v>
      </c>
      <c r="D16" s="297"/>
    </row>
    <row r="17" spans="2:5" ht="15" x14ac:dyDescent="0.25">
      <c r="B17" s="103" t="s">
        <v>43</v>
      </c>
      <c r="C17" s="295" t="s">
        <v>52</v>
      </c>
      <c r="D17" s="295"/>
    </row>
    <row r="18" spans="2:5" ht="15" x14ac:dyDescent="0.25">
      <c r="B18" s="103"/>
      <c r="C18" s="295"/>
      <c r="D18" s="295"/>
    </row>
    <row r="19" spans="2:5" ht="16.95" customHeight="1" x14ac:dyDescent="0.25">
      <c r="B19" s="103" t="s">
        <v>44</v>
      </c>
      <c r="C19" s="295" t="s">
        <v>45</v>
      </c>
      <c r="D19" s="295"/>
    </row>
    <row r="20" spans="2:5" ht="15" x14ac:dyDescent="0.25">
      <c r="B20" s="184" t="s">
        <v>63</v>
      </c>
      <c r="C20" s="295" t="s">
        <v>447</v>
      </c>
      <c r="D20" s="295"/>
    </row>
    <row r="21" spans="2:5" ht="15" x14ac:dyDescent="0.25">
      <c r="B21" s="104" t="s">
        <v>46</v>
      </c>
      <c r="C21" s="295"/>
      <c r="D21" s="295"/>
    </row>
    <row r="22" spans="2:5" ht="15" x14ac:dyDescent="0.25">
      <c r="B22" s="104"/>
      <c r="C22" s="295"/>
      <c r="D22" s="295"/>
    </row>
    <row r="23" spans="2:5" ht="15" x14ac:dyDescent="0.25">
      <c r="B23" s="104" t="s">
        <v>319</v>
      </c>
      <c r="C23" s="295" t="s">
        <v>47</v>
      </c>
      <c r="D23" s="295"/>
    </row>
    <row r="24" spans="2:5" ht="15" x14ac:dyDescent="0.25">
      <c r="B24" s="104"/>
      <c r="C24" s="295"/>
      <c r="D24" s="295"/>
    </row>
    <row r="25" spans="2:5" ht="15" x14ac:dyDescent="0.25">
      <c r="B25" s="104" t="s">
        <v>48</v>
      </c>
      <c r="C25" s="298" t="s">
        <v>466</v>
      </c>
      <c r="D25" s="298"/>
    </row>
    <row r="26" spans="2:5" ht="15" x14ac:dyDescent="0.25">
      <c r="B26" s="104" t="s">
        <v>49</v>
      </c>
      <c r="C26" s="297">
        <v>1</v>
      </c>
      <c r="D26" s="297"/>
    </row>
    <row r="27" spans="2:5" ht="15" x14ac:dyDescent="0.25">
      <c r="B27" s="104" t="s">
        <v>50</v>
      </c>
      <c r="C27" s="299" t="s">
        <v>388</v>
      </c>
      <c r="D27" s="299"/>
    </row>
    <row r="28" spans="2:5" ht="15" x14ac:dyDescent="0.25">
      <c r="B28" s="104"/>
      <c r="C28" s="299"/>
      <c r="D28" s="299"/>
    </row>
    <row r="29" spans="2:5" ht="16.2" customHeight="1" x14ac:dyDescent="0.25">
      <c r="B29" s="185" t="s">
        <v>460</v>
      </c>
      <c r="C29" s="292" t="s">
        <v>464</v>
      </c>
      <c r="D29" s="292" t="s">
        <v>457</v>
      </c>
    </row>
    <row r="30" spans="2:5" ht="15" x14ac:dyDescent="0.25">
      <c r="B30" s="185"/>
      <c r="C30" s="292"/>
      <c r="D30" s="292"/>
    </row>
    <row r="31" spans="2:5" ht="15.6" x14ac:dyDescent="0.25">
      <c r="B31" s="185" t="s">
        <v>451</v>
      </c>
      <c r="C31" s="189">
        <v>9.7000000000000003E-2</v>
      </c>
      <c r="D31" s="393">
        <v>0</v>
      </c>
      <c r="E31" s="395">
        <v>0.06</v>
      </c>
    </row>
    <row r="32" spans="2:5" ht="15.6" x14ac:dyDescent="0.25">
      <c r="B32" s="185" t="s">
        <v>452</v>
      </c>
      <c r="C32" s="189">
        <v>9.9000000000000005E-2</v>
      </c>
      <c r="D32" s="393">
        <v>50000</v>
      </c>
      <c r="E32" s="395">
        <v>0.08</v>
      </c>
    </row>
    <row r="33" spans="2:5" ht="15.6" x14ac:dyDescent="0.25">
      <c r="B33" s="185" t="s">
        <v>448</v>
      </c>
      <c r="C33" s="189">
        <v>0.13100000000000001</v>
      </c>
      <c r="D33" s="393">
        <v>50000</v>
      </c>
      <c r="E33" s="395">
        <v>0.09</v>
      </c>
    </row>
    <row r="34" spans="2:5" ht="15.6" x14ac:dyDescent="0.25">
      <c r="B34" s="185" t="s">
        <v>449</v>
      </c>
      <c r="C34" s="189">
        <v>0.183</v>
      </c>
      <c r="D34" s="393">
        <v>50000</v>
      </c>
      <c r="E34" s="395">
        <v>0.127</v>
      </c>
    </row>
    <row r="35" spans="2:5" ht="15.6" x14ac:dyDescent="0.25">
      <c r="B35" s="185" t="s">
        <v>450</v>
      </c>
      <c r="C35" s="189">
        <v>0.27700000000000002</v>
      </c>
      <c r="D35" s="393">
        <v>50000</v>
      </c>
      <c r="E35" s="395">
        <v>0.19900000000000001</v>
      </c>
    </row>
    <row r="36" spans="2:5" ht="15.6" x14ac:dyDescent="0.25">
      <c r="B36" s="185" t="s">
        <v>453</v>
      </c>
      <c r="C36" s="189">
        <v>0.42199999999999999</v>
      </c>
      <c r="D36" s="393">
        <v>50000</v>
      </c>
      <c r="E36" s="395">
        <v>0.30199999999999999</v>
      </c>
    </row>
    <row r="37" spans="2:5" ht="15.6" x14ac:dyDescent="0.25">
      <c r="B37" s="185" t="s">
        <v>454</v>
      </c>
      <c r="C37" s="189">
        <v>0.68200000000000005</v>
      </c>
      <c r="D37" s="393">
        <v>50000</v>
      </c>
      <c r="E37" s="395">
        <v>0.48699999999999999</v>
      </c>
    </row>
    <row r="38" spans="2:5" ht="15.6" x14ac:dyDescent="0.25">
      <c r="B38" s="185" t="s">
        <v>455</v>
      </c>
      <c r="C38" s="189">
        <v>0.90600000000000003</v>
      </c>
      <c r="D38" s="393">
        <v>50000</v>
      </c>
      <c r="E38" s="395">
        <v>0.81499999999999995</v>
      </c>
    </row>
    <row r="39" spans="2:5" ht="15.6" x14ac:dyDescent="0.25">
      <c r="B39" s="185" t="s">
        <v>456</v>
      </c>
      <c r="C39" s="189">
        <v>1.5389999999999999</v>
      </c>
      <c r="D39" s="393">
        <v>25000</v>
      </c>
      <c r="E39" s="395">
        <v>1.306</v>
      </c>
    </row>
    <row r="40" spans="2:5" ht="15.6" x14ac:dyDescent="0.25">
      <c r="B40" s="185" t="s">
        <v>458</v>
      </c>
      <c r="C40" s="189">
        <v>2.7360000000000002</v>
      </c>
      <c r="D40" s="393">
        <v>25000</v>
      </c>
      <c r="E40" s="395">
        <v>2.14</v>
      </c>
    </row>
    <row r="41" spans="2:5" ht="15.6" x14ac:dyDescent="0.25">
      <c r="B41" s="185" t="s">
        <v>459</v>
      </c>
      <c r="C41" s="189">
        <v>2.7360000000000002</v>
      </c>
      <c r="D41" s="393">
        <v>0</v>
      </c>
      <c r="E41" s="395">
        <v>2.14</v>
      </c>
    </row>
    <row r="42" spans="2:5" ht="15.6" x14ac:dyDescent="0.25">
      <c r="B42" s="185"/>
      <c r="C42" s="292"/>
      <c r="D42" s="394"/>
    </row>
    <row r="43" spans="2:5" ht="15" x14ac:dyDescent="0.25">
      <c r="B43" s="185" t="s">
        <v>465</v>
      </c>
      <c r="C43" s="190">
        <f>COUNT(D32:D40)</f>
        <v>9</v>
      </c>
      <c r="D43" s="190"/>
    </row>
    <row r="44" spans="2:5" ht="15.6" x14ac:dyDescent="0.25">
      <c r="B44" s="185" t="s">
        <v>320</v>
      </c>
      <c r="C44" s="390">
        <f>SUM(D31:D41)</f>
        <v>400000</v>
      </c>
      <c r="D44" s="188"/>
    </row>
    <row r="45" spans="2:5" ht="15.6" x14ac:dyDescent="0.25">
      <c r="B45" s="185" t="s">
        <v>67</v>
      </c>
      <c r="C45" s="390">
        <f>SUM(C44/C43)</f>
        <v>44444.444444444445</v>
      </c>
      <c r="D45" s="188"/>
    </row>
    <row r="46" spans="2:5" s="180" customFormat="1" ht="15.6" x14ac:dyDescent="0.25">
      <c r="B46" s="186" t="s">
        <v>2</v>
      </c>
      <c r="C46" s="391">
        <f>SUMPRODUCT(C31:C41,D31:D41)/1000</f>
        <v>241.875</v>
      </c>
      <c r="D46" s="188"/>
    </row>
    <row r="47" spans="2:5" ht="15.6" x14ac:dyDescent="0.25">
      <c r="B47" s="388" t="s">
        <v>3</v>
      </c>
      <c r="C47" s="392">
        <f>C46*12</f>
        <v>2902.5</v>
      </c>
      <c r="D47" s="389"/>
    </row>
    <row r="51" spans="3:4" x14ac:dyDescent="0.25">
      <c r="C51" s="187"/>
      <c r="D51" s="187"/>
    </row>
  </sheetData>
  <pageMargins left="0" right="0" top="0.75" bottom="0.75" header="0.5" footer="0.5"/>
  <pageSetup scale="73" orientation="landscape" r:id="rId1"/>
  <headerFooter>
    <oddFooter>&amp;C&amp;A
Page 13 of 13&amp;R&amp;D</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6:E57"/>
  <sheetViews>
    <sheetView view="pageBreakPreview" zoomScaleNormal="100" zoomScaleSheetLayoutView="100" workbookViewId="0">
      <selection activeCell="B6" sqref="B6"/>
    </sheetView>
  </sheetViews>
  <sheetFormatPr defaultColWidth="9.21875" defaultRowHeight="13.8" x14ac:dyDescent="0.25"/>
  <cols>
    <col min="1" max="1" width="1.77734375" style="5" customWidth="1"/>
    <col min="2" max="2" width="60.77734375" style="5" customWidth="1"/>
    <col min="3" max="3" width="4.77734375" style="5" customWidth="1"/>
    <col min="4" max="5" width="54.77734375" style="5" customWidth="1"/>
    <col min="6" max="6" width="2.77734375" style="5" customWidth="1"/>
    <col min="7" max="16384" width="9.21875" style="5"/>
  </cols>
  <sheetData>
    <row r="6" spans="2:5" ht="19.95" customHeight="1" x14ac:dyDescent="0.25">
      <c r="B6" s="4" t="s">
        <v>145</v>
      </c>
      <c r="C6" s="179"/>
    </row>
    <row r="7" spans="2:5" ht="17.399999999999999" x14ac:dyDescent="0.25">
      <c r="B7" s="52" t="s">
        <v>389</v>
      </c>
      <c r="C7" s="179"/>
      <c r="D7" s="1" t="s">
        <v>414</v>
      </c>
    </row>
    <row r="8" spans="2:5" x14ac:dyDescent="0.25">
      <c r="D8" s="859"/>
      <c r="E8" s="859"/>
    </row>
    <row r="9" spans="2:5" x14ac:dyDescent="0.25">
      <c r="B9" s="300" t="s">
        <v>390</v>
      </c>
      <c r="C9" s="301"/>
      <c r="D9" s="860" t="s">
        <v>391</v>
      </c>
      <c r="E9" s="861"/>
    </row>
    <row r="10" spans="2:5" x14ac:dyDescent="0.25">
      <c r="B10" s="302"/>
      <c r="C10" s="303"/>
      <c r="D10" s="862" t="s">
        <v>64</v>
      </c>
      <c r="E10" s="863"/>
    </row>
    <row r="11" spans="2:5" x14ac:dyDescent="0.25">
      <c r="B11" s="304"/>
      <c r="C11" s="305"/>
      <c r="D11" s="102" t="s">
        <v>6</v>
      </c>
      <c r="E11" s="306" t="s">
        <v>392</v>
      </c>
    </row>
    <row r="12" spans="2:5" x14ac:dyDescent="0.25">
      <c r="B12" s="307" t="s">
        <v>393</v>
      </c>
      <c r="C12" s="308"/>
      <c r="D12" s="101" t="s">
        <v>396</v>
      </c>
      <c r="E12" s="309">
        <v>50</v>
      </c>
    </row>
    <row r="13" spans="2:5" x14ac:dyDescent="0.25">
      <c r="B13" s="307"/>
      <c r="C13" s="310"/>
      <c r="D13" s="101"/>
      <c r="E13" s="309"/>
    </row>
    <row r="14" spans="2:5" x14ac:dyDescent="0.25">
      <c r="B14" s="307" t="s">
        <v>394</v>
      </c>
      <c r="C14" s="310"/>
      <c r="D14" s="101"/>
      <c r="E14" s="309"/>
    </row>
    <row r="15" spans="2:5" x14ac:dyDescent="0.25">
      <c r="B15" s="311" t="s">
        <v>395</v>
      </c>
      <c r="C15" s="310"/>
      <c r="D15" s="101" t="s">
        <v>396</v>
      </c>
      <c r="E15" s="309">
        <v>50</v>
      </c>
    </row>
    <row r="16" spans="2:5" x14ac:dyDescent="0.25">
      <c r="B16" s="311" t="s">
        <v>397</v>
      </c>
      <c r="C16" s="310"/>
      <c r="D16" s="101" t="s">
        <v>396</v>
      </c>
      <c r="E16" s="309">
        <v>75</v>
      </c>
    </row>
    <row r="17" spans="2:5" x14ac:dyDescent="0.25">
      <c r="B17" s="311" t="s">
        <v>398</v>
      </c>
      <c r="C17" s="310"/>
      <c r="D17" s="101" t="s">
        <v>396</v>
      </c>
      <c r="E17" s="309">
        <v>100</v>
      </c>
    </row>
    <row r="18" spans="2:5" x14ac:dyDescent="0.25">
      <c r="B18" s="311" t="s">
        <v>399</v>
      </c>
      <c r="C18" s="310"/>
      <c r="D18" s="101" t="s">
        <v>396</v>
      </c>
      <c r="E18" s="309">
        <v>125</v>
      </c>
    </row>
    <row r="19" spans="2:5" x14ac:dyDescent="0.25">
      <c r="B19" s="307"/>
      <c r="C19" s="310"/>
      <c r="E19" s="309"/>
    </row>
    <row r="20" spans="2:5" ht="16.2" customHeight="1" x14ac:dyDescent="0.25">
      <c r="B20" s="307" t="s">
        <v>400</v>
      </c>
      <c r="C20" s="310"/>
      <c r="D20" s="312" t="s">
        <v>441</v>
      </c>
      <c r="E20" s="309">
        <v>70</v>
      </c>
    </row>
    <row r="21" spans="2:5" x14ac:dyDescent="0.25">
      <c r="B21" s="307"/>
      <c r="C21" s="310"/>
      <c r="D21" s="101"/>
      <c r="E21" s="309"/>
    </row>
    <row r="22" spans="2:5" x14ac:dyDescent="0.25">
      <c r="B22" s="313" t="s">
        <v>401</v>
      </c>
      <c r="C22" s="310"/>
      <c r="D22" s="101"/>
      <c r="E22" s="309"/>
    </row>
    <row r="23" spans="2:5" ht="16.2" customHeight="1" x14ac:dyDescent="0.25">
      <c r="B23" s="311" t="s">
        <v>402</v>
      </c>
      <c r="C23" s="310"/>
      <c r="D23" s="312" t="s">
        <v>443</v>
      </c>
      <c r="E23" s="309" t="s">
        <v>442</v>
      </c>
    </row>
    <row r="24" spans="2:5" x14ac:dyDescent="0.25">
      <c r="B24" s="311" t="s">
        <v>403</v>
      </c>
      <c r="C24" s="310"/>
      <c r="D24" s="312" t="s">
        <v>396</v>
      </c>
      <c r="E24" s="309" t="s">
        <v>404</v>
      </c>
    </row>
    <row r="25" spans="2:5" ht="16.2" customHeight="1" x14ac:dyDescent="0.25">
      <c r="B25" s="307" t="s">
        <v>405</v>
      </c>
      <c r="C25" s="310"/>
      <c r="D25" s="314" t="s">
        <v>406</v>
      </c>
      <c r="E25" s="315"/>
    </row>
    <row r="26" spans="2:5" x14ac:dyDescent="0.25">
      <c r="B26" s="307"/>
      <c r="C26" s="310"/>
      <c r="E26" s="309"/>
    </row>
    <row r="27" spans="2:5" x14ac:dyDescent="0.25">
      <c r="B27" s="307" t="s">
        <v>407</v>
      </c>
      <c r="C27" s="310"/>
      <c r="D27" s="178"/>
      <c r="E27" s="309"/>
    </row>
    <row r="28" spans="2:5" x14ac:dyDescent="0.25">
      <c r="B28" s="311" t="s">
        <v>408</v>
      </c>
      <c r="C28" s="310"/>
      <c r="D28" s="864" t="s">
        <v>409</v>
      </c>
      <c r="E28" s="857"/>
    </row>
    <row r="29" spans="2:5" x14ac:dyDescent="0.25">
      <c r="B29" s="311" t="s">
        <v>410</v>
      </c>
      <c r="C29" s="310"/>
      <c r="D29" s="864" t="s">
        <v>409</v>
      </c>
      <c r="E29" s="857"/>
    </row>
    <row r="30" spans="2:5" x14ac:dyDescent="0.25">
      <c r="B30" s="311" t="s">
        <v>411</v>
      </c>
      <c r="C30" s="310"/>
      <c r="D30" s="864" t="s">
        <v>409</v>
      </c>
      <c r="E30" s="857"/>
    </row>
    <row r="31" spans="2:5" x14ac:dyDescent="0.25">
      <c r="B31" s="316"/>
      <c r="C31" s="310"/>
      <c r="D31" s="101"/>
      <c r="E31" s="317"/>
    </row>
    <row r="32" spans="2:5" ht="16.2" customHeight="1" x14ac:dyDescent="0.25">
      <c r="B32" s="307" t="s">
        <v>61</v>
      </c>
      <c r="C32" s="310"/>
      <c r="D32" s="856" t="s">
        <v>33</v>
      </c>
      <c r="E32" s="857"/>
    </row>
    <row r="33" spans="2:5" ht="16.2" customHeight="1" x14ac:dyDescent="0.25">
      <c r="B33" s="307" t="s">
        <v>29</v>
      </c>
      <c r="C33" s="310"/>
      <c r="D33" s="858" t="s">
        <v>415</v>
      </c>
      <c r="E33" s="857"/>
    </row>
    <row r="34" spans="2:5" ht="16.2" customHeight="1" x14ac:dyDescent="0.25">
      <c r="B34" s="307" t="s">
        <v>30</v>
      </c>
      <c r="C34" s="310"/>
      <c r="D34" s="856" t="s">
        <v>444</v>
      </c>
      <c r="E34" s="857"/>
    </row>
    <row r="35" spans="2:5" x14ac:dyDescent="0.25">
      <c r="B35" s="307"/>
      <c r="C35" s="310"/>
      <c r="D35" s="101"/>
      <c r="E35" s="317"/>
    </row>
    <row r="36" spans="2:5" x14ac:dyDescent="0.25">
      <c r="B36" s="307" t="s">
        <v>5</v>
      </c>
      <c r="C36" s="318"/>
      <c r="D36" s="178"/>
      <c r="E36" s="317"/>
    </row>
    <row r="37" spans="2:5" x14ac:dyDescent="0.25">
      <c r="B37" s="319" t="s">
        <v>68</v>
      </c>
      <c r="C37" s="320" t="e">
        <f>#REF!</f>
        <v>#REF!</v>
      </c>
      <c r="D37" s="321">
        <v>13.97</v>
      </c>
      <c r="E37" s="322"/>
    </row>
    <row r="38" spans="2:5" x14ac:dyDescent="0.25">
      <c r="B38" s="319" t="s">
        <v>412</v>
      </c>
      <c r="C38" s="320" t="e">
        <f>#REF!</f>
        <v>#REF!</v>
      </c>
      <c r="D38" s="321">
        <v>22.35</v>
      </c>
      <c r="E38" s="322"/>
    </row>
    <row r="39" spans="2:5" x14ac:dyDescent="0.25">
      <c r="B39" s="319" t="s">
        <v>413</v>
      </c>
      <c r="C39" s="320" t="e">
        <f>#REF!</f>
        <v>#REF!</v>
      </c>
      <c r="D39" s="321">
        <v>22.82</v>
      </c>
      <c r="E39" s="322"/>
    </row>
    <row r="40" spans="2:5" x14ac:dyDescent="0.25">
      <c r="B40" s="319" t="s">
        <v>69</v>
      </c>
      <c r="C40" s="320" t="e">
        <f>#REF!</f>
        <v>#REF!</v>
      </c>
      <c r="D40" s="321">
        <v>36.79</v>
      </c>
      <c r="E40" s="322"/>
    </row>
    <row r="41" spans="2:5" x14ac:dyDescent="0.25">
      <c r="B41" s="323" t="s">
        <v>12</v>
      </c>
      <c r="C41" s="324" t="e">
        <f>#REF!</f>
        <v>#REF!</v>
      </c>
      <c r="D41" s="325"/>
      <c r="E41" s="326"/>
    </row>
    <row r="42" spans="2:5" x14ac:dyDescent="0.25">
      <c r="B42" s="313"/>
      <c r="C42" s="327"/>
      <c r="D42" s="325"/>
      <c r="E42" s="326"/>
    </row>
    <row r="43" spans="2:5" x14ac:dyDescent="0.25">
      <c r="B43" s="313" t="s">
        <v>31</v>
      </c>
      <c r="C43" s="328"/>
      <c r="D43" s="329" t="e">
        <f>SUM(D37*C37)+(D38*C38)+(D39*C39)+(D40*C40)</f>
        <v>#REF!</v>
      </c>
      <c r="E43" s="330"/>
    </row>
    <row r="44" spans="2:5" x14ac:dyDescent="0.25">
      <c r="B44" s="313" t="s">
        <v>32</v>
      </c>
      <c r="C44" s="328"/>
      <c r="D44" s="329" t="e">
        <f>D43*12</f>
        <v>#REF!</v>
      </c>
      <c r="E44" s="330"/>
    </row>
    <row r="45" spans="2:5" x14ac:dyDescent="0.25">
      <c r="B45" s="313"/>
      <c r="C45" s="328"/>
      <c r="D45" s="329"/>
      <c r="E45" s="330"/>
    </row>
    <row r="46" spans="2:5" x14ac:dyDescent="0.25">
      <c r="B46" s="331" t="s">
        <v>9</v>
      </c>
      <c r="C46" s="332"/>
      <c r="D46" s="333" t="s">
        <v>1</v>
      </c>
      <c r="E46" s="334"/>
    </row>
    <row r="47" spans="2:5" x14ac:dyDescent="0.25">
      <c r="B47" s="335" t="s">
        <v>8</v>
      </c>
      <c r="C47" s="336"/>
      <c r="D47" s="337" t="s">
        <v>1</v>
      </c>
      <c r="E47" s="338"/>
    </row>
    <row r="48" spans="2:5" x14ac:dyDescent="0.25">
      <c r="B48" s="339" t="s">
        <v>11</v>
      </c>
      <c r="C48" s="340"/>
      <c r="D48" s="333" t="s">
        <v>1</v>
      </c>
      <c r="E48" s="334"/>
    </row>
    <row r="49" spans="2:5" x14ac:dyDescent="0.25">
      <c r="B49" s="335" t="s">
        <v>10</v>
      </c>
      <c r="C49" s="336"/>
      <c r="D49" s="341" t="s">
        <v>1</v>
      </c>
      <c r="E49" s="342"/>
    </row>
    <row r="50" spans="2:5" x14ac:dyDescent="0.25">
      <c r="B50" s="343" t="s">
        <v>53</v>
      </c>
      <c r="C50" s="344"/>
      <c r="D50" s="345" t="e">
        <f>SUM(D44/$C$41)</f>
        <v>#REF!</v>
      </c>
      <c r="E50" s="346"/>
    </row>
    <row r="52" spans="2:5" x14ac:dyDescent="0.25">
      <c r="B52" s="347">
        <v>10000</v>
      </c>
      <c r="D52" s="348">
        <v>0.05</v>
      </c>
      <c r="E52" s="349">
        <f>SUM(D52*B52)</f>
        <v>500</v>
      </c>
    </row>
    <row r="53" spans="2:5" x14ac:dyDescent="0.25">
      <c r="B53" s="347" t="e">
        <f>D44</f>
        <v>#REF!</v>
      </c>
      <c r="D53" s="348">
        <v>0.05</v>
      </c>
      <c r="E53" s="349" t="e">
        <f>SUM(D53*B53)</f>
        <v>#REF!</v>
      </c>
    </row>
    <row r="54" spans="2:5" x14ac:dyDescent="0.25">
      <c r="B54" s="347"/>
      <c r="D54" s="348"/>
      <c r="E54" s="349"/>
    </row>
    <row r="55" spans="2:5" x14ac:dyDescent="0.25">
      <c r="B55" s="347"/>
      <c r="D55" s="348"/>
      <c r="E55" s="349"/>
    </row>
    <row r="56" spans="2:5" x14ac:dyDescent="0.25">
      <c r="B56" s="350"/>
      <c r="D56" s="101"/>
      <c r="E56" s="349"/>
    </row>
    <row r="57" spans="2:5" x14ac:dyDescent="0.25">
      <c r="E57" s="178"/>
    </row>
  </sheetData>
  <mergeCells count="9">
    <mergeCell ref="D32:E32"/>
    <mergeCell ref="D33:E33"/>
    <mergeCell ref="D34:E34"/>
    <mergeCell ref="D8:E8"/>
    <mergeCell ref="D9:E9"/>
    <mergeCell ref="D10:E10"/>
    <mergeCell ref="D28:E28"/>
    <mergeCell ref="D29:E29"/>
    <mergeCell ref="D30:E30"/>
  </mergeCells>
  <pageMargins left="0" right="0" top="0.75" bottom="0.75" header="0.5" footer="0.5"/>
  <pageSetup scale="75" orientation="landscape" r:id="rId1"/>
  <headerFooter>
    <oddFooter>&amp;C&amp;A
Page 13 of 13&amp;R&amp;D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58"/>
  <sheetViews>
    <sheetView showGridLines="0" view="pageBreakPreview" zoomScaleNormal="100" zoomScaleSheetLayoutView="100" workbookViewId="0">
      <selection activeCell="B6" sqref="B6"/>
    </sheetView>
  </sheetViews>
  <sheetFormatPr defaultColWidth="9.21875" defaultRowHeight="13.2" outlineLevelRow="1" x14ac:dyDescent="0.25"/>
  <cols>
    <col min="1" max="1" width="1.77734375" style="51" customWidth="1"/>
    <col min="2" max="2" width="50.77734375" style="51" customWidth="1"/>
    <col min="3" max="4" width="8.77734375" style="51" customWidth="1"/>
    <col min="5" max="8" width="35.77734375" style="51" customWidth="1"/>
    <col min="9" max="9" width="1.77734375" style="51" customWidth="1"/>
    <col min="10" max="16384" width="9.21875" style="51"/>
  </cols>
  <sheetData>
    <row r="1" spans="1:9" x14ac:dyDescent="0.25">
      <c r="A1" s="1"/>
      <c r="B1" s="1"/>
      <c r="C1" s="1"/>
      <c r="D1" s="1"/>
      <c r="E1" s="1"/>
      <c r="F1" s="1"/>
      <c r="G1" s="1"/>
      <c r="H1" s="1"/>
      <c r="I1" s="1"/>
    </row>
    <row r="2" spans="1:9" x14ac:dyDescent="0.25">
      <c r="A2" s="1"/>
      <c r="B2" s="1"/>
      <c r="C2" s="1"/>
      <c r="D2" s="1"/>
      <c r="E2" s="1"/>
      <c r="F2" s="1"/>
      <c r="G2" s="1"/>
      <c r="H2" s="1"/>
      <c r="I2" s="1"/>
    </row>
    <row r="3" spans="1:9" x14ac:dyDescent="0.25">
      <c r="A3" s="1"/>
      <c r="B3" s="1"/>
      <c r="C3" s="1"/>
      <c r="D3" s="1"/>
      <c r="E3" s="1"/>
      <c r="F3" s="1"/>
      <c r="G3" s="1"/>
      <c r="H3" s="1"/>
      <c r="I3" s="1"/>
    </row>
    <row r="4" spans="1:9" x14ac:dyDescent="0.25">
      <c r="A4" s="1"/>
      <c r="B4" s="1"/>
      <c r="C4" s="1"/>
      <c r="D4" s="1"/>
      <c r="E4" s="1"/>
      <c r="F4" s="1"/>
      <c r="G4" s="1"/>
      <c r="H4" s="1"/>
      <c r="I4" s="1"/>
    </row>
    <row r="5" spans="1:9" x14ac:dyDescent="0.25">
      <c r="A5" s="1"/>
      <c r="B5" s="1"/>
      <c r="C5" s="1"/>
      <c r="D5" s="1"/>
      <c r="E5" s="1"/>
      <c r="F5" s="1"/>
      <c r="G5" s="1"/>
      <c r="H5" s="1"/>
      <c r="I5" s="1"/>
    </row>
    <row r="6" spans="1:9" ht="17.399999999999999" x14ac:dyDescent="0.25">
      <c r="A6" s="1"/>
      <c r="B6" s="4" t="s">
        <v>145</v>
      </c>
      <c r="C6" s="1"/>
      <c r="D6" s="1"/>
      <c r="E6" s="1"/>
      <c r="F6" s="1"/>
      <c r="G6" s="1"/>
      <c r="H6" s="1"/>
      <c r="I6" s="1"/>
    </row>
    <row r="7" spans="1:9" ht="21" x14ac:dyDescent="0.25">
      <c r="A7" s="1"/>
      <c r="B7" s="9" t="s">
        <v>309</v>
      </c>
      <c r="C7" s="10"/>
      <c r="D7" s="10"/>
      <c r="E7" s="10"/>
      <c r="F7" s="10"/>
      <c r="G7" s="1"/>
      <c r="H7" s="1"/>
      <c r="I7" s="1"/>
    </row>
    <row r="8" spans="1:9" ht="15" x14ac:dyDescent="0.25">
      <c r="A8" s="1"/>
      <c r="B8" s="1"/>
      <c r="C8" s="1"/>
      <c r="D8" s="1"/>
      <c r="E8" s="583" t="s">
        <v>312</v>
      </c>
      <c r="F8" s="583"/>
      <c r="G8" s="583" t="s">
        <v>321</v>
      </c>
      <c r="H8" s="583"/>
      <c r="I8" s="118"/>
    </row>
    <row r="9" spans="1:9" x14ac:dyDescent="0.25">
      <c r="A9" s="1"/>
      <c r="B9" s="11" t="s">
        <v>334</v>
      </c>
      <c r="C9" s="12"/>
      <c r="D9" s="13"/>
      <c r="E9" s="584" t="s">
        <v>325</v>
      </c>
      <c r="F9" s="584"/>
      <c r="G9" s="584" t="s">
        <v>329</v>
      </c>
      <c r="H9" s="584"/>
      <c r="I9" s="6"/>
    </row>
    <row r="10" spans="1:9" x14ac:dyDescent="0.25">
      <c r="A10" s="1"/>
      <c r="B10" s="7"/>
      <c r="C10" s="2"/>
      <c r="D10" s="14"/>
      <c r="E10" s="585" t="s">
        <v>64</v>
      </c>
      <c r="F10" s="586"/>
      <c r="G10" s="585" t="s">
        <v>64</v>
      </c>
      <c r="H10" s="586"/>
      <c r="I10" s="20"/>
    </row>
    <row r="11" spans="1:9" x14ac:dyDescent="0.25">
      <c r="A11" s="1"/>
      <c r="B11" s="15"/>
      <c r="C11" s="16"/>
      <c r="D11" s="17"/>
      <c r="E11" s="84" t="s">
        <v>6</v>
      </c>
      <c r="F11" s="93" t="s">
        <v>7</v>
      </c>
      <c r="G11" s="84" t="s">
        <v>6</v>
      </c>
      <c r="H11" s="93" t="s">
        <v>7</v>
      </c>
      <c r="I11" s="202"/>
    </row>
    <row r="12" spans="1:9" x14ac:dyDescent="0.25">
      <c r="A12" s="1"/>
      <c r="B12" s="8" t="s">
        <v>166</v>
      </c>
      <c r="C12" s="3"/>
      <c r="D12" s="18"/>
      <c r="E12" s="578" t="s">
        <v>54</v>
      </c>
      <c r="F12" s="579"/>
      <c r="G12" s="578" t="s">
        <v>54</v>
      </c>
      <c r="H12" s="579"/>
      <c r="I12" s="195"/>
    </row>
    <row r="13" spans="1:9" ht="26.4" x14ac:dyDescent="0.25">
      <c r="A13" s="1"/>
      <c r="B13" s="19" t="s">
        <v>167</v>
      </c>
      <c r="C13" s="20"/>
      <c r="D13" s="21"/>
      <c r="E13" s="22" t="s">
        <v>37</v>
      </c>
      <c r="F13" s="86" t="s">
        <v>158</v>
      </c>
      <c r="G13" s="22" t="s">
        <v>37</v>
      </c>
      <c r="H13" s="86" t="s">
        <v>158</v>
      </c>
      <c r="I13" s="23"/>
    </row>
    <row r="14" spans="1:9" x14ac:dyDescent="0.25">
      <c r="A14" s="1"/>
      <c r="B14" s="203" t="s">
        <v>332</v>
      </c>
      <c r="C14" s="3"/>
      <c r="D14" s="18"/>
      <c r="E14" s="85"/>
      <c r="F14" s="23"/>
      <c r="G14" s="85"/>
      <c r="H14" s="86"/>
      <c r="I14" s="23"/>
    </row>
    <row r="15" spans="1:9" x14ac:dyDescent="0.25">
      <c r="A15" s="1"/>
      <c r="B15" s="8" t="s">
        <v>27</v>
      </c>
      <c r="C15" s="3"/>
      <c r="D15" s="18"/>
      <c r="E15" s="24" t="s">
        <v>148</v>
      </c>
      <c r="F15" s="25">
        <v>2000</v>
      </c>
      <c r="G15" s="590">
        <v>2500</v>
      </c>
      <c r="H15" s="591"/>
      <c r="I15" s="196"/>
    </row>
    <row r="16" spans="1:9" x14ac:dyDescent="0.25">
      <c r="A16" s="1"/>
      <c r="B16" s="8" t="s">
        <v>28</v>
      </c>
      <c r="C16" s="3"/>
      <c r="D16" s="18"/>
      <c r="E16" s="24" t="s">
        <v>148</v>
      </c>
      <c r="F16" s="25">
        <v>6000</v>
      </c>
      <c r="G16" s="590">
        <v>5000</v>
      </c>
      <c r="H16" s="591"/>
      <c r="I16" s="196"/>
    </row>
    <row r="17" spans="1:9" x14ac:dyDescent="0.25">
      <c r="A17" s="1"/>
      <c r="B17" s="8" t="s">
        <v>19</v>
      </c>
      <c r="C17" s="3"/>
      <c r="D17" s="18"/>
      <c r="E17" s="92">
        <v>1</v>
      </c>
      <c r="F17" s="26">
        <v>0.7</v>
      </c>
      <c r="G17" s="92">
        <v>0.9</v>
      </c>
      <c r="H17" s="26">
        <v>0.7</v>
      </c>
      <c r="I17" s="197"/>
    </row>
    <row r="18" spans="1:9" x14ac:dyDescent="0.25">
      <c r="A18" s="1"/>
      <c r="B18" s="8" t="s">
        <v>20</v>
      </c>
      <c r="C18" s="3"/>
      <c r="D18" s="18"/>
      <c r="E18" s="89" t="s">
        <v>148</v>
      </c>
      <c r="F18" s="88">
        <v>6000</v>
      </c>
      <c r="G18" s="89">
        <v>5000</v>
      </c>
      <c r="H18" s="88">
        <v>10000</v>
      </c>
      <c r="I18" s="198"/>
    </row>
    <row r="19" spans="1:9" x14ac:dyDescent="0.25">
      <c r="A19" s="1"/>
      <c r="B19" s="8" t="s">
        <v>21</v>
      </c>
      <c r="C19" s="20"/>
      <c r="D19" s="21"/>
      <c r="E19" s="89" t="s">
        <v>148</v>
      </c>
      <c r="F19" s="88">
        <v>18000</v>
      </c>
      <c r="G19" s="89">
        <v>10000</v>
      </c>
      <c r="H19" s="88">
        <v>20000</v>
      </c>
      <c r="I19" s="198"/>
    </row>
    <row r="20" spans="1:9" x14ac:dyDescent="0.25">
      <c r="A20" s="1"/>
      <c r="B20" s="27" t="s">
        <v>155</v>
      </c>
      <c r="C20" s="3"/>
      <c r="D20" s="18"/>
      <c r="E20" s="83"/>
      <c r="F20" s="28"/>
      <c r="G20" s="83"/>
      <c r="H20" s="28"/>
      <c r="I20" s="199"/>
    </row>
    <row r="21" spans="1:9" x14ac:dyDescent="0.25">
      <c r="A21" s="1"/>
      <c r="B21" s="27"/>
      <c r="C21" s="3"/>
      <c r="D21" s="18"/>
      <c r="E21" s="83"/>
      <c r="F21" s="28"/>
      <c r="G21" s="83"/>
      <c r="H21" s="28"/>
      <c r="I21" s="199"/>
    </row>
    <row r="22" spans="1:9" ht="26.4" x14ac:dyDescent="0.25">
      <c r="A22" s="1"/>
      <c r="B22" s="8" t="s">
        <v>35</v>
      </c>
      <c r="C22" s="3"/>
      <c r="D22" s="18"/>
      <c r="E22" s="24" t="s">
        <v>55</v>
      </c>
      <c r="F22" s="25" t="s">
        <v>65</v>
      </c>
      <c r="G22" s="96" t="s">
        <v>333</v>
      </c>
      <c r="H22" s="25" t="s">
        <v>65</v>
      </c>
      <c r="I22" s="196"/>
    </row>
    <row r="23" spans="1:9" x14ac:dyDescent="0.25">
      <c r="A23" s="1"/>
      <c r="B23" s="8" t="s">
        <v>36</v>
      </c>
      <c r="C23" s="3"/>
      <c r="D23" s="18"/>
      <c r="E23" s="24" t="s">
        <v>143</v>
      </c>
      <c r="F23" s="25" t="s">
        <v>65</v>
      </c>
      <c r="G23" s="24" t="s">
        <v>65</v>
      </c>
      <c r="H23" s="25" t="s">
        <v>65</v>
      </c>
      <c r="I23" s="196"/>
    </row>
    <row r="24" spans="1:9" x14ac:dyDescent="0.25">
      <c r="A24" s="1"/>
      <c r="B24" s="27"/>
      <c r="C24" s="3"/>
      <c r="D24" s="18"/>
      <c r="E24" s="83"/>
      <c r="F24" s="28"/>
      <c r="G24" s="24"/>
      <c r="H24" s="28"/>
      <c r="I24" s="199"/>
    </row>
    <row r="25" spans="1:9" x14ac:dyDescent="0.25">
      <c r="A25" s="1"/>
      <c r="B25" s="8" t="s">
        <v>22</v>
      </c>
      <c r="C25" s="3"/>
      <c r="D25" s="18"/>
      <c r="E25" s="83" t="s">
        <v>58</v>
      </c>
      <c r="F25" s="25" t="s">
        <v>65</v>
      </c>
      <c r="G25" s="24" t="s">
        <v>65</v>
      </c>
      <c r="H25" s="25" t="s">
        <v>65</v>
      </c>
      <c r="I25" s="196"/>
    </row>
    <row r="26" spans="1:9" ht="26.4" x14ac:dyDescent="0.25">
      <c r="A26" s="1"/>
      <c r="B26" s="8" t="s">
        <v>16</v>
      </c>
      <c r="C26" s="3"/>
      <c r="D26" s="18"/>
      <c r="E26" s="83" t="s">
        <v>149</v>
      </c>
      <c r="F26" s="25" t="s">
        <v>65</v>
      </c>
      <c r="G26" s="24" t="s">
        <v>65</v>
      </c>
      <c r="H26" s="25" t="s">
        <v>65</v>
      </c>
      <c r="I26" s="196"/>
    </row>
    <row r="27" spans="1:9" x14ac:dyDescent="0.25">
      <c r="A27" s="1"/>
      <c r="B27" s="8" t="s">
        <v>13</v>
      </c>
      <c r="C27" s="3"/>
      <c r="D27" s="18"/>
      <c r="E27" s="83" t="s">
        <v>150</v>
      </c>
      <c r="F27" s="25" t="s">
        <v>65</v>
      </c>
      <c r="G27" s="24" t="s">
        <v>65</v>
      </c>
      <c r="H27" s="25" t="s">
        <v>65</v>
      </c>
      <c r="I27" s="196"/>
    </row>
    <row r="28" spans="1:9" x14ac:dyDescent="0.25">
      <c r="A28" s="1"/>
      <c r="B28" s="8" t="s">
        <v>23</v>
      </c>
      <c r="C28" s="3"/>
      <c r="D28" s="18"/>
      <c r="E28" s="83" t="s">
        <v>151</v>
      </c>
      <c r="F28" s="25" t="s">
        <v>65</v>
      </c>
      <c r="G28" s="24" t="s">
        <v>65</v>
      </c>
      <c r="H28" s="25" t="s">
        <v>65</v>
      </c>
      <c r="I28" s="196"/>
    </row>
    <row r="29" spans="1:9" x14ac:dyDescent="0.25">
      <c r="A29" s="1"/>
      <c r="B29" s="8" t="s">
        <v>14</v>
      </c>
      <c r="C29" s="3"/>
      <c r="D29" s="18"/>
      <c r="E29" s="24" t="s">
        <v>56</v>
      </c>
      <c r="F29" s="25" t="s">
        <v>56</v>
      </c>
      <c r="G29" s="24" t="s">
        <v>65</v>
      </c>
      <c r="H29" s="25" t="s">
        <v>65</v>
      </c>
      <c r="I29" s="196"/>
    </row>
    <row r="30" spans="1:9" x14ac:dyDescent="0.25">
      <c r="A30" s="1"/>
      <c r="B30" s="8" t="s">
        <v>24</v>
      </c>
      <c r="C30" s="3"/>
      <c r="D30" s="18"/>
      <c r="E30" s="24" t="s">
        <v>57</v>
      </c>
      <c r="F30" s="25" t="s">
        <v>152</v>
      </c>
      <c r="G30" s="24" t="s">
        <v>65</v>
      </c>
      <c r="H30" s="25" t="s">
        <v>152</v>
      </c>
      <c r="I30" s="196"/>
    </row>
    <row r="31" spans="1:9" x14ac:dyDescent="0.25">
      <c r="A31" s="1"/>
      <c r="B31" s="8"/>
      <c r="C31" s="3"/>
      <c r="D31" s="18"/>
      <c r="E31" s="24"/>
      <c r="F31" s="25"/>
      <c r="G31" s="24"/>
      <c r="H31" s="25"/>
      <c r="I31" s="196"/>
    </row>
    <row r="32" spans="1:9" ht="26.4" x14ac:dyDescent="0.25">
      <c r="A32" s="1"/>
      <c r="B32" s="8" t="s">
        <v>59</v>
      </c>
      <c r="C32" s="3"/>
      <c r="D32" s="18"/>
      <c r="E32" s="83" t="s">
        <v>149</v>
      </c>
      <c r="F32" s="25" t="s">
        <v>65</v>
      </c>
      <c r="G32" s="24" t="s">
        <v>65</v>
      </c>
      <c r="H32" s="25" t="s">
        <v>65</v>
      </c>
      <c r="I32" s="196"/>
    </row>
    <row r="33" spans="1:9" x14ac:dyDescent="0.25">
      <c r="A33" s="1"/>
      <c r="B33" s="8" t="s">
        <v>60</v>
      </c>
      <c r="C33" s="3"/>
      <c r="D33" s="18"/>
      <c r="E33" s="89" t="s">
        <v>143</v>
      </c>
      <c r="F33" s="25" t="s">
        <v>65</v>
      </c>
      <c r="G33" s="24" t="s">
        <v>65</v>
      </c>
      <c r="H33" s="25" t="s">
        <v>65</v>
      </c>
      <c r="I33" s="196"/>
    </row>
    <row r="34" spans="1:9" x14ac:dyDescent="0.25">
      <c r="A34" s="1"/>
      <c r="B34" s="8"/>
      <c r="C34" s="3"/>
      <c r="D34" s="18"/>
      <c r="E34" s="22"/>
      <c r="F34" s="87"/>
      <c r="G34" s="22"/>
      <c r="H34" s="87"/>
      <c r="I34" s="91"/>
    </row>
    <row r="35" spans="1:9" ht="26.4" x14ac:dyDescent="0.25">
      <c r="A35" s="1"/>
      <c r="B35" s="63" t="s">
        <v>4</v>
      </c>
      <c r="C35" s="64"/>
      <c r="D35" s="65"/>
      <c r="E35" s="66"/>
      <c r="F35" s="67" t="s">
        <v>153</v>
      </c>
      <c r="G35" s="66"/>
      <c r="H35" s="67" t="s">
        <v>153</v>
      </c>
      <c r="I35" s="23"/>
    </row>
    <row r="36" spans="1:9" x14ac:dyDescent="0.25">
      <c r="A36" s="1"/>
      <c r="B36" s="27" t="s">
        <v>144</v>
      </c>
      <c r="C36" s="3"/>
      <c r="D36" s="18"/>
      <c r="E36" s="89">
        <v>0</v>
      </c>
      <c r="F36" s="25"/>
      <c r="G36" s="89" t="s">
        <v>331</v>
      </c>
      <c r="H36" s="25"/>
      <c r="I36" s="196"/>
    </row>
    <row r="37" spans="1:9" x14ac:dyDescent="0.25">
      <c r="A37" s="1"/>
      <c r="B37" s="27" t="s">
        <v>169</v>
      </c>
      <c r="C37" s="3"/>
      <c r="D37" s="18"/>
      <c r="E37" s="22" t="s">
        <v>141</v>
      </c>
      <c r="F37" s="1"/>
      <c r="G37" s="22" t="s">
        <v>141</v>
      </c>
      <c r="H37" s="29"/>
      <c r="I37" s="1"/>
    </row>
    <row r="38" spans="1:9" x14ac:dyDescent="0.25">
      <c r="A38" s="1"/>
      <c r="B38" s="27" t="s">
        <v>170</v>
      </c>
      <c r="C38" s="3"/>
      <c r="D38" s="18"/>
      <c r="E38" s="22" t="s">
        <v>142</v>
      </c>
      <c r="F38" s="86"/>
      <c r="G38" s="22" t="s">
        <v>157</v>
      </c>
      <c r="H38" s="86"/>
      <c r="I38" s="23"/>
    </row>
    <row r="39" spans="1:9" ht="26.4" x14ac:dyDescent="0.25">
      <c r="A39" s="1"/>
      <c r="B39" s="68" t="s">
        <v>26</v>
      </c>
      <c r="C39" s="69"/>
      <c r="D39" s="70"/>
      <c r="E39" s="71" t="s">
        <v>154</v>
      </c>
      <c r="F39" s="72"/>
      <c r="G39" s="73" t="s">
        <v>168</v>
      </c>
      <c r="H39" s="72"/>
      <c r="I39" s="23"/>
    </row>
    <row r="40" spans="1:9" x14ac:dyDescent="0.25">
      <c r="A40" s="1"/>
      <c r="B40" s="8"/>
      <c r="C40" s="1"/>
      <c r="D40" s="29"/>
      <c r="E40" s="22"/>
      <c r="F40" s="86"/>
      <c r="G40" s="22"/>
      <c r="H40" s="86"/>
      <c r="I40" s="23"/>
    </row>
    <row r="41" spans="1:9" x14ac:dyDescent="0.25">
      <c r="A41" s="1"/>
      <c r="B41" s="8" t="s">
        <v>25</v>
      </c>
      <c r="C41" s="1"/>
      <c r="D41" s="29"/>
      <c r="E41" s="163" t="s">
        <v>34</v>
      </c>
      <c r="F41" s="204"/>
      <c r="G41" s="163" t="s">
        <v>34</v>
      </c>
      <c r="H41" s="87"/>
      <c r="I41" s="91"/>
    </row>
    <row r="42" spans="1:9" x14ac:dyDescent="0.25">
      <c r="A42" s="1"/>
      <c r="B42" s="8" t="s">
        <v>17</v>
      </c>
      <c r="C42" s="1"/>
      <c r="D42" s="29"/>
      <c r="E42" s="163">
        <v>26</v>
      </c>
      <c r="F42" s="87"/>
      <c r="G42" s="163">
        <v>26</v>
      </c>
      <c r="H42" s="87"/>
      <c r="I42" s="91"/>
    </row>
    <row r="43" spans="1:9" x14ac:dyDescent="0.25">
      <c r="A43" s="1"/>
      <c r="B43" s="8" t="s">
        <v>61</v>
      </c>
      <c r="C43" s="1"/>
      <c r="D43" s="29"/>
      <c r="E43" s="163" t="s">
        <v>33</v>
      </c>
      <c r="F43" s="87"/>
      <c r="G43" s="163" t="s">
        <v>33</v>
      </c>
      <c r="H43" s="87"/>
      <c r="I43" s="91"/>
    </row>
    <row r="44" spans="1:9" x14ac:dyDescent="0.25">
      <c r="A44" s="1"/>
      <c r="B44" s="8"/>
      <c r="C44" s="1"/>
      <c r="D44" s="29"/>
      <c r="E44" s="163"/>
      <c r="F44" s="87"/>
      <c r="G44" s="163"/>
      <c r="H44" s="87"/>
      <c r="I44" s="91"/>
    </row>
    <row r="45" spans="1:9" x14ac:dyDescent="0.25">
      <c r="A45" s="1"/>
      <c r="B45" s="8" t="s">
        <v>318</v>
      </c>
      <c r="C45" s="91" t="s">
        <v>70</v>
      </c>
      <c r="D45" s="30" t="s">
        <v>71</v>
      </c>
      <c r="E45" s="163" t="s">
        <v>139</v>
      </c>
      <c r="F45" s="87"/>
      <c r="G45" s="163" t="s">
        <v>139</v>
      </c>
      <c r="H45" s="87"/>
      <c r="I45" s="91"/>
    </row>
    <row r="46" spans="1:9" x14ac:dyDescent="0.25">
      <c r="A46" s="1"/>
      <c r="B46" s="27" t="s">
        <v>68</v>
      </c>
      <c r="C46" s="156">
        <f>'Census Data, Plan Comparison'!O53</f>
        <v>21</v>
      </c>
      <c r="D46" s="31">
        <f>C46</f>
        <v>21</v>
      </c>
      <c r="E46" s="62">
        <f>'Census Data, Plan Comparison'!Q53</f>
        <v>441.52600000000012</v>
      </c>
      <c r="F46" s="98"/>
      <c r="G46" s="62">
        <f>'Census Data, Plan Comparison'!Y53</f>
        <v>389.56526315789472</v>
      </c>
      <c r="H46" s="98"/>
      <c r="I46" s="194"/>
    </row>
    <row r="47" spans="1:9" x14ac:dyDescent="0.25">
      <c r="A47" s="1"/>
      <c r="B47" s="27" t="s">
        <v>15</v>
      </c>
      <c r="C47" s="157">
        <f>'Census Data, Plan Comparison'!O54</f>
        <v>2</v>
      </c>
      <c r="D47" s="32">
        <f>C47*2</f>
        <v>4</v>
      </c>
      <c r="E47" s="62">
        <f>'Census Data, Plan Comparison'!Q54</f>
        <v>1857.125</v>
      </c>
      <c r="F47" s="98"/>
      <c r="G47" s="62">
        <f>'Census Data, Plan Comparison'!Y54</f>
        <v>1025.76</v>
      </c>
      <c r="H47" s="98"/>
      <c r="I47" s="194"/>
    </row>
    <row r="48" spans="1:9" ht="12.75" customHeight="1" x14ac:dyDescent="0.25">
      <c r="A48" s="1"/>
      <c r="B48" s="27" t="s">
        <v>164</v>
      </c>
      <c r="C48" s="157">
        <f>'Census Data, Plan Comparison'!O55</f>
        <v>10</v>
      </c>
      <c r="D48" s="33">
        <f>SUM(C48*2.2)</f>
        <v>22</v>
      </c>
      <c r="E48" s="62">
        <f>'Census Data, Plan Comparison'!Q55</f>
        <v>1873.3533333333335</v>
      </c>
      <c r="F48" s="98"/>
      <c r="G48" s="62">
        <f>'Census Data, Plan Comparison'!Y55</f>
        <v>1675.4159999999999</v>
      </c>
      <c r="H48" s="98"/>
      <c r="I48" s="194"/>
    </row>
    <row r="49" spans="1:9" x14ac:dyDescent="0.25">
      <c r="A49" s="1"/>
      <c r="B49" s="171" t="s">
        <v>12</v>
      </c>
      <c r="C49" s="35">
        <f>SUM(C46:C48)</f>
        <v>33</v>
      </c>
      <c r="D49" s="36">
        <f>SUM(D46:D48)</f>
        <v>47</v>
      </c>
      <c r="E49" s="172"/>
      <c r="F49" s="173"/>
      <c r="G49" s="172"/>
      <c r="H49" s="173"/>
      <c r="I49" s="200"/>
    </row>
    <row r="50" spans="1:9" ht="12.75" customHeight="1" x14ac:dyDescent="0.25">
      <c r="A50" s="1"/>
      <c r="B50" s="8" t="s">
        <v>2</v>
      </c>
      <c r="C50" s="580" t="s">
        <v>66</v>
      </c>
      <c r="D50" s="580" t="s">
        <v>165</v>
      </c>
      <c r="E50" s="55">
        <f>'Census Data, Plan Comparison'!Q50</f>
        <v>29807.249999999989</v>
      </c>
      <c r="F50" s="39"/>
      <c r="G50" s="55">
        <f>'Census Data, Plan Comparison'!Y50</f>
        <v>26207.419999999995</v>
      </c>
      <c r="H50" s="39"/>
      <c r="I50" s="48"/>
    </row>
    <row r="51" spans="1:9" x14ac:dyDescent="0.25">
      <c r="A51" s="1"/>
      <c r="B51" s="8" t="s">
        <v>3</v>
      </c>
      <c r="C51" s="581"/>
      <c r="D51" s="581"/>
      <c r="E51" s="55">
        <f>'Census Data, Plan Comparison'!Q51</f>
        <v>357686.99999999988</v>
      </c>
      <c r="F51" s="39"/>
      <c r="G51" s="55">
        <f>'Census Data, Plan Comparison'!Y51</f>
        <v>314489.03999999992</v>
      </c>
      <c r="H51" s="39"/>
      <c r="I51" s="48"/>
    </row>
    <row r="52" spans="1:9" x14ac:dyDescent="0.25">
      <c r="A52" s="1"/>
      <c r="B52" s="8"/>
      <c r="C52" s="581"/>
      <c r="D52" s="581"/>
      <c r="E52" s="55"/>
      <c r="F52" s="39"/>
      <c r="G52" s="55"/>
      <c r="H52" s="39"/>
      <c r="I52" s="48"/>
    </row>
    <row r="53" spans="1:9" ht="12.75" customHeight="1" x14ac:dyDescent="0.25">
      <c r="A53" s="1"/>
      <c r="B53" s="8" t="s">
        <v>8</v>
      </c>
      <c r="C53" s="581"/>
      <c r="D53" s="581"/>
      <c r="E53" s="56" t="s">
        <v>1</v>
      </c>
      <c r="F53" s="53"/>
      <c r="G53" s="56">
        <f>SUM(G51-$E51)</f>
        <v>-43197.959999999963</v>
      </c>
      <c r="H53" s="53"/>
      <c r="I53" s="48"/>
    </row>
    <row r="54" spans="1:9" x14ac:dyDescent="0.25">
      <c r="A54" s="1"/>
      <c r="B54" s="40" t="s">
        <v>9</v>
      </c>
      <c r="C54" s="582"/>
      <c r="D54" s="582"/>
      <c r="E54" s="57" t="s">
        <v>1</v>
      </c>
      <c r="F54" s="54"/>
      <c r="G54" s="61">
        <f>SUM(G53/$E51)</f>
        <v>-0.12077028239773874</v>
      </c>
      <c r="H54" s="60"/>
      <c r="I54" s="201"/>
    </row>
    <row r="55" spans="1:9" hidden="1" outlineLevel="1" x14ac:dyDescent="0.25">
      <c r="A55" s="1"/>
      <c r="B55" s="8" t="s">
        <v>10</v>
      </c>
      <c r="C55" s="41"/>
      <c r="D55" s="42"/>
      <c r="E55" s="58" t="s">
        <v>1</v>
      </c>
      <c r="F55" s="90"/>
      <c r="G55" s="58">
        <f>SUM($G$51-$E$51)</f>
        <v>-43197.959999999963</v>
      </c>
      <c r="H55" s="90"/>
      <c r="I55" s="48"/>
    </row>
    <row r="56" spans="1:9" hidden="1" outlineLevel="1" x14ac:dyDescent="0.25">
      <c r="A56" s="1"/>
      <c r="B56" s="40" t="s">
        <v>11</v>
      </c>
      <c r="C56" s="43"/>
      <c r="D56" s="44"/>
      <c r="E56" s="57" t="s">
        <v>1</v>
      </c>
      <c r="F56" s="54"/>
      <c r="G56" s="61">
        <f>SUM(G55/$E$51)</f>
        <v>-0.12077028239773874</v>
      </c>
      <c r="H56" s="60"/>
      <c r="I56" s="201"/>
    </row>
    <row r="57" spans="1:9" collapsed="1" x14ac:dyDescent="0.25">
      <c r="A57" s="1"/>
      <c r="B57" s="45" t="s">
        <v>53</v>
      </c>
      <c r="C57" s="46"/>
      <c r="D57" s="47"/>
      <c r="E57" s="59">
        <f>SUM(E51/$C$49)</f>
        <v>10838.999999999996</v>
      </c>
      <c r="F57" s="94"/>
      <c r="G57" s="59">
        <f>SUM(G51/$C$49)</f>
        <v>9529.9709090909073</v>
      </c>
      <c r="H57" s="94"/>
      <c r="I57" s="48"/>
    </row>
    <row r="58" spans="1:9" x14ac:dyDescent="0.25">
      <c r="B58" s="238" t="s">
        <v>335</v>
      </c>
      <c r="C58" s="239"/>
      <c r="D58" s="239"/>
      <c r="E58" s="238"/>
      <c r="F58" s="239"/>
      <c r="G58" s="241">
        <f>SUM(C46*1000)+(C47*2000)+(C48*2000)</f>
        <v>45000</v>
      </c>
      <c r="H58" s="240"/>
    </row>
  </sheetData>
  <mergeCells count="12">
    <mergeCell ref="C50:C54"/>
    <mergeCell ref="D50:D54"/>
    <mergeCell ref="G16:H16"/>
    <mergeCell ref="E8:F8"/>
    <mergeCell ref="E9:F9"/>
    <mergeCell ref="G8:H8"/>
    <mergeCell ref="G9:H9"/>
    <mergeCell ref="E10:F10"/>
    <mergeCell ref="E12:F12"/>
    <mergeCell ref="G10:H10"/>
    <mergeCell ref="G12:H12"/>
    <mergeCell ref="G15:H15"/>
  </mergeCells>
  <pageMargins left="0" right="0" top="0.5" bottom="0.5" header="0.25" footer="0.25"/>
  <pageSetup scale="64" orientation="landscape" r:id="rId1"/>
  <headerFooter alignWithMargins="0">
    <oddFooter>&amp;C&amp;9&amp;A
Page 4 of 10&amp;R&amp;9&amp;D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6:H62"/>
  <sheetViews>
    <sheetView showGridLines="0" view="pageBreakPreview" zoomScaleNormal="100" zoomScaleSheetLayoutView="100" workbookViewId="0">
      <selection activeCell="B6" sqref="B6"/>
    </sheetView>
  </sheetViews>
  <sheetFormatPr defaultColWidth="9.21875" defaultRowHeight="13.2" outlineLevelRow="1" x14ac:dyDescent="0.25"/>
  <cols>
    <col min="1" max="1" width="1.77734375" style="1" customWidth="1"/>
    <col min="2" max="2" width="50.77734375" style="1" customWidth="1"/>
    <col min="3" max="4" width="8.77734375" style="1" customWidth="1"/>
    <col min="5" max="8" width="33.77734375" style="1" customWidth="1"/>
    <col min="9" max="9" width="1.77734375" style="1" customWidth="1"/>
    <col min="10" max="16384" width="9.21875" style="1"/>
  </cols>
  <sheetData>
    <row r="6" spans="2:8" ht="17.399999999999999" x14ac:dyDescent="0.25">
      <c r="B6" s="4" t="s">
        <v>145</v>
      </c>
    </row>
    <row r="7" spans="2:8" ht="21" x14ac:dyDescent="0.25">
      <c r="B7" s="9" t="s">
        <v>309</v>
      </c>
      <c r="C7" s="10"/>
      <c r="D7" s="10"/>
      <c r="E7" s="10"/>
      <c r="F7" s="10"/>
    </row>
    <row r="8" spans="2:8" ht="15" x14ac:dyDescent="0.25">
      <c r="E8" s="583" t="s">
        <v>312</v>
      </c>
      <c r="F8" s="583"/>
      <c r="G8" s="583" t="s">
        <v>321</v>
      </c>
      <c r="H8" s="583"/>
    </row>
    <row r="9" spans="2:8" x14ac:dyDescent="0.25">
      <c r="B9" s="11" t="s">
        <v>0</v>
      </c>
      <c r="C9" s="12"/>
      <c r="D9" s="13"/>
      <c r="E9" s="584" t="s">
        <v>326</v>
      </c>
      <c r="F9" s="584"/>
      <c r="G9" s="584" t="s">
        <v>173</v>
      </c>
      <c r="H9" s="584"/>
    </row>
    <row r="10" spans="2:8" x14ac:dyDescent="0.25">
      <c r="B10" s="7"/>
      <c r="C10" s="2"/>
      <c r="D10" s="14"/>
      <c r="E10" s="585" t="s">
        <v>64</v>
      </c>
      <c r="F10" s="586"/>
      <c r="G10" s="585" t="s">
        <v>64</v>
      </c>
      <c r="H10" s="586"/>
    </row>
    <row r="11" spans="2:8" x14ac:dyDescent="0.25">
      <c r="B11" s="15"/>
      <c r="C11" s="16"/>
      <c r="D11" s="17"/>
      <c r="E11" s="84" t="s">
        <v>6</v>
      </c>
      <c r="F11" s="93" t="s">
        <v>7</v>
      </c>
      <c r="G11" s="84" t="s">
        <v>6</v>
      </c>
      <c r="H11" s="93" t="s">
        <v>7</v>
      </c>
    </row>
    <row r="12" spans="2:8" x14ac:dyDescent="0.25">
      <c r="B12" s="8" t="s">
        <v>166</v>
      </c>
      <c r="C12" s="3"/>
      <c r="D12" s="18"/>
      <c r="E12" s="578" t="s">
        <v>54</v>
      </c>
      <c r="F12" s="579"/>
      <c r="G12" s="578" t="s">
        <v>54</v>
      </c>
      <c r="H12" s="579"/>
    </row>
    <row r="13" spans="2:8" ht="26.4" x14ac:dyDescent="0.25">
      <c r="B13" s="19" t="s">
        <v>167</v>
      </c>
      <c r="C13" s="20"/>
      <c r="D13" s="21"/>
      <c r="E13" s="22" t="s">
        <v>37</v>
      </c>
      <c r="F13" s="86" t="s">
        <v>158</v>
      </c>
      <c r="G13" s="22" t="s">
        <v>37</v>
      </c>
      <c r="H13" s="76" t="s">
        <v>174</v>
      </c>
    </row>
    <row r="14" spans="2:8" x14ac:dyDescent="0.25">
      <c r="B14" s="8" t="s">
        <v>18</v>
      </c>
      <c r="C14" s="3"/>
      <c r="D14" s="18"/>
      <c r="E14" s="85"/>
      <c r="F14" s="23"/>
      <c r="G14" s="85"/>
      <c r="H14" s="86"/>
    </row>
    <row r="15" spans="2:8" ht="12.75" customHeight="1" x14ac:dyDescent="0.25">
      <c r="B15" s="8" t="s">
        <v>27</v>
      </c>
      <c r="C15" s="3"/>
      <c r="D15" s="18"/>
      <c r="E15" s="24" t="s">
        <v>148</v>
      </c>
      <c r="F15" s="25">
        <v>2000</v>
      </c>
      <c r="G15" s="74">
        <v>2500</v>
      </c>
      <c r="H15" s="75">
        <v>5000</v>
      </c>
    </row>
    <row r="16" spans="2:8" ht="16.5" customHeight="1" x14ac:dyDescent="0.25">
      <c r="B16" s="8" t="s">
        <v>28</v>
      </c>
      <c r="C16" s="3"/>
      <c r="D16" s="18"/>
      <c r="E16" s="24" t="s">
        <v>148</v>
      </c>
      <c r="F16" s="25">
        <v>6000</v>
      </c>
      <c r="G16" s="74">
        <v>5000</v>
      </c>
      <c r="H16" s="75">
        <v>10000</v>
      </c>
    </row>
    <row r="17" spans="2:8" x14ac:dyDescent="0.25">
      <c r="B17" s="8" t="s">
        <v>19</v>
      </c>
      <c r="C17" s="3"/>
      <c r="D17" s="18"/>
      <c r="E17" s="92">
        <v>1</v>
      </c>
      <c r="F17" s="26">
        <v>0.7</v>
      </c>
      <c r="G17" s="92">
        <v>1</v>
      </c>
      <c r="H17" s="26">
        <v>0.7</v>
      </c>
    </row>
    <row r="18" spans="2:8" x14ac:dyDescent="0.25">
      <c r="B18" s="8" t="s">
        <v>20</v>
      </c>
      <c r="C18" s="3"/>
      <c r="D18" s="18"/>
      <c r="E18" s="89" t="s">
        <v>148</v>
      </c>
      <c r="F18" s="88">
        <v>6000</v>
      </c>
      <c r="G18" s="79">
        <v>2500</v>
      </c>
      <c r="H18" s="77">
        <v>5000</v>
      </c>
    </row>
    <row r="19" spans="2:8" x14ac:dyDescent="0.25">
      <c r="B19" s="8" t="s">
        <v>21</v>
      </c>
      <c r="C19" s="20"/>
      <c r="D19" s="21"/>
      <c r="E19" s="89" t="s">
        <v>148</v>
      </c>
      <c r="F19" s="88">
        <v>18000</v>
      </c>
      <c r="G19" s="79">
        <v>5000</v>
      </c>
      <c r="H19" s="77">
        <v>10000</v>
      </c>
    </row>
    <row r="20" spans="2:8" x14ac:dyDescent="0.25">
      <c r="B20" s="27" t="s">
        <v>155</v>
      </c>
      <c r="C20" s="3"/>
      <c r="D20" s="18"/>
      <c r="E20" s="83"/>
      <c r="F20" s="28"/>
      <c r="G20" s="83"/>
      <c r="H20" s="28"/>
    </row>
    <row r="21" spans="2:8" x14ac:dyDescent="0.25">
      <c r="B21" s="27"/>
      <c r="C21" s="3"/>
      <c r="D21" s="18"/>
      <c r="E21" s="83"/>
      <c r="F21" s="28"/>
      <c r="G21" s="83"/>
      <c r="H21" s="28"/>
    </row>
    <row r="22" spans="2:8" ht="17.25" customHeight="1" x14ac:dyDescent="0.25">
      <c r="B22" s="8" t="s">
        <v>35</v>
      </c>
      <c r="C22" s="3"/>
      <c r="D22" s="18"/>
      <c r="E22" s="24" t="s">
        <v>55</v>
      </c>
      <c r="F22" s="25" t="s">
        <v>65</v>
      </c>
      <c r="G22" s="24" t="s">
        <v>323</v>
      </c>
      <c r="H22" s="25" t="s">
        <v>65</v>
      </c>
    </row>
    <row r="23" spans="2:8" ht="17.25" customHeight="1" x14ac:dyDescent="0.25">
      <c r="B23" s="8" t="s">
        <v>36</v>
      </c>
      <c r="C23" s="3"/>
      <c r="D23" s="18"/>
      <c r="E23" s="24" t="s">
        <v>143</v>
      </c>
      <c r="F23" s="25" t="s">
        <v>65</v>
      </c>
      <c r="G23" s="24" t="s">
        <v>324</v>
      </c>
      <c r="H23" s="25" t="s">
        <v>65</v>
      </c>
    </row>
    <row r="24" spans="2:8" x14ac:dyDescent="0.25">
      <c r="B24" s="27"/>
      <c r="C24" s="3"/>
      <c r="D24" s="18"/>
      <c r="E24" s="83"/>
      <c r="F24" s="28"/>
      <c r="G24" s="83"/>
      <c r="H24" s="28"/>
    </row>
    <row r="25" spans="2:8" ht="14.25" customHeight="1" x14ac:dyDescent="0.25">
      <c r="B25" s="8" t="s">
        <v>22</v>
      </c>
      <c r="C25" s="3"/>
      <c r="D25" s="18"/>
      <c r="E25" s="83" t="s">
        <v>58</v>
      </c>
      <c r="F25" s="25" t="s">
        <v>65</v>
      </c>
      <c r="G25" s="74" t="s">
        <v>180</v>
      </c>
      <c r="H25" s="25" t="s">
        <v>65</v>
      </c>
    </row>
    <row r="26" spans="2:8" ht="26.4" x14ac:dyDescent="0.25">
      <c r="B26" s="8" t="s">
        <v>16</v>
      </c>
      <c r="C26" s="3"/>
      <c r="D26" s="18"/>
      <c r="E26" s="83" t="s">
        <v>149</v>
      </c>
      <c r="F26" s="25" t="s">
        <v>65</v>
      </c>
      <c r="G26" s="74" t="s">
        <v>180</v>
      </c>
      <c r="H26" s="25" t="s">
        <v>65</v>
      </c>
    </row>
    <row r="27" spans="2:8" x14ac:dyDescent="0.25">
      <c r="B27" s="8" t="s">
        <v>13</v>
      </c>
      <c r="C27" s="3"/>
      <c r="D27" s="18"/>
      <c r="E27" s="83" t="s">
        <v>150</v>
      </c>
      <c r="F27" s="25" t="s">
        <v>65</v>
      </c>
      <c r="G27" s="78" t="s">
        <v>180</v>
      </c>
      <c r="H27" s="25" t="s">
        <v>65</v>
      </c>
    </row>
    <row r="28" spans="2:8" x14ac:dyDescent="0.25">
      <c r="B28" s="8" t="s">
        <v>23</v>
      </c>
      <c r="C28" s="3"/>
      <c r="D28" s="18"/>
      <c r="E28" s="83" t="s">
        <v>151</v>
      </c>
      <c r="F28" s="25" t="s">
        <v>65</v>
      </c>
      <c r="G28" s="74" t="s">
        <v>180</v>
      </c>
      <c r="H28" s="25" t="s">
        <v>65</v>
      </c>
    </row>
    <row r="29" spans="2:8" x14ac:dyDescent="0.25">
      <c r="B29" s="8" t="s">
        <v>14</v>
      </c>
      <c r="C29" s="3"/>
      <c r="D29" s="18"/>
      <c r="E29" s="24" t="s">
        <v>56</v>
      </c>
      <c r="F29" s="25" t="s">
        <v>56</v>
      </c>
      <c r="G29" s="74" t="s">
        <v>180</v>
      </c>
      <c r="H29" s="25" t="s">
        <v>65</v>
      </c>
    </row>
    <row r="30" spans="2:8" x14ac:dyDescent="0.25">
      <c r="B30" s="8" t="s">
        <v>24</v>
      </c>
      <c r="C30" s="3"/>
      <c r="D30" s="18"/>
      <c r="E30" s="24" t="s">
        <v>57</v>
      </c>
      <c r="F30" s="25" t="s">
        <v>152</v>
      </c>
      <c r="G30" s="74" t="s">
        <v>180</v>
      </c>
      <c r="H30" s="25" t="s">
        <v>152</v>
      </c>
    </row>
    <row r="31" spans="2:8" x14ac:dyDescent="0.25">
      <c r="B31" s="8"/>
      <c r="C31" s="3"/>
      <c r="D31" s="18"/>
      <c r="E31" s="24"/>
      <c r="F31" s="25"/>
      <c r="G31" s="24"/>
      <c r="H31" s="25"/>
    </row>
    <row r="32" spans="2:8" ht="26.4" x14ac:dyDescent="0.25">
      <c r="B32" s="8" t="s">
        <v>59</v>
      </c>
      <c r="C32" s="3"/>
      <c r="D32" s="18"/>
      <c r="E32" s="83" t="s">
        <v>149</v>
      </c>
      <c r="F32" s="25" t="s">
        <v>65</v>
      </c>
      <c r="G32" s="74" t="s">
        <v>180</v>
      </c>
      <c r="H32" s="25" t="s">
        <v>65</v>
      </c>
    </row>
    <row r="33" spans="2:8" x14ac:dyDescent="0.25">
      <c r="B33" s="8" t="s">
        <v>60</v>
      </c>
      <c r="C33" s="3"/>
      <c r="D33" s="18"/>
      <c r="E33" s="89" t="s">
        <v>143</v>
      </c>
      <c r="F33" s="25" t="s">
        <v>65</v>
      </c>
      <c r="G33" s="74" t="s">
        <v>180</v>
      </c>
      <c r="H33" s="25" t="s">
        <v>65</v>
      </c>
    </row>
    <row r="34" spans="2:8" x14ac:dyDescent="0.25">
      <c r="B34" s="8"/>
      <c r="C34" s="3"/>
      <c r="D34" s="18"/>
      <c r="E34" s="22"/>
      <c r="F34" s="87"/>
      <c r="G34" s="22"/>
      <c r="H34" s="87"/>
    </row>
    <row r="35" spans="2:8" ht="26.4" x14ac:dyDescent="0.25">
      <c r="B35" s="63" t="s">
        <v>4</v>
      </c>
      <c r="C35" s="64"/>
      <c r="D35" s="65"/>
      <c r="E35" s="66"/>
      <c r="F35" s="67" t="s">
        <v>153</v>
      </c>
      <c r="G35" s="66"/>
      <c r="H35" s="67" t="s">
        <v>181</v>
      </c>
    </row>
    <row r="36" spans="2:8" x14ac:dyDescent="0.25">
      <c r="B36" s="27" t="s">
        <v>144</v>
      </c>
      <c r="C36" s="3"/>
      <c r="D36" s="18"/>
      <c r="E36" s="89">
        <v>0</v>
      </c>
      <c r="F36" s="25"/>
      <c r="G36" s="74" t="s">
        <v>180</v>
      </c>
      <c r="H36" s="25" t="s">
        <v>65</v>
      </c>
    </row>
    <row r="37" spans="2:8" x14ac:dyDescent="0.25">
      <c r="B37" s="27" t="s">
        <v>169</v>
      </c>
      <c r="C37" s="3"/>
      <c r="D37" s="18"/>
      <c r="E37" s="22" t="s">
        <v>141</v>
      </c>
      <c r="G37" s="80" t="s">
        <v>171</v>
      </c>
      <c r="H37" s="29"/>
    </row>
    <row r="38" spans="2:8" x14ac:dyDescent="0.25">
      <c r="B38" s="27" t="s">
        <v>170</v>
      </c>
      <c r="C38" s="3"/>
      <c r="D38" s="18"/>
      <c r="E38" s="22" t="s">
        <v>142</v>
      </c>
      <c r="F38" s="86"/>
      <c r="G38" s="80" t="s">
        <v>172</v>
      </c>
      <c r="H38" s="86"/>
    </row>
    <row r="39" spans="2:8" ht="26.4" x14ac:dyDescent="0.25">
      <c r="B39" s="68" t="s">
        <v>26</v>
      </c>
      <c r="C39" s="69"/>
      <c r="D39" s="70"/>
      <c r="E39" s="71" t="s">
        <v>154</v>
      </c>
      <c r="F39" s="72"/>
      <c r="G39" s="81" t="s">
        <v>34</v>
      </c>
      <c r="H39" s="72"/>
    </row>
    <row r="40" spans="2:8" x14ac:dyDescent="0.25">
      <c r="B40" s="8"/>
      <c r="D40" s="29"/>
      <c r="E40" s="22"/>
      <c r="F40" s="86"/>
      <c r="G40" s="22"/>
      <c r="H40" s="86"/>
    </row>
    <row r="41" spans="2:8" x14ac:dyDescent="0.25">
      <c r="B41" s="8" t="s">
        <v>25</v>
      </c>
      <c r="D41" s="29"/>
      <c r="E41" s="22" t="s">
        <v>34</v>
      </c>
      <c r="F41" s="87"/>
      <c r="G41" s="22" t="s">
        <v>34</v>
      </c>
      <c r="H41" s="87"/>
    </row>
    <row r="42" spans="2:8" x14ac:dyDescent="0.25">
      <c r="B42" s="8" t="s">
        <v>17</v>
      </c>
      <c r="D42" s="29"/>
      <c r="E42" s="163">
        <v>26</v>
      </c>
      <c r="F42" s="87"/>
      <c r="G42" s="592">
        <v>26</v>
      </c>
      <c r="H42" s="593"/>
    </row>
    <row r="43" spans="2:8" x14ac:dyDescent="0.25">
      <c r="B43" s="8" t="s">
        <v>61</v>
      </c>
      <c r="D43" s="29"/>
      <c r="E43" s="163" t="s">
        <v>33</v>
      </c>
      <c r="F43" s="87"/>
      <c r="G43" s="594" t="s">
        <v>33</v>
      </c>
      <c r="H43" s="595"/>
    </row>
    <row r="44" spans="2:8" x14ac:dyDescent="0.25">
      <c r="B44" s="8"/>
      <c r="D44" s="29"/>
      <c r="E44" s="163"/>
      <c r="F44" s="87"/>
      <c r="G44" s="85"/>
      <c r="H44" s="86"/>
    </row>
    <row r="45" spans="2:8" x14ac:dyDescent="0.25">
      <c r="B45" s="8" t="s">
        <v>5</v>
      </c>
      <c r="C45" s="91" t="s">
        <v>70</v>
      </c>
      <c r="D45" s="30" t="s">
        <v>71</v>
      </c>
      <c r="E45" s="163" t="s">
        <v>139</v>
      </c>
      <c r="F45" s="87"/>
      <c r="G45" s="592" t="s">
        <v>139</v>
      </c>
      <c r="H45" s="593"/>
    </row>
    <row r="46" spans="2:8" x14ac:dyDescent="0.25">
      <c r="B46" s="27" t="s">
        <v>68</v>
      </c>
      <c r="C46" s="31">
        <v>23</v>
      </c>
      <c r="D46" s="31">
        <f>C46</f>
        <v>23</v>
      </c>
      <c r="E46" s="62">
        <f>'Census Data, Plan Comparison'!Q53</f>
        <v>441.52600000000012</v>
      </c>
      <c r="F46" s="98"/>
      <c r="G46" s="99">
        <f>'Census Data, Plan Comparison'!Z53</f>
        <v>373.20842105263159</v>
      </c>
      <c r="H46" s="97"/>
    </row>
    <row r="47" spans="2:8" x14ac:dyDescent="0.25">
      <c r="B47" s="27" t="s">
        <v>15</v>
      </c>
      <c r="C47" s="32">
        <v>3</v>
      </c>
      <c r="D47" s="32">
        <f>C47*2</f>
        <v>6</v>
      </c>
      <c r="E47" s="62">
        <f>'Census Data, Plan Comparison'!Q54</f>
        <v>1857.125</v>
      </c>
      <c r="F47" s="98"/>
      <c r="G47" s="100">
        <f>'Census Data, Plan Comparison'!Z54</f>
        <v>2201.2049999999999</v>
      </c>
      <c r="H47" s="98"/>
    </row>
    <row r="48" spans="2:8" ht="15.6" x14ac:dyDescent="0.25">
      <c r="B48" s="27" t="s">
        <v>164</v>
      </c>
      <c r="C48" s="32">
        <v>7</v>
      </c>
      <c r="D48" s="33">
        <f>SUM(C48*2.2)</f>
        <v>15.400000000000002</v>
      </c>
      <c r="E48" s="62">
        <f>'Census Data, Plan Comparison'!Q55</f>
        <v>1873.3533333333335</v>
      </c>
      <c r="F48" s="98"/>
      <c r="G48" s="100">
        <f>'Census Data, Plan Comparison'!Z55</f>
        <v>1672.1179999999999</v>
      </c>
      <c r="H48" s="98"/>
    </row>
    <row r="49" spans="2:8" x14ac:dyDescent="0.25">
      <c r="B49" s="171" t="s">
        <v>12</v>
      </c>
      <c r="C49" s="35">
        <f>SUM(C46:C48)</f>
        <v>33</v>
      </c>
      <c r="D49" s="36">
        <f>SUM(D46:D48)</f>
        <v>44.400000000000006</v>
      </c>
      <c r="E49" s="172"/>
      <c r="F49" s="173"/>
      <c r="G49" s="172"/>
      <c r="H49" s="173"/>
    </row>
    <row r="50" spans="2:8" x14ac:dyDescent="0.25">
      <c r="B50" s="8" t="s">
        <v>2</v>
      </c>
      <c r="C50" s="580" t="s">
        <v>66</v>
      </c>
      <c r="D50" s="580" t="s">
        <v>165</v>
      </c>
      <c r="E50" s="55">
        <f>'Census Data, Plan Comparison'!Q50</f>
        <v>29807.249999999989</v>
      </c>
      <c r="F50" s="39"/>
      <c r="G50" s="55">
        <f>'Census Data, Plan Comparison'!$Z$50</f>
        <v>28214.550000000003</v>
      </c>
      <c r="H50" s="39"/>
    </row>
    <row r="51" spans="2:8" x14ac:dyDescent="0.25">
      <c r="B51" s="8" t="s">
        <v>3</v>
      </c>
      <c r="C51" s="581"/>
      <c r="D51" s="581"/>
      <c r="E51" s="55">
        <f>'Census Data, Plan Comparison'!Q51</f>
        <v>357686.99999999988</v>
      </c>
      <c r="F51" s="39"/>
      <c r="G51" s="55">
        <f>'Census Data, Plan Comparison'!$Z$51</f>
        <v>338574.60000000003</v>
      </c>
      <c r="H51" s="39"/>
    </row>
    <row r="52" spans="2:8" x14ac:dyDescent="0.25">
      <c r="B52" s="8"/>
      <c r="C52" s="581"/>
      <c r="D52" s="581"/>
      <c r="E52" s="55"/>
      <c r="F52" s="39"/>
      <c r="G52" s="55"/>
      <c r="H52" s="39"/>
    </row>
    <row r="53" spans="2:8" x14ac:dyDescent="0.25">
      <c r="B53" s="8" t="s">
        <v>8</v>
      </c>
      <c r="C53" s="581"/>
      <c r="D53" s="581"/>
      <c r="E53" s="56" t="s">
        <v>1</v>
      </c>
      <c r="F53" s="53"/>
      <c r="G53" s="56">
        <f>SUM(G51-$E51)</f>
        <v>-19112.399999999849</v>
      </c>
      <c r="H53" s="53"/>
    </row>
    <row r="54" spans="2:8" x14ac:dyDescent="0.25">
      <c r="B54" s="40" t="s">
        <v>9</v>
      </c>
      <c r="C54" s="582"/>
      <c r="D54" s="582"/>
      <c r="E54" s="57" t="s">
        <v>1</v>
      </c>
      <c r="F54" s="54"/>
      <c r="G54" s="61">
        <f>SUM(G53/$E51)</f>
        <v>-5.343330901039136E-2</v>
      </c>
      <c r="H54" s="60"/>
    </row>
    <row r="55" spans="2:8" hidden="1" outlineLevel="1" x14ac:dyDescent="0.25">
      <c r="B55" s="8" t="s">
        <v>10</v>
      </c>
      <c r="C55" s="41"/>
      <c r="D55" s="42"/>
      <c r="E55" s="58" t="s">
        <v>1</v>
      </c>
      <c r="F55" s="90"/>
      <c r="G55" s="58">
        <f>SUM($G$51-$E$51)</f>
        <v>-19112.399999999849</v>
      </c>
      <c r="H55" s="90"/>
    </row>
    <row r="56" spans="2:8" hidden="1" outlineLevel="1" x14ac:dyDescent="0.25">
      <c r="B56" s="40" t="s">
        <v>11</v>
      </c>
      <c r="C56" s="43"/>
      <c r="D56" s="44"/>
      <c r="E56" s="57" t="s">
        <v>1</v>
      </c>
      <c r="F56" s="54"/>
      <c r="G56" s="61">
        <f>SUM(G55/$E$51)</f>
        <v>-5.343330901039136E-2</v>
      </c>
      <c r="H56" s="60"/>
    </row>
    <row r="57" spans="2:8" collapsed="1" x14ac:dyDescent="0.25">
      <c r="B57" s="45" t="s">
        <v>53</v>
      </c>
      <c r="C57" s="46"/>
      <c r="D57" s="47"/>
      <c r="E57" s="59">
        <f>SUM(E51/$C$49)</f>
        <v>10838.999999999996</v>
      </c>
      <c r="F57" s="94"/>
      <c r="G57" s="59">
        <f>SUM(G51/$C$49)</f>
        <v>10259.836363636365</v>
      </c>
      <c r="H57" s="94"/>
    </row>
    <row r="58" spans="2:8" x14ac:dyDescent="0.25">
      <c r="B58" s="3"/>
      <c r="E58" s="48"/>
      <c r="F58" s="48"/>
      <c r="G58" s="48"/>
      <c r="H58" s="48"/>
    </row>
    <row r="59" spans="2:8" x14ac:dyDescent="0.25">
      <c r="B59" s="3"/>
      <c r="E59" s="48"/>
      <c r="F59" s="48"/>
      <c r="G59" s="48"/>
      <c r="H59" s="48"/>
    </row>
    <row r="60" spans="2:8" x14ac:dyDescent="0.25">
      <c r="B60" s="3"/>
      <c r="E60" s="48"/>
      <c r="F60" s="48"/>
      <c r="G60" s="48"/>
      <c r="H60" s="48"/>
    </row>
    <row r="61" spans="2:8" x14ac:dyDescent="0.25">
      <c r="B61" s="1" t="s">
        <v>140</v>
      </c>
      <c r="C61" s="82">
        <v>3.5000000000000003E-2</v>
      </c>
      <c r="D61" s="49">
        <f>SUM(G50*C61)</f>
        <v>987.50925000000018</v>
      </c>
      <c r="F61" s="50"/>
      <c r="H61" s="50"/>
    </row>
    <row r="62" spans="2:8" x14ac:dyDescent="0.25">
      <c r="D62" s="49">
        <f>SUM(D61*12)</f>
        <v>11850.111000000003</v>
      </c>
      <c r="F62" s="50"/>
      <c r="H62" s="50"/>
    </row>
  </sheetData>
  <mergeCells count="13">
    <mergeCell ref="E8:F8"/>
    <mergeCell ref="G8:H8"/>
    <mergeCell ref="E9:F9"/>
    <mergeCell ref="G9:H9"/>
    <mergeCell ref="E10:F10"/>
    <mergeCell ref="G10:H10"/>
    <mergeCell ref="C50:C54"/>
    <mergeCell ref="D50:D54"/>
    <mergeCell ref="G45:H45"/>
    <mergeCell ref="E12:F12"/>
    <mergeCell ref="G12:H12"/>
    <mergeCell ref="G42:H42"/>
    <mergeCell ref="G43:H43"/>
  </mergeCells>
  <pageMargins left="0" right="0" top="0.5" bottom="0.5" header="0.25" footer="0.25"/>
  <pageSetup scale="61" orientation="landscape" r:id="rId1"/>
  <headerFooter>
    <oddFooter>&amp;L&amp;8&amp;F&amp;C&amp;A
Page 5 of 10&amp;R&amp;D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A11B6-CB0C-453C-8D38-C5A0751E5A55}">
  <sheetPr>
    <tabColor rgb="FF00B050"/>
    <pageSetUpPr fitToPage="1"/>
  </sheetPr>
  <dimension ref="B8:L66"/>
  <sheetViews>
    <sheetView showGridLines="0" showWhiteSpace="0" view="pageBreakPreview" topLeftCell="A10" zoomScale="55" zoomScaleNormal="85" zoomScaleSheetLayoutView="55" workbookViewId="0">
      <selection activeCell="B14" sqref="B14:L20"/>
    </sheetView>
  </sheetViews>
  <sheetFormatPr defaultColWidth="9.21875" defaultRowHeight="20.399999999999999" outlineLevelRow="1" x14ac:dyDescent="0.25"/>
  <cols>
    <col min="1" max="1" width="1.77734375" style="401" customWidth="1"/>
    <col min="2" max="2" width="41.21875" style="401" customWidth="1"/>
    <col min="3" max="4" width="27" style="401" customWidth="1"/>
    <col min="5" max="5" width="27.5546875" style="401" customWidth="1"/>
    <col min="6" max="6" width="18.77734375" style="401" customWidth="1"/>
    <col min="7" max="7" width="31" style="401" customWidth="1" collapsed="1"/>
    <col min="8" max="8" width="20.77734375" style="401" customWidth="1"/>
    <col min="9" max="9" width="29.44140625" style="401" customWidth="1" collapsed="1"/>
    <col min="10" max="10" width="24" style="401" customWidth="1"/>
    <col min="11" max="11" width="29.44140625" style="401" customWidth="1" collapsed="1"/>
    <col min="12" max="12" width="24" style="401" customWidth="1"/>
    <col min="13" max="16384" width="9.21875" style="401"/>
  </cols>
  <sheetData>
    <row r="8" spans="2:12" ht="27.6" x14ac:dyDescent="0.25">
      <c r="F8" s="402"/>
    </row>
    <row r="13" spans="2:12" ht="21" thickBot="1" x14ac:dyDescent="0.3">
      <c r="B13" s="400" t="s">
        <v>474</v>
      </c>
    </row>
    <row r="14" spans="2:12" ht="24" customHeight="1" thickTop="1" x14ac:dyDescent="0.25">
      <c r="B14" s="602" t="s">
        <v>473</v>
      </c>
      <c r="C14" s="605" t="s">
        <v>468</v>
      </c>
      <c r="D14" s="606"/>
      <c r="E14" s="596" t="s">
        <v>490</v>
      </c>
      <c r="F14" s="597"/>
      <c r="G14" s="596" t="s">
        <v>491</v>
      </c>
      <c r="H14" s="597"/>
      <c r="I14" s="596" t="s">
        <v>492</v>
      </c>
      <c r="J14" s="597"/>
      <c r="K14" s="596" t="s">
        <v>493</v>
      </c>
      <c r="L14" s="597"/>
    </row>
    <row r="15" spans="2:12" x14ac:dyDescent="0.25">
      <c r="B15" s="603"/>
      <c r="C15" s="607"/>
      <c r="D15" s="608"/>
      <c r="E15" s="598"/>
      <c r="F15" s="599"/>
      <c r="G15" s="598"/>
      <c r="H15" s="599"/>
      <c r="I15" s="598"/>
      <c r="J15" s="599"/>
      <c r="K15" s="598"/>
      <c r="L15" s="599"/>
    </row>
    <row r="16" spans="2:12" ht="8.5500000000000007" customHeight="1" thickBot="1" x14ac:dyDescent="0.3">
      <c r="B16" s="604"/>
      <c r="C16" s="609"/>
      <c r="D16" s="610"/>
      <c r="E16" s="600"/>
      <c r="F16" s="601"/>
      <c r="G16" s="600"/>
      <c r="H16" s="601"/>
      <c r="I16" s="600"/>
      <c r="J16" s="601"/>
      <c r="K16" s="600"/>
      <c r="L16" s="601"/>
    </row>
    <row r="17" spans="2:12" ht="49.5" customHeight="1" thickTop="1" x14ac:dyDescent="0.25">
      <c r="B17" s="410" t="s">
        <v>469</v>
      </c>
      <c r="C17" s="619">
        <v>0</v>
      </c>
      <c r="D17" s="620"/>
      <c r="E17" s="615">
        <v>0</v>
      </c>
      <c r="F17" s="616"/>
      <c r="G17" s="621">
        <v>0</v>
      </c>
      <c r="H17" s="622"/>
      <c r="I17" s="623">
        <v>0</v>
      </c>
      <c r="J17" s="624"/>
      <c r="K17" s="623">
        <v>0</v>
      </c>
      <c r="L17" s="624"/>
    </row>
    <row r="18" spans="2:12" ht="49.5" customHeight="1" x14ac:dyDescent="0.25">
      <c r="B18" s="411" t="s">
        <v>470</v>
      </c>
      <c r="C18" s="611">
        <v>0</v>
      </c>
      <c r="D18" s="612"/>
      <c r="E18" s="613">
        <v>0</v>
      </c>
      <c r="F18" s="614"/>
      <c r="G18" s="615">
        <v>0</v>
      </c>
      <c r="H18" s="616"/>
      <c r="I18" s="617">
        <v>0</v>
      </c>
      <c r="J18" s="618"/>
      <c r="K18" s="617">
        <v>0</v>
      </c>
      <c r="L18" s="618"/>
    </row>
    <row r="19" spans="2:12" ht="49.5" customHeight="1" x14ac:dyDescent="0.25">
      <c r="B19" s="412" t="s">
        <v>471</v>
      </c>
      <c r="C19" s="611">
        <v>0</v>
      </c>
      <c r="D19" s="612"/>
      <c r="E19" s="613">
        <v>0</v>
      </c>
      <c r="F19" s="614"/>
      <c r="G19" s="613">
        <v>0</v>
      </c>
      <c r="H19" s="614"/>
      <c r="I19" s="623">
        <v>0</v>
      </c>
      <c r="J19" s="624"/>
      <c r="K19" s="623">
        <v>0</v>
      </c>
      <c r="L19" s="624"/>
    </row>
    <row r="20" spans="2:12" ht="49.5" customHeight="1" thickBot="1" x14ac:dyDescent="0.3">
      <c r="B20" s="413" t="s">
        <v>472</v>
      </c>
      <c r="C20" s="625">
        <v>0</v>
      </c>
      <c r="D20" s="626"/>
      <c r="E20" s="627">
        <v>0</v>
      </c>
      <c r="F20" s="628"/>
      <c r="G20" s="627">
        <v>0</v>
      </c>
      <c r="H20" s="628"/>
      <c r="I20" s="629">
        <v>0</v>
      </c>
      <c r="J20" s="630"/>
      <c r="K20" s="629">
        <v>0</v>
      </c>
      <c r="L20" s="630"/>
    </row>
    <row r="21" spans="2:12" ht="49.5" customHeight="1" thickTop="1" thickBot="1" x14ac:dyDescent="0.3">
      <c r="B21" s="410" t="s">
        <v>31</v>
      </c>
      <c r="C21" s="635">
        <f>C17+C18+C19+C20</f>
        <v>0</v>
      </c>
      <c r="D21" s="636"/>
      <c r="E21" s="637">
        <f>($C$17*E17)+($C$18*E18)+($C$19*E19)+($C$20*E20)</f>
        <v>0</v>
      </c>
      <c r="F21" s="638"/>
      <c r="G21" s="637">
        <f>($C$17*G17)+($C$18*G18)+($C$19*G19)+($C$20*G20)</f>
        <v>0</v>
      </c>
      <c r="H21" s="638"/>
      <c r="I21" s="637">
        <f>($C$17*I17)+($C$18*I18)+($C$19*I19)+($C$20*I20)</f>
        <v>0</v>
      </c>
      <c r="J21" s="638"/>
      <c r="K21" s="637">
        <f>($C$17*K17)+($C$18*K18)+($C$19*K19)+($C$20*K20)</f>
        <v>0</v>
      </c>
      <c r="L21" s="638"/>
    </row>
    <row r="22" spans="2:12" ht="37.5" customHeight="1" thickTop="1" thickBot="1" x14ac:dyDescent="0.3">
      <c r="B22" s="414"/>
      <c r="C22" s="631" t="s">
        <v>3</v>
      </c>
      <c r="D22" s="632"/>
      <c r="E22" s="633">
        <f>($E$21*12)</f>
        <v>0</v>
      </c>
      <c r="F22" s="634"/>
      <c r="G22" s="633">
        <f>($G$21*12)</f>
        <v>0</v>
      </c>
      <c r="H22" s="634"/>
      <c r="I22" s="633">
        <f>($I$21*12)</f>
        <v>0</v>
      </c>
      <c r="J22" s="634"/>
      <c r="K22" s="633">
        <f>($I$21*12)</f>
        <v>0</v>
      </c>
      <c r="L22" s="634"/>
    </row>
    <row r="23" spans="2:12" ht="34.5" customHeight="1" x14ac:dyDescent="0.25">
      <c r="B23" s="415"/>
      <c r="C23" s="639" t="s">
        <v>476</v>
      </c>
      <c r="D23" s="640"/>
      <c r="E23" s="641">
        <v>0</v>
      </c>
      <c r="F23" s="642"/>
      <c r="G23" s="643">
        <f>($G$22-E22)</f>
        <v>0</v>
      </c>
      <c r="H23" s="644"/>
      <c r="I23" s="643">
        <f>($I$22-E22)</f>
        <v>0</v>
      </c>
      <c r="J23" s="644"/>
      <c r="K23" s="643">
        <f>($I$22-G22)</f>
        <v>0</v>
      </c>
      <c r="L23" s="644"/>
    </row>
    <row r="24" spans="2:12" ht="34.5" customHeight="1" thickBot="1" x14ac:dyDescent="0.3">
      <c r="B24" s="416"/>
      <c r="C24" s="645" t="s">
        <v>477</v>
      </c>
      <c r="D24" s="646"/>
      <c r="E24" s="647">
        <v>0</v>
      </c>
      <c r="F24" s="648"/>
      <c r="G24" s="649" t="e">
        <f>SUM($G$23/E22)</f>
        <v>#DIV/0!</v>
      </c>
      <c r="H24" s="650"/>
      <c r="I24" s="649" t="e">
        <f>SUM($I$23/E22)</f>
        <v>#DIV/0!</v>
      </c>
      <c r="J24" s="650"/>
      <c r="K24" s="649" t="e">
        <f>SUM($K$23/G22)</f>
        <v>#DIV/0!</v>
      </c>
      <c r="L24" s="650"/>
    </row>
    <row r="25" spans="2:12" ht="28.2" hidden="1" outlineLevel="1" thickTop="1" x14ac:dyDescent="0.25">
      <c r="B25" s="417" t="s">
        <v>10</v>
      </c>
      <c r="C25" s="402"/>
      <c r="D25" s="402"/>
      <c r="E25" s="418" t="e">
        <f>SUM(#REF!-#REF!)</f>
        <v>#REF!</v>
      </c>
      <c r="F25" s="419"/>
      <c r="G25" s="420" t="e">
        <f>SUM(#REF!-#REF!)</f>
        <v>#REF!</v>
      </c>
      <c r="H25" s="421"/>
      <c r="I25" s="418" t="e">
        <f>SUM(#REF!-#REF!)</f>
        <v>#REF!</v>
      </c>
      <c r="J25" s="419"/>
      <c r="K25" s="418" t="e">
        <f>SUM(#REF!-#REF!)</f>
        <v>#REF!</v>
      </c>
      <c r="L25" s="419"/>
    </row>
    <row r="26" spans="2:12" ht="28.8" hidden="1" outlineLevel="1" thickTop="1" thickBot="1" x14ac:dyDescent="0.3">
      <c r="B26" s="422" t="s">
        <v>11</v>
      </c>
      <c r="C26" s="423"/>
      <c r="D26" s="423"/>
      <c r="E26" s="424" t="e">
        <f>SUM(E25/#REF!)</f>
        <v>#REF!</v>
      </c>
      <c r="F26" s="425"/>
      <c r="G26" s="426" t="e">
        <f>SUM(G25/#REF!)</f>
        <v>#REF!</v>
      </c>
      <c r="H26" s="427"/>
      <c r="I26" s="424" t="e">
        <f>SUM(I25/#REF!)</f>
        <v>#REF!</v>
      </c>
      <c r="J26" s="425"/>
      <c r="K26" s="424" t="e">
        <f>SUM(K25/#REF!)</f>
        <v>#REF!</v>
      </c>
      <c r="L26" s="425"/>
    </row>
    <row r="27" spans="2:12" ht="28.2" collapsed="1" thickTop="1" x14ac:dyDescent="0.25">
      <c r="B27" s="402"/>
      <c r="C27" s="402"/>
      <c r="D27" s="402"/>
      <c r="E27" s="428"/>
      <c r="F27" s="428"/>
      <c r="G27" s="429"/>
      <c r="H27" s="429"/>
      <c r="I27" s="429"/>
      <c r="J27" s="429"/>
      <c r="K27" s="429"/>
      <c r="L27" s="429"/>
    </row>
    <row r="28" spans="2:12" ht="17.25" customHeight="1" thickBot="1" x14ac:dyDescent="0.3">
      <c r="B28" s="401" t="s">
        <v>475</v>
      </c>
    </row>
    <row r="29" spans="2:12" ht="27.75" customHeight="1" thickTop="1" x14ac:dyDescent="0.25">
      <c r="B29" s="602" t="s">
        <v>473</v>
      </c>
      <c r="C29" s="605" t="s">
        <v>468</v>
      </c>
      <c r="D29" s="606"/>
      <c r="E29" s="596" t="s">
        <v>490</v>
      </c>
      <c r="F29" s="597"/>
      <c r="G29" s="596" t="s">
        <v>491</v>
      </c>
      <c r="H29" s="597"/>
      <c r="I29" s="596" t="s">
        <v>492</v>
      </c>
      <c r="J29" s="597"/>
      <c r="K29" s="596" t="s">
        <v>493</v>
      </c>
      <c r="L29" s="597"/>
    </row>
    <row r="30" spans="2:12" ht="19.95" customHeight="1" x14ac:dyDescent="0.25">
      <c r="B30" s="603"/>
      <c r="C30" s="607"/>
      <c r="D30" s="608"/>
      <c r="E30" s="598"/>
      <c r="F30" s="599"/>
      <c r="G30" s="598"/>
      <c r="H30" s="599"/>
      <c r="I30" s="598"/>
      <c r="J30" s="599"/>
      <c r="K30" s="598"/>
      <c r="L30" s="599"/>
    </row>
    <row r="31" spans="2:12" ht="4.05" customHeight="1" thickBot="1" x14ac:dyDescent="0.3">
      <c r="B31" s="604"/>
      <c r="C31" s="609"/>
      <c r="D31" s="610"/>
      <c r="E31" s="600"/>
      <c r="F31" s="601"/>
      <c r="G31" s="600"/>
      <c r="H31" s="601"/>
      <c r="I31" s="600"/>
      <c r="J31" s="601"/>
      <c r="K31" s="600"/>
      <c r="L31" s="601"/>
    </row>
    <row r="32" spans="2:12" ht="27.75" customHeight="1" thickTop="1" x14ac:dyDescent="0.25">
      <c r="B32" s="410" t="s">
        <v>469</v>
      </c>
      <c r="C32" s="619">
        <v>0</v>
      </c>
      <c r="D32" s="620"/>
      <c r="E32" s="655">
        <v>0</v>
      </c>
      <c r="F32" s="656"/>
      <c r="G32" s="655">
        <v>0</v>
      </c>
      <c r="H32" s="656"/>
      <c r="I32" s="657">
        <v>0</v>
      </c>
      <c r="J32" s="658"/>
      <c r="K32" s="657">
        <v>0</v>
      </c>
      <c r="L32" s="658"/>
    </row>
    <row r="33" spans="2:12" ht="27.75" customHeight="1" x14ac:dyDescent="0.25">
      <c r="B33" s="411" t="s">
        <v>470</v>
      </c>
      <c r="C33" s="611">
        <v>0</v>
      </c>
      <c r="D33" s="612"/>
      <c r="E33" s="651">
        <v>0</v>
      </c>
      <c r="F33" s="652"/>
      <c r="G33" s="651">
        <v>0</v>
      </c>
      <c r="H33" s="652"/>
      <c r="I33" s="653">
        <v>0</v>
      </c>
      <c r="J33" s="654"/>
      <c r="K33" s="653">
        <v>0</v>
      </c>
      <c r="L33" s="654"/>
    </row>
    <row r="34" spans="2:12" ht="27.75" customHeight="1" x14ac:dyDescent="0.25">
      <c r="B34" s="412" t="s">
        <v>471</v>
      </c>
      <c r="C34" s="611">
        <v>0</v>
      </c>
      <c r="D34" s="612"/>
      <c r="E34" s="651">
        <v>0</v>
      </c>
      <c r="F34" s="652"/>
      <c r="G34" s="651">
        <v>0</v>
      </c>
      <c r="H34" s="652"/>
      <c r="I34" s="653">
        <v>0</v>
      </c>
      <c r="J34" s="654"/>
      <c r="K34" s="653">
        <v>0</v>
      </c>
      <c r="L34" s="654"/>
    </row>
    <row r="35" spans="2:12" ht="27.75" customHeight="1" thickBot="1" x14ac:dyDescent="0.3">
      <c r="B35" s="413" t="s">
        <v>472</v>
      </c>
      <c r="C35" s="625">
        <v>0</v>
      </c>
      <c r="D35" s="626"/>
      <c r="E35" s="659">
        <v>0</v>
      </c>
      <c r="F35" s="660"/>
      <c r="G35" s="659">
        <v>0</v>
      </c>
      <c r="H35" s="660"/>
      <c r="I35" s="661">
        <v>0</v>
      </c>
      <c r="J35" s="662"/>
      <c r="K35" s="661">
        <v>0</v>
      </c>
      <c r="L35" s="662"/>
    </row>
    <row r="36" spans="2:12" ht="27.75" customHeight="1" thickTop="1" thickBot="1" x14ac:dyDescent="0.3">
      <c r="B36" s="410" t="s">
        <v>31</v>
      </c>
      <c r="C36" s="635">
        <f>C32+C33+C34+C35</f>
        <v>0</v>
      </c>
      <c r="D36" s="636"/>
      <c r="E36" s="663">
        <f>($C$32*E32)+($C$33*E33)+($C$34*E34)+($C$35*E35)</f>
        <v>0</v>
      </c>
      <c r="F36" s="664"/>
      <c r="G36" s="663">
        <f>($C$32*G32)+($C$33*G33)+($C$34*G34)+($C$35*G35)</f>
        <v>0</v>
      </c>
      <c r="H36" s="664"/>
      <c r="I36" s="663">
        <f>($C$32*I32)+($C$33*I33)+($C$34*I34)+($C$35*I35)</f>
        <v>0</v>
      </c>
      <c r="J36" s="664"/>
      <c r="K36" s="663">
        <f>($C$32*K32)+($C$33*K33)+($C$34*K34)+($C$35*K35)</f>
        <v>0</v>
      </c>
      <c r="L36" s="664"/>
    </row>
    <row r="37" spans="2:12" ht="27.75" customHeight="1" thickTop="1" thickBot="1" x14ac:dyDescent="0.3">
      <c r="B37" s="414"/>
      <c r="C37" s="631" t="s">
        <v>3</v>
      </c>
      <c r="D37" s="632"/>
      <c r="E37" s="633">
        <f>($E$36*12)</f>
        <v>0</v>
      </c>
      <c r="F37" s="634"/>
      <c r="G37" s="633">
        <f>(G36*12)</f>
        <v>0</v>
      </c>
      <c r="H37" s="634"/>
      <c r="I37" s="633">
        <f>(I36*12)</f>
        <v>0</v>
      </c>
      <c r="J37" s="634"/>
      <c r="K37" s="633">
        <f>(K36*12)</f>
        <v>0</v>
      </c>
      <c r="L37" s="634"/>
    </row>
    <row r="38" spans="2:12" ht="27.75" customHeight="1" x14ac:dyDescent="0.25">
      <c r="B38" s="415"/>
      <c r="C38" s="639" t="s">
        <v>476</v>
      </c>
      <c r="D38" s="640"/>
      <c r="E38" s="643">
        <v>0</v>
      </c>
      <c r="F38" s="644"/>
      <c r="G38" s="643">
        <f>($G$37-E37)</f>
        <v>0</v>
      </c>
      <c r="H38" s="644"/>
      <c r="I38" s="643">
        <f>($I$37-E37)</f>
        <v>0</v>
      </c>
      <c r="J38" s="644"/>
      <c r="K38" s="643">
        <f>($I$37-G37)</f>
        <v>0</v>
      </c>
      <c r="L38" s="644"/>
    </row>
    <row r="39" spans="2:12" ht="27.75" customHeight="1" thickBot="1" x14ac:dyDescent="0.3">
      <c r="B39" s="416"/>
      <c r="C39" s="645" t="s">
        <v>477</v>
      </c>
      <c r="D39" s="646"/>
      <c r="E39" s="665">
        <v>0</v>
      </c>
      <c r="F39" s="666"/>
      <c r="G39" s="667" t="e">
        <f>($G$38/E37)</f>
        <v>#DIV/0!</v>
      </c>
      <c r="H39" s="668"/>
      <c r="I39" s="667" t="e">
        <f>($I$38/E37)</f>
        <v>#DIV/0!</v>
      </c>
      <c r="J39" s="668"/>
      <c r="K39" s="667" t="e">
        <f>($K$38/G37)</f>
        <v>#DIV/0!</v>
      </c>
      <c r="L39" s="668"/>
    </row>
    <row r="40" spans="2:12" ht="21" thickTop="1" x14ac:dyDescent="0.25">
      <c r="B40" s="440" t="s">
        <v>486</v>
      </c>
    </row>
    <row r="45" spans="2:12" x14ac:dyDescent="0.25">
      <c r="C45" s="400" t="s">
        <v>478</v>
      </c>
      <c r="E45" s="400">
        <f>(C36+C21)</f>
        <v>0</v>
      </c>
    </row>
    <row r="46" spans="2:12" x14ac:dyDescent="0.25">
      <c r="C46" s="400"/>
    </row>
    <row r="47" spans="2:12" x14ac:dyDescent="0.25">
      <c r="C47" s="400" t="s">
        <v>494</v>
      </c>
    </row>
    <row r="48" spans="2:12" x14ac:dyDescent="0.25">
      <c r="C48" s="400" t="s">
        <v>479</v>
      </c>
      <c r="E48" s="431">
        <f>(E36+E21)</f>
        <v>0</v>
      </c>
    </row>
    <row r="49" spans="3:7" x14ac:dyDescent="0.25">
      <c r="C49" s="400" t="s">
        <v>481</v>
      </c>
      <c r="E49" s="431">
        <f>(G36+G21)</f>
        <v>0</v>
      </c>
    </row>
    <row r="50" spans="3:7" x14ac:dyDescent="0.25">
      <c r="C50" s="400"/>
      <c r="E50" s="431"/>
    </row>
    <row r="51" spans="3:7" x14ac:dyDescent="0.25">
      <c r="C51" s="400" t="s">
        <v>480</v>
      </c>
      <c r="E51" s="431">
        <f>E48*12</f>
        <v>0</v>
      </c>
    </row>
    <row r="52" spans="3:7" x14ac:dyDescent="0.25">
      <c r="C52" s="400" t="s">
        <v>483</v>
      </c>
      <c r="E52" s="431">
        <f>E49*12</f>
        <v>0</v>
      </c>
      <c r="F52" s="432"/>
    </row>
    <row r="53" spans="3:7" x14ac:dyDescent="0.25">
      <c r="C53" s="400"/>
      <c r="E53" s="400"/>
    </row>
    <row r="54" spans="3:7" x14ac:dyDescent="0.25">
      <c r="C54" s="400" t="s">
        <v>482</v>
      </c>
      <c r="E54" s="400"/>
    </row>
    <row r="55" spans="3:7" x14ac:dyDescent="0.25">
      <c r="C55" s="400" t="s">
        <v>487</v>
      </c>
      <c r="E55" s="431">
        <f>I36+I21</f>
        <v>0</v>
      </c>
    </row>
    <row r="56" spans="3:7" x14ac:dyDescent="0.25">
      <c r="C56" s="433" t="s">
        <v>488</v>
      </c>
      <c r="D56" s="434"/>
      <c r="E56" s="435">
        <f>E55*12</f>
        <v>0</v>
      </c>
      <c r="F56" s="436"/>
      <c r="G56" s="437">
        <f>E56-E52</f>
        <v>0</v>
      </c>
    </row>
    <row r="57" spans="3:7" x14ac:dyDescent="0.25">
      <c r="C57" s="400"/>
      <c r="E57" s="400"/>
    </row>
    <row r="58" spans="3:7" ht="34.049999999999997" customHeight="1" x14ac:dyDescent="0.25">
      <c r="C58" s="441" t="s">
        <v>495</v>
      </c>
      <c r="D58" s="400"/>
      <c r="E58" s="431">
        <f>E56-E55</f>
        <v>0</v>
      </c>
    </row>
    <row r="59" spans="3:7" x14ac:dyDescent="0.25">
      <c r="C59" s="400" t="s">
        <v>484</v>
      </c>
      <c r="E59" s="400"/>
    </row>
    <row r="60" spans="3:7" x14ac:dyDescent="0.25">
      <c r="C60" s="433" t="s">
        <v>489</v>
      </c>
      <c r="D60" s="434"/>
      <c r="E60" s="433"/>
      <c r="F60" s="434"/>
      <c r="G60" s="437">
        <f>E58-E52</f>
        <v>0</v>
      </c>
    </row>
    <row r="61" spans="3:7" x14ac:dyDescent="0.25">
      <c r="E61" s="431">
        <f>E58-E51</f>
        <v>0</v>
      </c>
      <c r="F61" s="400"/>
    </row>
    <row r="62" spans="3:7" x14ac:dyDescent="0.25">
      <c r="D62" s="400" t="s">
        <v>485</v>
      </c>
      <c r="E62" s="438" t="e">
        <f>E61/E51</f>
        <v>#DIV/0!</v>
      </c>
    </row>
    <row r="66" spans="3:3" x14ac:dyDescent="0.25">
      <c r="C66" s="440" t="s">
        <v>486</v>
      </c>
    </row>
  </sheetData>
  <mergeCells count="92">
    <mergeCell ref="C38:D38"/>
    <mergeCell ref="E38:F38"/>
    <mergeCell ref="G38:H38"/>
    <mergeCell ref="I38:J38"/>
    <mergeCell ref="K38:L38"/>
    <mergeCell ref="C39:D39"/>
    <mergeCell ref="E39:F39"/>
    <mergeCell ref="G39:H39"/>
    <mergeCell ref="I39:J39"/>
    <mergeCell ref="K39:L39"/>
    <mergeCell ref="C36:D36"/>
    <mergeCell ref="E36:F36"/>
    <mergeCell ref="G36:H36"/>
    <mergeCell ref="I36:J36"/>
    <mergeCell ref="K36:L36"/>
    <mergeCell ref="C37:D37"/>
    <mergeCell ref="E37:F37"/>
    <mergeCell ref="G37:H37"/>
    <mergeCell ref="I37:J37"/>
    <mergeCell ref="K37:L37"/>
    <mergeCell ref="C34:D34"/>
    <mergeCell ref="E34:F34"/>
    <mergeCell ref="G34:H34"/>
    <mergeCell ref="I34:J34"/>
    <mergeCell ref="K34:L34"/>
    <mergeCell ref="C35:D35"/>
    <mergeCell ref="E35:F35"/>
    <mergeCell ref="G35:H35"/>
    <mergeCell ref="I35:J35"/>
    <mergeCell ref="K35:L35"/>
    <mergeCell ref="C32:D32"/>
    <mergeCell ref="E32:F32"/>
    <mergeCell ref="G32:H32"/>
    <mergeCell ref="I32:J32"/>
    <mergeCell ref="K32:L32"/>
    <mergeCell ref="C33:D33"/>
    <mergeCell ref="E33:F33"/>
    <mergeCell ref="G33:H33"/>
    <mergeCell ref="I33:J33"/>
    <mergeCell ref="K33:L33"/>
    <mergeCell ref="B29:B31"/>
    <mergeCell ref="C29:D31"/>
    <mergeCell ref="E29:F31"/>
    <mergeCell ref="G29:H31"/>
    <mergeCell ref="I29:J31"/>
    <mergeCell ref="K29:L31"/>
    <mergeCell ref="C23:D23"/>
    <mergeCell ref="E23:F23"/>
    <mergeCell ref="G23:H23"/>
    <mergeCell ref="I23:J23"/>
    <mergeCell ref="K23:L23"/>
    <mergeCell ref="C24:D24"/>
    <mergeCell ref="E24:F24"/>
    <mergeCell ref="G24:H24"/>
    <mergeCell ref="I24:J24"/>
    <mergeCell ref="K24:L24"/>
    <mergeCell ref="C21:D21"/>
    <mergeCell ref="E21:F21"/>
    <mergeCell ref="G21:H21"/>
    <mergeCell ref="I21:J21"/>
    <mergeCell ref="K21:L21"/>
    <mergeCell ref="C22:D22"/>
    <mergeCell ref="E22:F22"/>
    <mergeCell ref="G22:H22"/>
    <mergeCell ref="I22:J22"/>
    <mergeCell ref="K22:L22"/>
    <mergeCell ref="C19:D19"/>
    <mergeCell ref="E19:F19"/>
    <mergeCell ref="G19:H19"/>
    <mergeCell ref="I19:J19"/>
    <mergeCell ref="K19:L19"/>
    <mergeCell ref="C20:D20"/>
    <mergeCell ref="E20:F20"/>
    <mergeCell ref="G20:H20"/>
    <mergeCell ref="I20:J20"/>
    <mergeCell ref="K20:L20"/>
    <mergeCell ref="C17:D17"/>
    <mergeCell ref="E17:F17"/>
    <mergeCell ref="G17:H17"/>
    <mergeCell ref="I17:J17"/>
    <mergeCell ref="K17:L17"/>
    <mergeCell ref="C18:D18"/>
    <mergeCell ref="E18:F18"/>
    <mergeCell ref="G18:H18"/>
    <mergeCell ref="I18:J18"/>
    <mergeCell ref="K18:L18"/>
    <mergeCell ref="K14:L16"/>
    <mergeCell ref="B14:B16"/>
    <mergeCell ref="C14:D16"/>
    <mergeCell ref="E14:F16"/>
    <mergeCell ref="G14:H16"/>
    <mergeCell ref="I14:J16"/>
  </mergeCells>
  <printOptions horizontalCentered="1"/>
  <pageMargins left="0.7" right="0.7" top="0.75" bottom="0.75" header="0.3" footer="0.3"/>
  <pageSetup scale="40" fitToHeight="0" orientation="landscape" r:id="rId1"/>
  <headerFooter>
    <oddFooter xml:space="preserve">&amp;C
</oddFooter>
  </headerFooter>
  <rowBreaks count="1" manualBreakCount="1">
    <brk id="40" min="1" max="1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6738F-7D25-4DB5-82F7-801933BCC8BE}">
  <sheetPr>
    <tabColor rgb="FF00B050"/>
    <pageSetUpPr fitToPage="1"/>
  </sheetPr>
  <dimension ref="B8:L66"/>
  <sheetViews>
    <sheetView showGridLines="0" showWhiteSpace="0" view="pageBreakPreview" topLeftCell="A19" zoomScale="70" zoomScaleNormal="85" zoomScaleSheetLayoutView="70" workbookViewId="0">
      <selection activeCell="C4" sqref="C4"/>
    </sheetView>
  </sheetViews>
  <sheetFormatPr defaultColWidth="9.21875" defaultRowHeight="20.399999999999999" outlineLevelRow="1" x14ac:dyDescent="0.25"/>
  <cols>
    <col min="1" max="1" width="1.77734375" style="401" customWidth="1"/>
    <col min="2" max="2" width="41.21875" style="401" customWidth="1"/>
    <col min="3" max="4" width="27" style="401" customWidth="1"/>
    <col min="5" max="5" width="27.5546875" style="401" customWidth="1"/>
    <col min="6" max="6" width="18.77734375" style="401" customWidth="1"/>
    <col min="7" max="7" width="31" style="401" customWidth="1" collapsed="1"/>
    <col min="8" max="8" width="20.77734375" style="401" customWidth="1"/>
    <col min="9" max="9" width="29.44140625" style="401" customWidth="1" collapsed="1"/>
    <col min="10" max="10" width="24" style="401" customWidth="1"/>
    <col min="11" max="11" width="29.44140625" style="401" customWidth="1" collapsed="1"/>
    <col min="12" max="12" width="24" style="401" customWidth="1"/>
    <col min="13" max="16384" width="9.21875" style="401"/>
  </cols>
  <sheetData>
    <row r="8" spans="2:12" ht="27.6" x14ac:dyDescent="0.25">
      <c r="F8" s="402"/>
    </row>
    <row r="13" spans="2:12" ht="21" thickBot="1" x14ac:dyDescent="0.3">
      <c r="B13" s="400" t="s">
        <v>474</v>
      </c>
    </row>
    <row r="14" spans="2:12" ht="24" customHeight="1" thickTop="1" x14ac:dyDescent="0.25">
      <c r="B14" s="602" t="s">
        <v>473</v>
      </c>
      <c r="C14" s="605" t="s">
        <v>468</v>
      </c>
      <c r="D14" s="606"/>
      <c r="E14" s="596" t="s">
        <v>490</v>
      </c>
      <c r="F14" s="597"/>
      <c r="G14" s="596" t="s">
        <v>491</v>
      </c>
      <c r="H14" s="597"/>
      <c r="I14" s="596" t="s">
        <v>492</v>
      </c>
      <c r="J14" s="597"/>
      <c r="K14" s="596" t="s">
        <v>493</v>
      </c>
      <c r="L14" s="597"/>
    </row>
    <row r="15" spans="2:12" x14ac:dyDescent="0.25">
      <c r="B15" s="603"/>
      <c r="C15" s="607"/>
      <c r="D15" s="608"/>
      <c r="E15" s="598"/>
      <c r="F15" s="599"/>
      <c r="G15" s="598"/>
      <c r="H15" s="599"/>
      <c r="I15" s="598"/>
      <c r="J15" s="599"/>
      <c r="K15" s="598"/>
      <c r="L15" s="599"/>
    </row>
    <row r="16" spans="2:12" ht="8.5500000000000007" customHeight="1" thickBot="1" x14ac:dyDescent="0.3">
      <c r="B16" s="604"/>
      <c r="C16" s="609"/>
      <c r="D16" s="610"/>
      <c r="E16" s="600"/>
      <c r="F16" s="601"/>
      <c r="G16" s="600"/>
      <c r="H16" s="601"/>
      <c r="I16" s="600"/>
      <c r="J16" s="601"/>
      <c r="K16" s="600"/>
      <c r="L16" s="601"/>
    </row>
    <row r="17" spans="2:12" ht="49.5" customHeight="1" thickTop="1" x14ac:dyDescent="0.25">
      <c r="B17" s="410" t="s">
        <v>469</v>
      </c>
      <c r="C17" s="619">
        <v>0</v>
      </c>
      <c r="D17" s="620"/>
      <c r="E17" s="615">
        <v>0</v>
      </c>
      <c r="F17" s="616"/>
      <c r="G17" s="621">
        <v>0</v>
      </c>
      <c r="H17" s="622"/>
      <c r="I17" s="623">
        <v>0</v>
      </c>
      <c r="J17" s="624"/>
      <c r="K17" s="623">
        <v>0</v>
      </c>
      <c r="L17" s="624"/>
    </row>
    <row r="18" spans="2:12" ht="49.5" customHeight="1" x14ac:dyDescent="0.25">
      <c r="B18" s="411" t="s">
        <v>470</v>
      </c>
      <c r="C18" s="611">
        <v>0</v>
      </c>
      <c r="D18" s="612"/>
      <c r="E18" s="613">
        <v>0</v>
      </c>
      <c r="F18" s="614"/>
      <c r="G18" s="615">
        <v>0</v>
      </c>
      <c r="H18" s="616"/>
      <c r="I18" s="617">
        <v>0</v>
      </c>
      <c r="J18" s="618"/>
      <c r="K18" s="617">
        <v>0</v>
      </c>
      <c r="L18" s="618"/>
    </row>
    <row r="19" spans="2:12" ht="49.5" customHeight="1" x14ac:dyDescent="0.25">
      <c r="B19" s="412" t="s">
        <v>471</v>
      </c>
      <c r="C19" s="611">
        <v>0</v>
      </c>
      <c r="D19" s="612"/>
      <c r="E19" s="613">
        <v>0</v>
      </c>
      <c r="F19" s="614"/>
      <c r="G19" s="613">
        <v>0</v>
      </c>
      <c r="H19" s="614"/>
      <c r="I19" s="623">
        <v>0</v>
      </c>
      <c r="J19" s="624"/>
      <c r="K19" s="623">
        <v>0</v>
      </c>
      <c r="L19" s="624"/>
    </row>
    <row r="20" spans="2:12" ht="49.5" customHeight="1" thickBot="1" x14ac:dyDescent="0.3">
      <c r="B20" s="413" t="s">
        <v>472</v>
      </c>
      <c r="C20" s="625">
        <v>0</v>
      </c>
      <c r="D20" s="626"/>
      <c r="E20" s="627">
        <v>0</v>
      </c>
      <c r="F20" s="628"/>
      <c r="G20" s="627">
        <v>0</v>
      </c>
      <c r="H20" s="628"/>
      <c r="I20" s="629">
        <v>0</v>
      </c>
      <c r="J20" s="630"/>
      <c r="K20" s="629">
        <v>0</v>
      </c>
      <c r="L20" s="630"/>
    </row>
    <row r="21" spans="2:12" ht="49.5" customHeight="1" thickTop="1" thickBot="1" x14ac:dyDescent="0.3">
      <c r="B21" s="410" t="s">
        <v>31</v>
      </c>
      <c r="C21" s="635">
        <f>C17+C18+C19+C20</f>
        <v>0</v>
      </c>
      <c r="D21" s="636"/>
      <c r="E21" s="637">
        <f>($C$17*E17)+($C$18*E18)+($C$19*E19)+($C$20*E20)</f>
        <v>0</v>
      </c>
      <c r="F21" s="638"/>
      <c r="G21" s="637">
        <f>($C$17*G17)+($C$18*G18)+($C$19*G19)+($C$20*G20)</f>
        <v>0</v>
      </c>
      <c r="H21" s="638"/>
      <c r="I21" s="637">
        <f>($C$17*I17)+($C$18*I18)+($C$19*I19)+($C$20*I20)</f>
        <v>0</v>
      </c>
      <c r="J21" s="638"/>
      <c r="K21" s="637">
        <f>($C$17*K17)+($C$18*K18)+($C$19*K19)+($C$20*K20)</f>
        <v>0</v>
      </c>
      <c r="L21" s="638"/>
    </row>
    <row r="22" spans="2:12" ht="37.5" customHeight="1" thickTop="1" thickBot="1" x14ac:dyDescent="0.3">
      <c r="B22" s="414"/>
      <c r="C22" s="631" t="s">
        <v>3</v>
      </c>
      <c r="D22" s="632"/>
      <c r="E22" s="633">
        <f>($E$21*12)</f>
        <v>0</v>
      </c>
      <c r="F22" s="634"/>
      <c r="G22" s="633">
        <f>($G$21*12)</f>
        <v>0</v>
      </c>
      <c r="H22" s="634"/>
      <c r="I22" s="633">
        <f>($I$21*12)</f>
        <v>0</v>
      </c>
      <c r="J22" s="634"/>
      <c r="K22" s="633">
        <f>($I$21*12)</f>
        <v>0</v>
      </c>
      <c r="L22" s="634"/>
    </row>
    <row r="23" spans="2:12" ht="34.5" customHeight="1" x14ac:dyDescent="0.25">
      <c r="B23" s="415"/>
      <c r="C23" s="639" t="s">
        <v>476</v>
      </c>
      <c r="D23" s="640"/>
      <c r="E23" s="641">
        <v>0</v>
      </c>
      <c r="F23" s="642"/>
      <c r="G23" s="643">
        <f>($G$22-E22)</f>
        <v>0</v>
      </c>
      <c r="H23" s="644"/>
      <c r="I23" s="643">
        <f>($I$22-E22)</f>
        <v>0</v>
      </c>
      <c r="J23" s="644"/>
      <c r="K23" s="643">
        <f>($I$22-G22)</f>
        <v>0</v>
      </c>
      <c r="L23" s="644"/>
    </row>
    <row r="24" spans="2:12" ht="34.5" customHeight="1" thickBot="1" x14ac:dyDescent="0.3">
      <c r="B24" s="416"/>
      <c r="C24" s="645" t="s">
        <v>477</v>
      </c>
      <c r="D24" s="646"/>
      <c r="E24" s="647">
        <v>0</v>
      </c>
      <c r="F24" s="648"/>
      <c r="G24" s="649" t="e">
        <f>SUM($G$23/E22)</f>
        <v>#DIV/0!</v>
      </c>
      <c r="H24" s="650"/>
      <c r="I24" s="649" t="e">
        <f>SUM($I$23/E22)</f>
        <v>#DIV/0!</v>
      </c>
      <c r="J24" s="650"/>
      <c r="K24" s="649" t="e">
        <f>SUM($K$23/G22)</f>
        <v>#DIV/0!</v>
      </c>
      <c r="L24" s="650"/>
    </row>
    <row r="25" spans="2:12" ht="28.2" hidden="1" outlineLevel="1" thickTop="1" x14ac:dyDescent="0.25">
      <c r="B25" s="417" t="s">
        <v>10</v>
      </c>
      <c r="C25" s="402"/>
      <c r="D25" s="402"/>
      <c r="E25" s="418" t="e">
        <f>SUM(#REF!-#REF!)</f>
        <v>#REF!</v>
      </c>
      <c r="F25" s="419"/>
      <c r="G25" s="420" t="e">
        <f>SUM(#REF!-#REF!)</f>
        <v>#REF!</v>
      </c>
      <c r="H25" s="421"/>
      <c r="I25" s="418" t="e">
        <f>SUM(#REF!-#REF!)</f>
        <v>#REF!</v>
      </c>
      <c r="J25" s="419"/>
      <c r="K25" s="418" t="e">
        <f>SUM(#REF!-#REF!)</f>
        <v>#REF!</v>
      </c>
      <c r="L25" s="419"/>
    </row>
    <row r="26" spans="2:12" ht="28.8" hidden="1" outlineLevel="1" thickTop="1" thickBot="1" x14ac:dyDescent="0.3">
      <c r="B26" s="422" t="s">
        <v>11</v>
      </c>
      <c r="C26" s="423"/>
      <c r="D26" s="423"/>
      <c r="E26" s="424" t="e">
        <f>SUM(E25/#REF!)</f>
        <v>#REF!</v>
      </c>
      <c r="F26" s="425"/>
      <c r="G26" s="426" t="e">
        <f>SUM(G25/#REF!)</f>
        <v>#REF!</v>
      </c>
      <c r="H26" s="427"/>
      <c r="I26" s="424" t="e">
        <f>SUM(I25/#REF!)</f>
        <v>#REF!</v>
      </c>
      <c r="J26" s="425"/>
      <c r="K26" s="424" t="e">
        <f>SUM(K25/#REF!)</f>
        <v>#REF!</v>
      </c>
      <c r="L26" s="425"/>
    </row>
    <row r="27" spans="2:12" ht="28.2" collapsed="1" thickTop="1" x14ac:dyDescent="0.25">
      <c r="B27" s="402"/>
      <c r="C27" s="402"/>
      <c r="D27" s="402"/>
      <c r="E27" s="428"/>
      <c r="F27" s="428"/>
      <c r="G27" s="429"/>
      <c r="H27" s="429"/>
      <c r="I27" s="429"/>
      <c r="J27" s="429"/>
      <c r="K27" s="429"/>
      <c r="L27" s="429"/>
    </row>
    <row r="28" spans="2:12" ht="17.25" customHeight="1" thickBot="1" x14ac:dyDescent="0.3">
      <c r="B28" s="401" t="s">
        <v>475</v>
      </c>
    </row>
    <row r="29" spans="2:12" ht="27.75" customHeight="1" thickTop="1" x14ac:dyDescent="0.25">
      <c r="B29" s="602" t="s">
        <v>473</v>
      </c>
      <c r="C29" s="605" t="s">
        <v>468</v>
      </c>
      <c r="D29" s="606"/>
      <c r="E29" s="596" t="s">
        <v>490</v>
      </c>
      <c r="F29" s="597"/>
      <c r="G29" s="596" t="s">
        <v>491</v>
      </c>
      <c r="H29" s="597"/>
      <c r="I29" s="596" t="s">
        <v>492</v>
      </c>
      <c r="J29" s="597"/>
      <c r="K29" s="596" t="s">
        <v>493</v>
      </c>
      <c r="L29" s="597"/>
    </row>
    <row r="30" spans="2:12" ht="19.95" customHeight="1" x14ac:dyDescent="0.25">
      <c r="B30" s="603"/>
      <c r="C30" s="607"/>
      <c r="D30" s="608"/>
      <c r="E30" s="598"/>
      <c r="F30" s="599"/>
      <c r="G30" s="598"/>
      <c r="H30" s="599"/>
      <c r="I30" s="598"/>
      <c r="J30" s="599"/>
      <c r="K30" s="598"/>
      <c r="L30" s="599"/>
    </row>
    <row r="31" spans="2:12" ht="4.05" customHeight="1" thickBot="1" x14ac:dyDescent="0.3">
      <c r="B31" s="604"/>
      <c r="C31" s="609"/>
      <c r="D31" s="610"/>
      <c r="E31" s="600"/>
      <c r="F31" s="601"/>
      <c r="G31" s="600"/>
      <c r="H31" s="601"/>
      <c r="I31" s="600"/>
      <c r="J31" s="601"/>
      <c r="K31" s="600"/>
      <c r="L31" s="601"/>
    </row>
    <row r="32" spans="2:12" ht="27.75" customHeight="1" thickTop="1" x14ac:dyDescent="0.25">
      <c r="B32" s="410" t="s">
        <v>469</v>
      </c>
      <c r="C32" s="619">
        <v>0</v>
      </c>
      <c r="D32" s="620"/>
      <c r="E32" s="655">
        <v>0</v>
      </c>
      <c r="F32" s="656"/>
      <c r="G32" s="655">
        <v>0</v>
      </c>
      <c r="H32" s="656"/>
      <c r="I32" s="657">
        <v>0</v>
      </c>
      <c r="J32" s="658"/>
      <c r="K32" s="657">
        <v>0</v>
      </c>
      <c r="L32" s="658"/>
    </row>
    <row r="33" spans="2:12" ht="27.75" customHeight="1" x14ac:dyDescent="0.25">
      <c r="B33" s="411" t="s">
        <v>470</v>
      </c>
      <c r="C33" s="611">
        <v>0</v>
      </c>
      <c r="D33" s="612"/>
      <c r="E33" s="651">
        <v>0</v>
      </c>
      <c r="F33" s="652"/>
      <c r="G33" s="651">
        <v>0</v>
      </c>
      <c r="H33" s="652"/>
      <c r="I33" s="653">
        <v>0</v>
      </c>
      <c r="J33" s="654"/>
      <c r="K33" s="653">
        <v>0</v>
      </c>
      <c r="L33" s="654"/>
    </row>
    <row r="34" spans="2:12" ht="27.75" customHeight="1" x14ac:dyDescent="0.25">
      <c r="B34" s="412" t="s">
        <v>471</v>
      </c>
      <c r="C34" s="611">
        <v>0</v>
      </c>
      <c r="D34" s="612"/>
      <c r="E34" s="651">
        <v>0</v>
      </c>
      <c r="F34" s="652"/>
      <c r="G34" s="651">
        <v>0</v>
      </c>
      <c r="H34" s="652"/>
      <c r="I34" s="653">
        <v>0</v>
      </c>
      <c r="J34" s="654"/>
      <c r="K34" s="653">
        <v>0</v>
      </c>
      <c r="L34" s="654"/>
    </row>
    <row r="35" spans="2:12" ht="27.75" customHeight="1" thickBot="1" x14ac:dyDescent="0.3">
      <c r="B35" s="413" t="s">
        <v>472</v>
      </c>
      <c r="C35" s="625">
        <v>0</v>
      </c>
      <c r="D35" s="626"/>
      <c r="E35" s="659">
        <v>0</v>
      </c>
      <c r="F35" s="660"/>
      <c r="G35" s="659">
        <v>0</v>
      </c>
      <c r="H35" s="660"/>
      <c r="I35" s="661">
        <v>0</v>
      </c>
      <c r="J35" s="662"/>
      <c r="K35" s="661">
        <v>0</v>
      </c>
      <c r="L35" s="662"/>
    </row>
    <row r="36" spans="2:12" ht="27.75" customHeight="1" thickTop="1" thickBot="1" x14ac:dyDescent="0.3">
      <c r="B36" s="410" t="s">
        <v>31</v>
      </c>
      <c r="C36" s="635">
        <f>C32+C33+C34+C35</f>
        <v>0</v>
      </c>
      <c r="D36" s="636"/>
      <c r="E36" s="663">
        <f>($C$32*E32)+($C$33*E33)+($C$34*E34)+($C$35*E35)</f>
        <v>0</v>
      </c>
      <c r="F36" s="664"/>
      <c r="G36" s="663">
        <f>($C$32*G32)+($C$33*G33)+($C$34*G34)+($C$35*G35)</f>
        <v>0</v>
      </c>
      <c r="H36" s="664"/>
      <c r="I36" s="663">
        <f>($C$32*I32)+($C$33*I33)+($C$34*I34)+($C$35*I35)</f>
        <v>0</v>
      </c>
      <c r="J36" s="664"/>
      <c r="K36" s="663">
        <f>($C$32*K32)+($C$33*K33)+($C$34*K34)+($C$35*K35)</f>
        <v>0</v>
      </c>
      <c r="L36" s="664"/>
    </row>
    <row r="37" spans="2:12" ht="27.75" customHeight="1" thickTop="1" thickBot="1" x14ac:dyDescent="0.3">
      <c r="B37" s="414"/>
      <c r="C37" s="631" t="s">
        <v>3</v>
      </c>
      <c r="D37" s="632"/>
      <c r="E37" s="633">
        <f>($E$36*12)</f>
        <v>0</v>
      </c>
      <c r="F37" s="634"/>
      <c r="G37" s="633">
        <f>(G36*12)</f>
        <v>0</v>
      </c>
      <c r="H37" s="634"/>
      <c r="I37" s="633">
        <f>(I36*12)</f>
        <v>0</v>
      </c>
      <c r="J37" s="634"/>
      <c r="K37" s="633">
        <f>(K36*12)</f>
        <v>0</v>
      </c>
      <c r="L37" s="634"/>
    </row>
    <row r="38" spans="2:12" ht="27.75" customHeight="1" x14ac:dyDescent="0.25">
      <c r="B38" s="415"/>
      <c r="C38" s="639" t="s">
        <v>476</v>
      </c>
      <c r="D38" s="640"/>
      <c r="E38" s="643">
        <v>0</v>
      </c>
      <c r="F38" s="644"/>
      <c r="G38" s="643">
        <f>($G$37-E37)</f>
        <v>0</v>
      </c>
      <c r="H38" s="644"/>
      <c r="I38" s="643">
        <f>($I$37-E37)</f>
        <v>0</v>
      </c>
      <c r="J38" s="644"/>
      <c r="K38" s="643">
        <f>($I$37-G37)</f>
        <v>0</v>
      </c>
      <c r="L38" s="644"/>
    </row>
    <row r="39" spans="2:12" ht="27.75" customHeight="1" thickBot="1" x14ac:dyDescent="0.3">
      <c r="B39" s="416"/>
      <c r="C39" s="645" t="s">
        <v>477</v>
      </c>
      <c r="D39" s="646"/>
      <c r="E39" s="665">
        <v>0</v>
      </c>
      <c r="F39" s="666"/>
      <c r="G39" s="667" t="e">
        <f>($G$38/E37)</f>
        <v>#DIV/0!</v>
      </c>
      <c r="H39" s="668"/>
      <c r="I39" s="667" t="e">
        <f>($I$38/E37)</f>
        <v>#DIV/0!</v>
      </c>
      <c r="J39" s="668"/>
      <c r="K39" s="667" t="e">
        <f>($K$38/G37)</f>
        <v>#DIV/0!</v>
      </c>
      <c r="L39" s="668"/>
    </row>
    <row r="40" spans="2:12" ht="21" thickTop="1" x14ac:dyDescent="0.25">
      <c r="B40" s="430" t="s">
        <v>486</v>
      </c>
    </row>
    <row r="45" spans="2:12" x14ac:dyDescent="0.25">
      <c r="C45" s="400" t="s">
        <v>478</v>
      </c>
      <c r="E45" s="400">
        <f>(C36+C21)</f>
        <v>0</v>
      </c>
    </row>
    <row r="46" spans="2:12" x14ac:dyDescent="0.25">
      <c r="C46" s="400"/>
    </row>
    <row r="47" spans="2:12" x14ac:dyDescent="0.25">
      <c r="C47" s="400" t="s">
        <v>494</v>
      </c>
    </row>
    <row r="48" spans="2:12" x14ac:dyDescent="0.25">
      <c r="C48" s="400" t="s">
        <v>479</v>
      </c>
      <c r="E48" s="431">
        <f>(E36+E21)</f>
        <v>0</v>
      </c>
    </row>
    <row r="49" spans="3:7" x14ac:dyDescent="0.25">
      <c r="C49" s="400" t="s">
        <v>481</v>
      </c>
      <c r="E49" s="431">
        <f>(G36+G21)</f>
        <v>0</v>
      </c>
    </row>
    <row r="50" spans="3:7" x14ac:dyDescent="0.25">
      <c r="C50" s="400"/>
      <c r="E50" s="431"/>
    </row>
    <row r="51" spans="3:7" x14ac:dyDescent="0.25">
      <c r="C51" s="400" t="s">
        <v>480</v>
      </c>
      <c r="E51" s="431">
        <f>E48*12</f>
        <v>0</v>
      </c>
    </row>
    <row r="52" spans="3:7" x14ac:dyDescent="0.25">
      <c r="C52" s="400" t="s">
        <v>483</v>
      </c>
      <c r="E52" s="431">
        <f>E49*12</f>
        <v>0</v>
      </c>
      <c r="F52" s="432"/>
    </row>
    <row r="53" spans="3:7" x14ac:dyDescent="0.25">
      <c r="C53" s="400"/>
      <c r="E53" s="400"/>
    </row>
    <row r="54" spans="3:7" x14ac:dyDescent="0.25">
      <c r="C54" s="400" t="s">
        <v>482</v>
      </c>
      <c r="E54" s="400"/>
    </row>
    <row r="55" spans="3:7" x14ac:dyDescent="0.25">
      <c r="C55" s="400" t="s">
        <v>487</v>
      </c>
      <c r="E55" s="431">
        <f>I36+I21</f>
        <v>0</v>
      </c>
    </row>
    <row r="56" spans="3:7" x14ac:dyDescent="0.25">
      <c r="C56" s="433" t="s">
        <v>488</v>
      </c>
      <c r="D56" s="434"/>
      <c r="E56" s="435">
        <f>E55*12</f>
        <v>0</v>
      </c>
      <c r="F56" s="436"/>
      <c r="G56" s="437">
        <f>E56-E52</f>
        <v>0</v>
      </c>
    </row>
    <row r="57" spans="3:7" x14ac:dyDescent="0.25">
      <c r="C57" s="400"/>
      <c r="E57" s="400"/>
    </row>
    <row r="58" spans="3:7" x14ac:dyDescent="0.25">
      <c r="C58" s="400" t="s">
        <v>495</v>
      </c>
      <c r="D58" s="400"/>
      <c r="E58" s="431">
        <f>E56-E55</f>
        <v>0</v>
      </c>
    </row>
    <row r="59" spans="3:7" x14ac:dyDescent="0.25">
      <c r="C59" s="400" t="s">
        <v>484</v>
      </c>
      <c r="E59" s="400"/>
    </row>
    <row r="60" spans="3:7" x14ac:dyDescent="0.25">
      <c r="C60" s="433" t="s">
        <v>489</v>
      </c>
      <c r="D60" s="434"/>
      <c r="E60" s="433"/>
      <c r="F60" s="434"/>
      <c r="G60" s="437">
        <f>E58-E52</f>
        <v>0</v>
      </c>
    </row>
    <row r="61" spans="3:7" x14ac:dyDescent="0.25">
      <c r="E61" s="431">
        <f>E58-E51</f>
        <v>0</v>
      </c>
      <c r="F61" s="400"/>
    </row>
    <row r="62" spans="3:7" x14ac:dyDescent="0.25">
      <c r="D62" s="400" t="s">
        <v>485</v>
      </c>
      <c r="E62" s="438" t="e">
        <f>E61/E51</f>
        <v>#DIV/0!</v>
      </c>
    </row>
    <row r="66" spans="3:3" x14ac:dyDescent="0.25">
      <c r="C66" s="439" t="s">
        <v>486</v>
      </c>
    </row>
  </sheetData>
  <mergeCells count="92">
    <mergeCell ref="C38:D38"/>
    <mergeCell ref="E38:F38"/>
    <mergeCell ref="G38:H38"/>
    <mergeCell ref="I38:J38"/>
    <mergeCell ref="K38:L38"/>
    <mergeCell ref="C39:D39"/>
    <mergeCell ref="E39:F39"/>
    <mergeCell ref="G39:H39"/>
    <mergeCell ref="I39:J39"/>
    <mergeCell ref="K39:L39"/>
    <mergeCell ref="C36:D36"/>
    <mergeCell ref="E36:F36"/>
    <mergeCell ref="G36:H36"/>
    <mergeCell ref="I36:J36"/>
    <mergeCell ref="K36:L36"/>
    <mergeCell ref="C37:D37"/>
    <mergeCell ref="E37:F37"/>
    <mergeCell ref="G37:H37"/>
    <mergeCell ref="I37:J37"/>
    <mergeCell ref="K37:L37"/>
    <mergeCell ref="C34:D34"/>
    <mergeCell ref="E34:F34"/>
    <mergeCell ref="G34:H34"/>
    <mergeCell ref="I34:J34"/>
    <mergeCell ref="K34:L34"/>
    <mergeCell ref="C35:D35"/>
    <mergeCell ref="E35:F35"/>
    <mergeCell ref="G35:H35"/>
    <mergeCell ref="I35:J35"/>
    <mergeCell ref="K35:L35"/>
    <mergeCell ref="C32:D32"/>
    <mergeCell ref="E32:F32"/>
    <mergeCell ref="G32:H32"/>
    <mergeCell ref="I32:J32"/>
    <mergeCell ref="K32:L32"/>
    <mergeCell ref="C33:D33"/>
    <mergeCell ref="E33:F33"/>
    <mergeCell ref="G33:H33"/>
    <mergeCell ref="I33:J33"/>
    <mergeCell ref="K33:L33"/>
    <mergeCell ref="B29:B31"/>
    <mergeCell ref="C29:D31"/>
    <mergeCell ref="E29:F31"/>
    <mergeCell ref="G29:H31"/>
    <mergeCell ref="I29:J31"/>
    <mergeCell ref="K29:L31"/>
    <mergeCell ref="C23:D23"/>
    <mergeCell ref="E23:F23"/>
    <mergeCell ref="G23:H23"/>
    <mergeCell ref="I23:J23"/>
    <mergeCell ref="K23:L23"/>
    <mergeCell ref="C24:D24"/>
    <mergeCell ref="E24:F24"/>
    <mergeCell ref="G24:H24"/>
    <mergeCell ref="I24:J24"/>
    <mergeCell ref="K24:L24"/>
    <mergeCell ref="C21:D21"/>
    <mergeCell ref="E21:F21"/>
    <mergeCell ref="G21:H21"/>
    <mergeCell ref="I21:J21"/>
    <mergeCell ref="K21:L21"/>
    <mergeCell ref="C22:D22"/>
    <mergeCell ref="E22:F22"/>
    <mergeCell ref="G22:H22"/>
    <mergeCell ref="I22:J22"/>
    <mergeCell ref="K22:L22"/>
    <mergeCell ref="C19:D19"/>
    <mergeCell ref="E19:F19"/>
    <mergeCell ref="G19:H19"/>
    <mergeCell ref="I19:J19"/>
    <mergeCell ref="K19:L19"/>
    <mergeCell ref="C20:D20"/>
    <mergeCell ref="E20:F20"/>
    <mergeCell ref="G20:H20"/>
    <mergeCell ref="I20:J20"/>
    <mergeCell ref="K20:L20"/>
    <mergeCell ref="C17:D17"/>
    <mergeCell ref="E17:F17"/>
    <mergeCell ref="G17:H17"/>
    <mergeCell ref="I17:J17"/>
    <mergeCell ref="K17:L17"/>
    <mergeCell ref="C18:D18"/>
    <mergeCell ref="E18:F18"/>
    <mergeCell ref="G18:H18"/>
    <mergeCell ref="I18:J18"/>
    <mergeCell ref="K18:L18"/>
    <mergeCell ref="K14:L16"/>
    <mergeCell ref="B14:B16"/>
    <mergeCell ref="C14:D16"/>
    <mergeCell ref="E14:F16"/>
    <mergeCell ref="G14:H16"/>
    <mergeCell ref="I14:J16"/>
  </mergeCells>
  <printOptions horizontalCentered="1"/>
  <pageMargins left="0.7" right="0.7" top="0.75" bottom="0.75" header="0.3" footer="0.3"/>
  <pageSetup scale="40" fitToHeight="0" orientation="landscape" r:id="rId1"/>
  <headerFooter>
    <oddFooter xml:space="preserve">&amp;C
</oddFooter>
  </headerFooter>
  <rowBreaks count="1" manualBreakCount="1">
    <brk id="40" min="1" max="1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7CC3F-985D-4624-B612-45BD768E3A27}">
  <sheetPr>
    <pageSetUpPr fitToPage="1"/>
  </sheetPr>
  <dimension ref="B3:L104"/>
  <sheetViews>
    <sheetView showGridLines="0" showWhiteSpace="0" topLeftCell="A78" zoomScale="55" zoomScaleNormal="55" zoomScaleSheetLayoutView="40" workbookViewId="0">
      <selection activeCell="E101" sqref="E101"/>
    </sheetView>
  </sheetViews>
  <sheetFormatPr defaultColWidth="9.21875" defaultRowHeight="20.399999999999999" outlineLevelRow="1" x14ac:dyDescent="0.25"/>
  <cols>
    <col min="1" max="1" width="1.77734375" style="442" customWidth="1"/>
    <col min="2" max="2" width="41.21875" style="442" customWidth="1"/>
    <col min="3" max="3" width="27" style="442" customWidth="1"/>
    <col min="4" max="4" width="32.77734375" style="442" customWidth="1"/>
    <col min="5" max="5" width="27.5546875" style="442" customWidth="1"/>
    <col min="6" max="6" width="23" style="442" customWidth="1"/>
    <col min="7" max="7" width="31" style="442" customWidth="1" collapsed="1"/>
    <col min="8" max="8" width="25.77734375" style="442" customWidth="1"/>
    <col min="9" max="9" width="24.21875" style="442" customWidth="1" collapsed="1"/>
    <col min="10" max="10" width="23.5546875" style="442" customWidth="1"/>
    <col min="11" max="11" width="29.44140625" style="442" customWidth="1" collapsed="1"/>
    <col min="12" max="12" width="17.88671875" style="442" customWidth="1"/>
    <col min="13" max="16384" width="9.21875" style="442"/>
  </cols>
  <sheetData>
    <row r="3" spans="2:12" ht="27.6" x14ac:dyDescent="0.25">
      <c r="F3" s="443"/>
    </row>
    <row r="8" spans="2:12" ht="21" thickBot="1" x14ac:dyDescent="0.3">
      <c r="B8" s="444" t="s">
        <v>474</v>
      </c>
    </row>
    <row r="9" spans="2:12" ht="24" customHeight="1" thickTop="1" x14ac:dyDescent="0.25">
      <c r="B9" s="669" t="s">
        <v>473</v>
      </c>
      <c r="C9" s="672" t="s">
        <v>468</v>
      </c>
      <c r="D9" s="673"/>
      <c r="E9" s="678" t="s">
        <v>509</v>
      </c>
      <c r="F9" s="679"/>
      <c r="G9" s="678" t="s">
        <v>510</v>
      </c>
      <c r="H9" s="679"/>
      <c r="I9" s="678" t="s">
        <v>511</v>
      </c>
      <c r="J9" s="679"/>
      <c r="K9" s="678" t="s">
        <v>512</v>
      </c>
      <c r="L9" s="679"/>
    </row>
    <row r="10" spans="2:12" x14ac:dyDescent="0.25">
      <c r="B10" s="670"/>
      <c r="C10" s="674"/>
      <c r="D10" s="675"/>
      <c r="E10" s="680"/>
      <c r="F10" s="681"/>
      <c r="G10" s="680"/>
      <c r="H10" s="681"/>
      <c r="I10" s="680"/>
      <c r="J10" s="681"/>
      <c r="K10" s="680"/>
      <c r="L10" s="681"/>
    </row>
    <row r="11" spans="2:12" ht="17.25" customHeight="1" thickBot="1" x14ac:dyDescent="0.3">
      <c r="B11" s="671"/>
      <c r="C11" s="676"/>
      <c r="D11" s="677"/>
      <c r="E11" s="682"/>
      <c r="F11" s="683"/>
      <c r="G11" s="682"/>
      <c r="H11" s="683"/>
      <c r="I11" s="682"/>
      <c r="J11" s="683"/>
      <c r="K11" s="682"/>
      <c r="L11" s="683"/>
    </row>
    <row r="12" spans="2:12" s="446" customFormat="1" ht="49.5" customHeight="1" thickTop="1" x14ac:dyDescent="0.25">
      <c r="B12" s="445" t="s">
        <v>469</v>
      </c>
      <c r="C12" s="684">
        <v>30</v>
      </c>
      <c r="D12" s="685"/>
      <c r="E12" s="686">
        <v>0</v>
      </c>
      <c r="F12" s="687"/>
      <c r="G12" s="686">
        <v>746.26</v>
      </c>
      <c r="H12" s="687"/>
      <c r="I12" s="688">
        <v>695.31</v>
      </c>
      <c r="J12" s="689"/>
      <c r="K12" s="688">
        <v>695.31</v>
      </c>
      <c r="L12" s="689"/>
    </row>
    <row r="13" spans="2:12" s="446" customFormat="1" ht="49.5" customHeight="1" x14ac:dyDescent="0.25">
      <c r="B13" s="447" t="s">
        <v>470</v>
      </c>
      <c r="C13" s="690">
        <v>6</v>
      </c>
      <c r="D13" s="691"/>
      <c r="E13" s="692">
        <v>0</v>
      </c>
      <c r="F13" s="693"/>
      <c r="G13" s="692">
        <v>1596.98</v>
      </c>
      <c r="H13" s="693"/>
      <c r="I13" s="694">
        <v>1487.97</v>
      </c>
      <c r="J13" s="695"/>
      <c r="K13" s="694">
        <v>1487.97</v>
      </c>
      <c r="L13" s="695"/>
    </row>
    <row r="14" spans="2:12" s="446" customFormat="1" ht="49.5" customHeight="1" x14ac:dyDescent="0.25">
      <c r="B14" s="448" t="s">
        <v>471</v>
      </c>
      <c r="C14" s="690">
        <v>2</v>
      </c>
      <c r="D14" s="691"/>
      <c r="E14" s="692">
        <v>0</v>
      </c>
      <c r="F14" s="693"/>
      <c r="G14" s="692">
        <v>1488.77</v>
      </c>
      <c r="H14" s="693"/>
      <c r="I14" s="688">
        <v>1387.15</v>
      </c>
      <c r="J14" s="689"/>
      <c r="K14" s="688">
        <v>1387.15</v>
      </c>
      <c r="L14" s="689"/>
    </row>
    <row r="15" spans="2:12" s="446" customFormat="1" ht="49.5" customHeight="1" thickBot="1" x14ac:dyDescent="0.3">
      <c r="B15" s="449" t="s">
        <v>472</v>
      </c>
      <c r="C15" s="696">
        <v>4</v>
      </c>
      <c r="D15" s="697"/>
      <c r="E15" s="698">
        <v>0</v>
      </c>
      <c r="F15" s="699"/>
      <c r="G15" s="698">
        <v>2313.39</v>
      </c>
      <c r="H15" s="699"/>
      <c r="I15" s="700">
        <v>2155.4699999999998</v>
      </c>
      <c r="J15" s="701"/>
      <c r="K15" s="700">
        <v>2155.4699999999998</v>
      </c>
      <c r="L15" s="701"/>
    </row>
    <row r="16" spans="2:12" s="446" customFormat="1" ht="49.5" customHeight="1" thickTop="1" thickBot="1" x14ac:dyDescent="0.3">
      <c r="B16" s="445" t="s">
        <v>31</v>
      </c>
      <c r="C16" s="706">
        <f>C12+C13+C14+C15</f>
        <v>42</v>
      </c>
      <c r="D16" s="707"/>
      <c r="E16" s="708">
        <f>($C$12*E12)+($C$13*E13)+($C$14*E14)+($C$15*E15)</f>
        <v>0</v>
      </c>
      <c r="F16" s="709"/>
      <c r="G16" s="708">
        <f>($C$12*G12)+($C$13*G13)+($C$14*G14)+($C$15*G15)</f>
        <v>44200.78</v>
      </c>
      <c r="H16" s="709"/>
      <c r="I16" s="708">
        <f>($C$12*I12)+($C$13*I13)+($C$14*I14)+($C$15*I15)</f>
        <v>41183.299999999996</v>
      </c>
      <c r="J16" s="709"/>
      <c r="K16" s="708">
        <f>($C$12*K12)+($C$13*K13)+($C$14*K14)+($C$15*K15)</f>
        <v>41183.299999999996</v>
      </c>
      <c r="L16" s="709"/>
    </row>
    <row r="17" spans="2:12" s="446" customFormat="1" ht="37.5" customHeight="1" thickTop="1" thickBot="1" x14ac:dyDescent="0.3">
      <c r="B17" s="450"/>
      <c r="C17" s="710" t="s">
        <v>3</v>
      </c>
      <c r="D17" s="711"/>
      <c r="E17" s="633">
        <f>($E$16*12)</f>
        <v>0</v>
      </c>
      <c r="F17" s="634"/>
      <c r="G17" s="633">
        <f>($G$16*12)</f>
        <v>530409.36</v>
      </c>
      <c r="H17" s="634"/>
      <c r="I17" s="633">
        <f>($I$16*12)</f>
        <v>494199.6</v>
      </c>
      <c r="J17" s="634"/>
      <c r="K17" s="633">
        <f>($I$16*12)</f>
        <v>494199.6</v>
      </c>
      <c r="L17" s="634"/>
    </row>
    <row r="18" spans="2:12" s="446" customFormat="1" ht="34.5" customHeight="1" x14ac:dyDescent="0.25">
      <c r="B18" s="451"/>
      <c r="C18" s="712" t="s">
        <v>476</v>
      </c>
      <c r="D18" s="713"/>
      <c r="E18" s="714">
        <v>0</v>
      </c>
      <c r="F18" s="715"/>
      <c r="G18" s="702">
        <f>($G$17-E17)</f>
        <v>530409.36</v>
      </c>
      <c r="H18" s="703"/>
      <c r="I18" s="702">
        <f>($I$17-E17)</f>
        <v>494199.6</v>
      </c>
      <c r="J18" s="703"/>
      <c r="K18" s="702">
        <f>($I$17-G17)</f>
        <v>-36209.760000000009</v>
      </c>
      <c r="L18" s="703"/>
    </row>
    <row r="19" spans="2:12" s="446" customFormat="1" ht="34.5" customHeight="1" thickBot="1" x14ac:dyDescent="0.3">
      <c r="B19" s="452"/>
      <c r="C19" s="704" t="s">
        <v>477</v>
      </c>
      <c r="D19" s="705"/>
      <c r="E19" s="647">
        <v>0</v>
      </c>
      <c r="F19" s="648"/>
      <c r="G19" s="649">
        <f>IF(E17 = 0, 0, $G$18 / E17)</f>
        <v>0</v>
      </c>
      <c r="H19" s="650"/>
      <c r="I19" s="649" t="e">
        <f>SUM($I$18/E17)</f>
        <v>#DIV/0!</v>
      </c>
      <c r="J19" s="650"/>
      <c r="K19" s="649">
        <f>SUM($K$18/G17)</f>
        <v>-6.8267573558656675E-2</v>
      </c>
      <c r="L19" s="650"/>
    </row>
    <row r="20" spans="2:12" ht="28.8" hidden="1" outlineLevel="1" thickTop="1" thickBot="1" x14ac:dyDescent="0.3">
      <c r="B20" s="453" t="s">
        <v>10</v>
      </c>
      <c r="C20" s="443"/>
      <c r="D20" s="443"/>
      <c r="E20" s="454" t="e">
        <f>SUM(#REF!-#REF!)</f>
        <v>#REF!</v>
      </c>
      <c r="F20" s="455"/>
      <c r="G20" s="456" t="e">
        <f>SUM(#REF!-#REF!)</f>
        <v>#REF!</v>
      </c>
      <c r="H20" s="457"/>
      <c r="I20" s="454" t="e">
        <f>SUM(#REF!-#REF!)</f>
        <v>#REF!</v>
      </c>
      <c r="J20" s="455"/>
      <c r="K20" s="454" t="e">
        <f>SUM(#REF!-#REF!)</f>
        <v>#REF!</v>
      </c>
      <c r="L20" s="455"/>
    </row>
    <row r="21" spans="2:12" ht="28.8" hidden="1" outlineLevel="1" thickTop="1" thickBot="1" x14ac:dyDescent="0.3">
      <c r="B21" s="422" t="s">
        <v>11</v>
      </c>
      <c r="C21" s="423"/>
      <c r="D21" s="458"/>
      <c r="E21" s="459" t="e">
        <f>SUM(E20/#REF!)</f>
        <v>#REF!</v>
      </c>
      <c r="F21" s="460"/>
      <c r="G21" s="461" t="e">
        <f>SUM(G20/#REF!)</f>
        <v>#REF!</v>
      </c>
      <c r="H21" s="462"/>
      <c r="I21" s="459" t="e">
        <f>SUM(I20/#REF!)</f>
        <v>#REF!</v>
      </c>
      <c r="J21" s="460"/>
      <c r="K21" s="459" t="e">
        <f>SUM(K20/#REF!)</f>
        <v>#REF!</v>
      </c>
      <c r="L21" s="425"/>
    </row>
    <row r="22" spans="2:12" ht="28.2" outlineLevel="1" thickTop="1" x14ac:dyDescent="0.25">
      <c r="B22" s="458"/>
      <c r="C22" s="458"/>
      <c r="D22" s="463"/>
      <c r="E22" s="464" t="s">
        <v>496</v>
      </c>
      <c r="F22" s="465" t="s">
        <v>497</v>
      </c>
      <c r="G22" s="465" t="s">
        <v>496</v>
      </c>
      <c r="H22" s="465" t="s">
        <v>497</v>
      </c>
      <c r="I22" s="718" t="s">
        <v>496</v>
      </c>
      <c r="J22" s="719"/>
      <c r="K22" s="465" t="s">
        <v>497</v>
      </c>
      <c r="L22" s="466"/>
    </row>
    <row r="23" spans="2:12" ht="27.6" outlineLevel="1" x14ac:dyDescent="0.25">
      <c r="B23" s="458"/>
      <c r="C23" s="458"/>
      <c r="D23" s="445" t="s">
        <v>469</v>
      </c>
      <c r="E23" s="467">
        <f>$E$12*0.6884</f>
        <v>0</v>
      </c>
      <c r="F23" s="468">
        <f>$E$12-$E$23</f>
        <v>0</v>
      </c>
      <c r="G23" s="468">
        <f>$G$12*0.6884</f>
        <v>513.72538399999996</v>
      </c>
      <c r="H23" s="468">
        <f>G12-G23</f>
        <v>232.53461600000003</v>
      </c>
      <c r="I23" s="720">
        <f>$I$12*0.6884</f>
        <v>478.65140399999996</v>
      </c>
      <c r="J23" s="721"/>
      <c r="K23" s="468">
        <f>I12-I23</f>
        <v>216.65859599999999</v>
      </c>
      <c r="L23" s="466"/>
    </row>
    <row r="24" spans="2:12" ht="27.6" outlineLevel="1" x14ac:dyDescent="0.25">
      <c r="B24" s="458"/>
      <c r="C24" s="458"/>
      <c r="D24" s="445" t="s">
        <v>470</v>
      </c>
      <c r="E24" s="467">
        <f>$E$13*0.59975</f>
        <v>0</v>
      </c>
      <c r="F24" s="468">
        <f>E13-E24</f>
        <v>0</v>
      </c>
      <c r="G24" s="468">
        <f>$G$13*0.59975</f>
        <v>957.78875500000004</v>
      </c>
      <c r="H24" s="468">
        <f>G13-G24</f>
        <v>639.19124499999998</v>
      </c>
      <c r="I24" s="720">
        <f>$I$13*0.59975</f>
        <v>892.41000750000001</v>
      </c>
      <c r="J24" s="721"/>
      <c r="K24" s="468">
        <f>I13-I24</f>
        <v>595.55999250000002</v>
      </c>
      <c r="L24" s="466"/>
    </row>
    <row r="25" spans="2:12" ht="27.6" outlineLevel="1" x14ac:dyDescent="0.25">
      <c r="B25" s="458"/>
      <c r="C25" s="458"/>
      <c r="D25" s="445" t="s">
        <v>471</v>
      </c>
      <c r="E25" s="467">
        <f>$E$14*0.59975</f>
        <v>0</v>
      </c>
      <c r="F25" s="468">
        <f>E14-E25</f>
        <v>0</v>
      </c>
      <c r="G25" s="468">
        <f>$G$14*0.59975</f>
        <v>892.88980749999996</v>
      </c>
      <c r="H25" s="468">
        <f>G14-G25</f>
        <v>595.88019250000002</v>
      </c>
      <c r="I25" s="720">
        <f>$I$14*0.59975</f>
        <v>831.94321250000007</v>
      </c>
      <c r="J25" s="721"/>
      <c r="K25" s="468">
        <f>I14-I25</f>
        <v>555.20678750000002</v>
      </c>
      <c r="L25" s="466"/>
    </row>
    <row r="26" spans="2:12" ht="28.2" outlineLevel="1" thickBot="1" x14ac:dyDescent="0.3">
      <c r="B26" s="458"/>
      <c r="C26" s="458"/>
      <c r="D26" s="470" t="s">
        <v>472</v>
      </c>
      <c r="E26" s="471">
        <f>$E$15*0.59975</f>
        <v>0</v>
      </c>
      <c r="F26" s="472">
        <f>E15-E26</f>
        <v>0</v>
      </c>
      <c r="G26" s="472">
        <f>$G$15*0.59975</f>
        <v>1387.4556525</v>
      </c>
      <c r="H26" s="472">
        <f>G15-G26</f>
        <v>925.93434749999983</v>
      </c>
      <c r="I26" s="722">
        <f>$I$15*0.59975</f>
        <v>1292.7431325</v>
      </c>
      <c r="J26" s="723"/>
      <c r="K26" s="472">
        <f>I15-I26</f>
        <v>862.7268674999998</v>
      </c>
      <c r="L26" s="466"/>
    </row>
    <row r="27" spans="2:12" ht="28.2" thickTop="1" x14ac:dyDescent="0.25">
      <c r="B27" s="473" t="s">
        <v>486</v>
      </c>
      <c r="C27" s="443"/>
      <c r="D27" s="443"/>
      <c r="E27" s="474"/>
      <c r="F27" s="474"/>
      <c r="G27" s="475"/>
      <c r="H27" s="475"/>
      <c r="I27" s="475"/>
      <c r="J27" s="475"/>
      <c r="K27" s="475"/>
      <c r="L27" s="475"/>
    </row>
    <row r="28" spans="2:12" ht="17.25" customHeight="1" thickBot="1" x14ac:dyDescent="0.3">
      <c r="B28" s="442" t="s">
        <v>475</v>
      </c>
    </row>
    <row r="29" spans="2:12" ht="27.75" customHeight="1" thickTop="1" x14ac:dyDescent="0.25">
      <c r="B29" s="669" t="s">
        <v>473</v>
      </c>
      <c r="C29" s="672" t="s">
        <v>468</v>
      </c>
      <c r="D29" s="673"/>
      <c r="E29" s="678" t="s">
        <v>509</v>
      </c>
      <c r="F29" s="679"/>
      <c r="G29" s="678" t="s">
        <v>510</v>
      </c>
      <c r="H29" s="679"/>
      <c r="I29" s="678" t="s">
        <v>511</v>
      </c>
      <c r="J29" s="679"/>
      <c r="K29" s="678" t="s">
        <v>512</v>
      </c>
      <c r="L29" s="679"/>
    </row>
    <row r="30" spans="2:12" ht="27.75" customHeight="1" x14ac:dyDescent="0.25">
      <c r="B30" s="670"/>
      <c r="C30" s="674"/>
      <c r="D30" s="675"/>
      <c r="E30" s="680"/>
      <c r="F30" s="681"/>
      <c r="G30" s="680"/>
      <c r="H30" s="681"/>
      <c r="I30" s="680"/>
      <c r="J30" s="681"/>
      <c r="K30" s="680"/>
      <c r="L30" s="681"/>
    </row>
    <row r="31" spans="2:12" ht="27.75" customHeight="1" thickBot="1" x14ac:dyDescent="0.3">
      <c r="B31" s="671"/>
      <c r="C31" s="676"/>
      <c r="D31" s="677"/>
      <c r="E31" s="682"/>
      <c r="F31" s="683"/>
      <c r="G31" s="682"/>
      <c r="H31" s="683"/>
      <c r="I31" s="682"/>
      <c r="J31" s="683"/>
      <c r="K31" s="682"/>
      <c r="L31" s="683"/>
    </row>
    <row r="32" spans="2:12" s="446" customFormat="1" ht="27.75" customHeight="1" thickTop="1" x14ac:dyDescent="0.25">
      <c r="B32" s="445" t="s">
        <v>469</v>
      </c>
      <c r="C32" s="684">
        <v>19</v>
      </c>
      <c r="D32" s="685"/>
      <c r="E32" s="716">
        <v>0</v>
      </c>
      <c r="F32" s="717"/>
      <c r="G32" s="716">
        <v>497.2</v>
      </c>
      <c r="H32" s="717"/>
      <c r="I32" s="688">
        <v>515.17999999999995</v>
      </c>
      <c r="J32" s="689"/>
      <c r="K32" s="688">
        <v>515.17999999999995</v>
      </c>
      <c r="L32" s="689"/>
    </row>
    <row r="33" spans="2:12" s="446" customFormat="1" ht="27.75" customHeight="1" x14ac:dyDescent="0.25">
      <c r="B33" s="447" t="s">
        <v>470</v>
      </c>
      <c r="C33" s="690">
        <v>2</v>
      </c>
      <c r="D33" s="691"/>
      <c r="E33" s="724">
        <v>0</v>
      </c>
      <c r="F33" s="725"/>
      <c r="G33" s="724">
        <v>1063.99</v>
      </c>
      <c r="H33" s="725"/>
      <c r="I33" s="694">
        <v>1102.49</v>
      </c>
      <c r="J33" s="695"/>
      <c r="K33" s="694">
        <v>1102.49</v>
      </c>
      <c r="L33" s="695"/>
    </row>
    <row r="34" spans="2:12" s="446" customFormat="1" ht="27.75" customHeight="1" x14ac:dyDescent="0.25">
      <c r="B34" s="448" t="s">
        <v>471</v>
      </c>
      <c r="C34" s="690">
        <v>3</v>
      </c>
      <c r="D34" s="691"/>
      <c r="E34" s="724">
        <v>0</v>
      </c>
      <c r="F34" s="725"/>
      <c r="G34" s="724">
        <v>991.9</v>
      </c>
      <c r="H34" s="725"/>
      <c r="I34" s="688">
        <v>1027.79</v>
      </c>
      <c r="J34" s="689"/>
      <c r="K34" s="688">
        <v>1027.79</v>
      </c>
      <c r="L34" s="689"/>
    </row>
    <row r="35" spans="2:12" s="446" customFormat="1" ht="27.75" customHeight="1" thickBot="1" x14ac:dyDescent="0.3">
      <c r="B35" s="449" t="s">
        <v>472</v>
      </c>
      <c r="C35" s="696">
        <v>1</v>
      </c>
      <c r="D35" s="697"/>
      <c r="E35" s="726">
        <v>0</v>
      </c>
      <c r="F35" s="727"/>
      <c r="G35" s="726">
        <v>1541.3</v>
      </c>
      <c r="H35" s="727"/>
      <c r="I35" s="700">
        <v>1597.07</v>
      </c>
      <c r="J35" s="701"/>
      <c r="K35" s="700">
        <v>1597.07</v>
      </c>
      <c r="L35" s="701"/>
    </row>
    <row r="36" spans="2:12" s="446" customFormat="1" ht="26.55" customHeight="1" thickTop="1" thickBot="1" x14ac:dyDescent="0.3">
      <c r="B36" s="445" t="s">
        <v>31</v>
      </c>
      <c r="C36" s="706">
        <f>C32+C33+C34+C35</f>
        <v>25</v>
      </c>
      <c r="D36" s="707"/>
      <c r="E36" s="728">
        <f>($C$32*E32)+($C$33*E33)+($C$34*E34)+($C$35*E35)</f>
        <v>0</v>
      </c>
      <c r="F36" s="729"/>
      <c r="G36" s="728">
        <f>($C$32*G32)+($C$33*G33)+($C$34*G34)+($C$35*G35)</f>
        <v>16091.779999999999</v>
      </c>
      <c r="H36" s="729"/>
      <c r="I36" s="728">
        <f>($C$32*I32)+($C$33*I33)+($C$34*I34)+($C$35*I35)</f>
        <v>16673.839999999997</v>
      </c>
      <c r="J36" s="729"/>
      <c r="K36" s="728">
        <f>($C$32*K32)+($C$33*K33)+($C$34*K34)+($C$35*K35)</f>
        <v>16673.839999999997</v>
      </c>
      <c r="L36" s="729"/>
    </row>
    <row r="37" spans="2:12" s="446" customFormat="1" ht="27.75" customHeight="1" thickTop="1" thickBot="1" x14ac:dyDescent="0.3">
      <c r="B37" s="450"/>
      <c r="C37" s="710" t="s">
        <v>3</v>
      </c>
      <c r="D37" s="711"/>
      <c r="E37" s="633">
        <f>($E$36*12)</f>
        <v>0</v>
      </c>
      <c r="F37" s="634"/>
      <c r="G37" s="633">
        <f>(G36*12)</f>
        <v>193101.36</v>
      </c>
      <c r="H37" s="634"/>
      <c r="I37" s="633">
        <f>(I36*12)</f>
        <v>200086.07999999996</v>
      </c>
      <c r="J37" s="634"/>
      <c r="K37" s="633">
        <f>(K36*12)</f>
        <v>200086.07999999996</v>
      </c>
      <c r="L37" s="634"/>
    </row>
    <row r="38" spans="2:12" s="446" customFormat="1" ht="27.75" customHeight="1" x14ac:dyDescent="0.25">
      <c r="B38" s="451"/>
      <c r="C38" s="712" t="s">
        <v>476</v>
      </c>
      <c r="D38" s="713"/>
      <c r="E38" s="702">
        <v>0</v>
      </c>
      <c r="F38" s="703"/>
      <c r="G38" s="702">
        <f>($G$37-E37)</f>
        <v>193101.36</v>
      </c>
      <c r="H38" s="703"/>
      <c r="I38" s="702">
        <f>($I$37-E37)</f>
        <v>200086.07999999996</v>
      </c>
      <c r="J38" s="703"/>
      <c r="K38" s="702">
        <f>($K37-G37)</f>
        <v>6984.7199999999721</v>
      </c>
      <c r="L38" s="703"/>
    </row>
    <row r="39" spans="2:12" s="446" customFormat="1" ht="27.75" customHeight="1" thickBot="1" x14ac:dyDescent="0.3">
      <c r="B39" s="452"/>
      <c r="C39" s="704" t="s">
        <v>477</v>
      </c>
      <c r="D39" s="705"/>
      <c r="E39" s="665">
        <v>0</v>
      </c>
      <c r="F39" s="666"/>
      <c r="G39" s="667" t="e">
        <f>($G$38/E37)</f>
        <v>#DIV/0!</v>
      </c>
      <c r="H39" s="668"/>
      <c r="I39" s="667" t="e">
        <f>($I$38/E37)</f>
        <v>#DIV/0!</v>
      </c>
      <c r="J39" s="668"/>
      <c r="K39" s="667">
        <f>($K$38/G37)</f>
        <v>3.6171262594939635E-2</v>
      </c>
      <c r="L39" s="668"/>
    </row>
    <row r="40" spans="2:12" ht="28.2" outlineLevel="1" thickTop="1" x14ac:dyDescent="0.25">
      <c r="B40" s="458"/>
      <c r="C40" s="458"/>
      <c r="D40" s="476"/>
      <c r="E40" s="464" t="s">
        <v>496</v>
      </c>
      <c r="F40" s="465" t="s">
        <v>497</v>
      </c>
      <c r="G40" s="465" t="s">
        <v>496</v>
      </c>
      <c r="H40" s="465" t="s">
        <v>497</v>
      </c>
      <c r="I40" s="718" t="s">
        <v>496</v>
      </c>
      <c r="J40" s="719"/>
      <c r="K40" s="465" t="s">
        <v>497</v>
      </c>
      <c r="L40" s="466"/>
    </row>
    <row r="41" spans="2:12" ht="27.6" outlineLevel="1" x14ac:dyDescent="0.25">
      <c r="B41" s="458"/>
      <c r="C41" s="458"/>
      <c r="D41" s="477" t="s">
        <v>469</v>
      </c>
      <c r="E41" s="467">
        <f>E32*0.6884</f>
        <v>0</v>
      </c>
      <c r="F41" s="468">
        <f>E32-E41</f>
        <v>0</v>
      </c>
      <c r="G41" s="468">
        <f>G32*0.6884</f>
        <v>342.27247999999997</v>
      </c>
      <c r="H41" s="468">
        <f>G32-G41</f>
        <v>154.92752000000002</v>
      </c>
      <c r="I41" s="720">
        <f>I32*0.6884</f>
        <v>354.64991199999997</v>
      </c>
      <c r="J41" s="721"/>
      <c r="K41" s="468">
        <f>I32-I41</f>
        <v>160.53008799999998</v>
      </c>
      <c r="L41" s="466"/>
    </row>
    <row r="42" spans="2:12" ht="27.6" outlineLevel="1" x14ac:dyDescent="0.25">
      <c r="B42" s="458"/>
      <c r="C42" s="458"/>
      <c r="D42" s="477" t="s">
        <v>470</v>
      </c>
      <c r="E42" s="467">
        <f>E33*0.59975</f>
        <v>0</v>
      </c>
      <c r="F42" s="468">
        <f t="shared" ref="F42:F44" si="0">E33-E42</f>
        <v>0</v>
      </c>
      <c r="G42" s="468">
        <f>G33*0.59975</f>
        <v>638.12800249999998</v>
      </c>
      <c r="H42" s="468">
        <f t="shared" ref="H42:H44" si="1">G33-G42</f>
        <v>425.86199750000003</v>
      </c>
      <c r="I42" s="720">
        <f>I33*0.59975</f>
        <v>661.21837749999997</v>
      </c>
      <c r="J42" s="721"/>
      <c r="K42" s="468">
        <f>I33-I42</f>
        <v>441.27162250000003</v>
      </c>
      <c r="L42" s="466"/>
    </row>
    <row r="43" spans="2:12" ht="27.6" outlineLevel="1" x14ac:dyDescent="0.25">
      <c r="B43" s="458"/>
      <c r="C43" s="458"/>
      <c r="D43" s="477" t="s">
        <v>471</v>
      </c>
      <c r="E43" s="467">
        <f>E34*0.59975</f>
        <v>0</v>
      </c>
      <c r="F43" s="468">
        <f t="shared" si="0"/>
        <v>0</v>
      </c>
      <c r="G43" s="468">
        <f>G34*0.59975</f>
        <v>594.89202499999999</v>
      </c>
      <c r="H43" s="468">
        <f t="shared" si="1"/>
        <v>397.00797499999999</v>
      </c>
      <c r="I43" s="720">
        <f>I34*0.59975</f>
        <v>616.41705249999995</v>
      </c>
      <c r="J43" s="721"/>
      <c r="K43" s="468">
        <f>I34-I43</f>
        <v>411.37294750000001</v>
      </c>
      <c r="L43" s="466"/>
    </row>
    <row r="44" spans="2:12" ht="28.2" outlineLevel="1" thickBot="1" x14ac:dyDescent="0.3">
      <c r="B44" s="458"/>
      <c r="C44" s="458"/>
      <c r="D44" s="449" t="s">
        <v>472</v>
      </c>
      <c r="E44" s="471">
        <f>E35*0.59975</f>
        <v>0</v>
      </c>
      <c r="F44" s="468">
        <f t="shared" si="0"/>
        <v>0</v>
      </c>
      <c r="G44" s="472">
        <f>G35*0.59975</f>
        <v>924.39467500000001</v>
      </c>
      <c r="H44" s="468">
        <f t="shared" si="1"/>
        <v>616.90532499999995</v>
      </c>
      <c r="I44" s="722">
        <f>I35*0.59975</f>
        <v>957.84273250000001</v>
      </c>
      <c r="J44" s="723"/>
      <c r="K44" s="472">
        <f>I35-I44</f>
        <v>639.22726749999993</v>
      </c>
      <c r="L44" s="466"/>
    </row>
    <row r="45" spans="2:12" ht="21" thickTop="1" x14ac:dyDescent="0.25">
      <c r="B45" s="473" t="s">
        <v>486</v>
      </c>
      <c r="F45" s="478"/>
      <c r="H45" s="478"/>
    </row>
    <row r="47" spans="2:12" ht="21" thickBot="1" x14ac:dyDescent="0.3">
      <c r="B47" s="442" t="s">
        <v>498</v>
      </c>
    </row>
    <row r="48" spans="2:12" ht="30.75" customHeight="1" thickTop="1" x14ac:dyDescent="0.25">
      <c r="B48" s="669" t="s">
        <v>473</v>
      </c>
      <c r="C48" s="672" t="s">
        <v>468</v>
      </c>
      <c r="D48" s="673"/>
      <c r="E48" s="678" t="s">
        <v>509</v>
      </c>
      <c r="F48" s="679"/>
      <c r="G48" s="678" t="s">
        <v>510</v>
      </c>
      <c r="H48" s="679"/>
      <c r="I48" s="678" t="s">
        <v>511</v>
      </c>
      <c r="J48" s="679"/>
      <c r="K48" s="678" t="s">
        <v>512</v>
      </c>
      <c r="L48" s="679"/>
    </row>
    <row r="49" spans="2:12" ht="30.75" customHeight="1" x14ac:dyDescent="0.25">
      <c r="B49" s="670"/>
      <c r="C49" s="674"/>
      <c r="D49" s="675"/>
      <c r="E49" s="680"/>
      <c r="F49" s="681"/>
      <c r="G49" s="680"/>
      <c r="H49" s="681"/>
      <c r="I49" s="680"/>
      <c r="J49" s="681"/>
      <c r="K49" s="680"/>
      <c r="L49" s="681"/>
    </row>
    <row r="50" spans="2:12" ht="30.75" customHeight="1" thickBot="1" x14ac:dyDescent="0.3">
      <c r="B50" s="671"/>
      <c r="C50" s="676"/>
      <c r="D50" s="677"/>
      <c r="E50" s="682"/>
      <c r="F50" s="683"/>
      <c r="G50" s="682"/>
      <c r="H50" s="683"/>
      <c r="I50" s="682"/>
      <c r="J50" s="683"/>
      <c r="K50" s="682"/>
      <c r="L50" s="683"/>
    </row>
    <row r="51" spans="2:12" ht="30.75" customHeight="1" thickTop="1" x14ac:dyDescent="0.25">
      <c r="B51" s="445" t="s">
        <v>469</v>
      </c>
      <c r="C51" s="684">
        <v>42</v>
      </c>
      <c r="D51" s="685"/>
      <c r="E51" s="716">
        <v>0</v>
      </c>
      <c r="F51" s="717"/>
      <c r="G51" s="716">
        <v>563.86</v>
      </c>
      <c r="H51" s="717"/>
      <c r="I51" s="730">
        <v>591.28</v>
      </c>
      <c r="J51" s="731"/>
      <c r="K51" s="730">
        <v>591.28</v>
      </c>
      <c r="L51" s="731"/>
    </row>
    <row r="52" spans="2:12" ht="30.75" customHeight="1" x14ac:dyDescent="0.25">
      <c r="B52" s="447" t="s">
        <v>470</v>
      </c>
      <c r="C52" s="690">
        <v>8</v>
      </c>
      <c r="D52" s="691"/>
      <c r="E52" s="724">
        <v>0</v>
      </c>
      <c r="F52" s="725"/>
      <c r="G52" s="724">
        <v>1206.6600000000001</v>
      </c>
      <c r="H52" s="725"/>
      <c r="I52" s="694">
        <v>1265.3399999999999</v>
      </c>
      <c r="J52" s="695"/>
      <c r="K52" s="694">
        <v>1265.3399999999999</v>
      </c>
      <c r="L52" s="695"/>
    </row>
    <row r="53" spans="2:12" ht="30.75" customHeight="1" x14ac:dyDescent="0.25">
      <c r="B53" s="448" t="s">
        <v>471</v>
      </c>
      <c r="C53" s="690">
        <v>9</v>
      </c>
      <c r="D53" s="691"/>
      <c r="E53" s="724">
        <v>0</v>
      </c>
      <c r="F53" s="725"/>
      <c r="G53" s="724">
        <v>1124.8900000000001</v>
      </c>
      <c r="H53" s="725"/>
      <c r="I53" s="694">
        <v>1179.6099999999999</v>
      </c>
      <c r="J53" s="695"/>
      <c r="K53" s="694">
        <v>1179.6099999999999</v>
      </c>
      <c r="L53" s="695"/>
    </row>
    <row r="54" spans="2:12" ht="30.75" customHeight="1" thickBot="1" x14ac:dyDescent="0.3">
      <c r="B54" s="449" t="s">
        <v>472</v>
      </c>
      <c r="C54" s="696">
        <v>4</v>
      </c>
      <c r="D54" s="697"/>
      <c r="E54" s="726">
        <v>0</v>
      </c>
      <c r="F54" s="727"/>
      <c r="G54" s="726">
        <v>1747.96</v>
      </c>
      <c r="H54" s="727"/>
      <c r="I54" s="700">
        <v>1832.97</v>
      </c>
      <c r="J54" s="701"/>
      <c r="K54" s="700">
        <v>1832.97</v>
      </c>
      <c r="L54" s="701"/>
    </row>
    <row r="55" spans="2:12" ht="30.75" customHeight="1" thickTop="1" thickBot="1" x14ac:dyDescent="0.3">
      <c r="B55" s="445" t="s">
        <v>31</v>
      </c>
      <c r="C55" s="706">
        <f>C51+C52+C53+C54</f>
        <v>63</v>
      </c>
      <c r="D55" s="707"/>
      <c r="E55" s="728">
        <f>($C$51*E51)+($C$52*E52)+($C$53*E53)+($C$54*E54)</f>
        <v>0</v>
      </c>
      <c r="F55" s="729"/>
      <c r="G55" s="728">
        <f>($C$51*G51)+($C$52*G52)+($C$53*G53)+($C$54*G54)</f>
        <v>50451.25</v>
      </c>
      <c r="H55" s="729"/>
      <c r="I55" s="728">
        <f>($C$51*I51)+($C$52*I52)+($C$53*I53)+($C$54*I54)</f>
        <v>52904.849999999991</v>
      </c>
      <c r="J55" s="729"/>
      <c r="K55" s="728">
        <f>($C$51*K51)+($C$52*K52)+($C$53*K53)+($C$54*K54)</f>
        <v>52904.849999999991</v>
      </c>
      <c r="L55" s="729"/>
    </row>
    <row r="56" spans="2:12" ht="30.75" customHeight="1" thickTop="1" thickBot="1" x14ac:dyDescent="0.3">
      <c r="B56" s="450"/>
      <c r="C56" s="710" t="s">
        <v>3</v>
      </c>
      <c r="D56" s="711"/>
      <c r="E56" s="633">
        <f>($E$55*12)</f>
        <v>0</v>
      </c>
      <c r="F56" s="634"/>
      <c r="G56" s="633">
        <f>(G55*12)</f>
        <v>605415</v>
      </c>
      <c r="H56" s="634"/>
      <c r="I56" s="633">
        <f>(I55*12)</f>
        <v>634858.19999999995</v>
      </c>
      <c r="J56" s="634"/>
      <c r="K56" s="633">
        <f>(K55*12)</f>
        <v>634858.19999999995</v>
      </c>
      <c r="L56" s="634"/>
    </row>
    <row r="57" spans="2:12" ht="30.75" customHeight="1" thickBot="1" x14ac:dyDescent="0.3">
      <c r="B57" s="451"/>
      <c r="C57" s="712" t="s">
        <v>476</v>
      </c>
      <c r="D57" s="713"/>
      <c r="E57" s="702">
        <v>0</v>
      </c>
      <c r="F57" s="703"/>
      <c r="G57" s="702">
        <f>($G$56-E56)</f>
        <v>605415</v>
      </c>
      <c r="H57" s="703"/>
      <c r="I57" s="702">
        <f>($I$56-E56)</f>
        <v>634858.19999999995</v>
      </c>
      <c r="J57" s="703"/>
      <c r="K57" s="702">
        <f>($I$56-G56)</f>
        <v>29443.199999999953</v>
      </c>
      <c r="L57" s="703"/>
    </row>
    <row r="58" spans="2:12" ht="30.75" customHeight="1" thickTop="1" thickBot="1" x14ac:dyDescent="0.3">
      <c r="B58" s="479"/>
      <c r="C58" s="704" t="s">
        <v>477</v>
      </c>
      <c r="D58" s="705"/>
      <c r="E58" s="665">
        <v>0</v>
      </c>
      <c r="F58" s="666"/>
      <c r="G58" s="667" t="e">
        <f>G57/E56</f>
        <v>#DIV/0!</v>
      </c>
      <c r="H58" s="668"/>
      <c r="I58" s="667" t="e">
        <f>I57/E56</f>
        <v>#DIV/0!</v>
      </c>
      <c r="J58" s="668"/>
      <c r="K58" s="667">
        <f>K57/G56</f>
        <v>4.86330863952825E-2</v>
      </c>
      <c r="L58" s="668"/>
    </row>
    <row r="59" spans="2:12" ht="28.2" outlineLevel="1" thickTop="1" x14ac:dyDescent="0.25">
      <c r="B59" s="458"/>
      <c r="C59" s="458"/>
      <c r="D59" s="476"/>
      <c r="E59" s="464" t="s">
        <v>496</v>
      </c>
      <c r="F59" s="465" t="s">
        <v>497</v>
      </c>
      <c r="G59" s="465" t="s">
        <v>496</v>
      </c>
      <c r="H59" s="465" t="s">
        <v>497</v>
      </c>
      <c r="I59" s="718" t="s">
        <v>496</v>
      </c>
      <c r="J59" s="719"/>
      <c r="K59" s="465" t="s">
        <v>497</v>
      </c>
      <c r="L59" s="466"/>
    </row>
    <row r="60" spans="2:12" ht="27.6" outlineLevel="1" x14ac:dyDescent="0.25">
      <c r="B60" s="458"/>
      <c r="C60" s="458"/>
      <c r="D60" s="477" t="s">
        <v>469</v>
      </c>
      <c r="E60" s="467">
        <f>E51*0.6884</f>
        <v>0</v>
      </c>
      <c r="F60" s="468">
        <f>E51-E60</f>
        <v>0</v>
      </c>
      <c r="G60" s="468">
        <f>G51*0.6884</f>
        <v>388.161224</v>
      </c>
      <c r="H60" s="468">
        <f>G51-G60</f>
        <v>175.69877600000001</v>
      </c>
      <c r="I60" s="720">
        <f>I51*0.6884</f>
        <v>407.03715199999999</v>
      </c>
      <c r="J60" s="721"/>
      <c r="K60" s="468">
        <f>I51-I60</f>
        <v>184.24284799999998</v>
      </c>
      <c r="L60" s="466"/>
    </row>
    <row r="61" spans="2:12" ht="27.6" outlineLevel="1" x14ac:dyDescent="0.25">
      <c r="B61" s="458"/>
      <c r="C61" s="458"/>
      <c r="D61" s="477" t="s">
        <v>470</v>
      </c>
      <c r="E61" s="467">
        <f>E52*0.59975</f>
        <v>0</v>
      </c>
      <c r="F61" s="468">
        <f t="shared" ref="F61:F63" si="2">E52-E61</f>
        <v>0</v>
      </c>
      <c r="G61" s="468">
        <f>G52*0.59975</f>
        <v>723.69433500000002</v>
      </c>
      <c r="H61" s="468">
        <f t="shared" ref="H61:H63" si="3">G52-G61</f>
        <v>482.96566500000006</v>
      </c>
      <c r="I61" s="720">
        <f>I52*0.59975</f>
        <v>758.88766499999997</v>
      </c>
      <c r="J61" s="721"/>
      <c r="K61" s="468">
        <f>I52-I61</f>
        <v>506.45233499999995</v>
      </c>
      <c r="L61" s="466"/>
    </row>
    <row r="62" spans="2:12" ht="27.6" outlineLevel="1" x14ac:dyDescent="0.25">
      <c r="B62" s="458"/>
      <c r="C62" s="458"/>
      <c r="D62" s="477" t="s">
        <v>471</v>
      </c>
      <c r="E62" s="467">
        <f>E53*0.59975</f>
        <v>0</v>
      </c>
      <c r="F62" s="468">
        <f t="shared" si="2"/>
        <v>0</v>
      </c>
      <c r="G62" s="468">
        <f>G53*0.59975</f>
        <v>674.65277750000007</v>
      </c>
      <c r="H62" s="468">
        <f t="shared" si="3"/>
        <v>450.23722250000003</v>
      </c>
      <c r="I62" s="720">
        <f>I53*0.59975</f>
        <v>707.47109749999993</v>
      </c>
      <c r="J62" s="721"/>
      <c r="K62" s="468">
        <f>I53-I62</f>
        <v>472.13890249999997</v>
      </c>
      <c r="L62" s="466"/>
    </row>
    <row r="63" spans="2:12" ht="28.2" outlineLevel="1" thickBot="1" x14ac:dyDescent="0.3">
      <c r="B63" s="458"/>
      <c r="C63" s="458"/>
      <c r="D63" s="449" t="s">
        <v>472</v>
      </c>
      <c r="E63" s="471">
        <f>E54*0.59975</f>
        <v>0</v>
      </c>
      <c r="F63" s="468">
        <f t="shared" si="2"/>
        <v>0</v>
      </c>
      <c r="G63" s="472">
        <f>G54*0.59975</f>
        <v>1048.3390100000001</v>
      </c>
      <c r="H63" s="471">
        <f t="shared" si="3"/>
        <v>699.62098999999989</v>
      </c>
      <c r="I63" s="722">
        <f>I54*0.59975</f>
        <v>1099.3237575000001</v>
      </c>
      <c r="J63" s="723"/>
      <c r="K63" s="472">
        <f>I54-I63</f>
        <v>733.64624249999997</v>
      </c>
      <c r="L63" s="466"/>
    </row>
    <row r="64" spans="2:12" ht="30.75" customHeight="1" thickTop="1" x14ac:dyDescent="0.25">
      <c r="B64" s="480"/>
      <c r="C64" s="481"/>
      <c r="D64" s="481"/>
      <c r="E64" s="482"/>
      <c r="F64" s="483"/>
      <c r="G64" s="484"/>
      <c r="H64" s="484"/>
      <c r="I64" s="484"/>
      <c r="J64" s="484"/>
      <c r="K64" s="484"/>
      <c r="L64" s="484"/>
    </row>
    <row r="65" spans="2:12" ht="30.75" customHeight="1" x14ac:dyDescent="0.25">
      <c r="B65" s="473" t="s">
        <v>486</v>
      </c>
      <c r="C65" s="481"/>
      <c r="D65" s="481"/>
      <c r="E65" s="482"/>
      <c r="F65" s="482"/>
      <c r="G65" s="484"/>
      <c r="H65" s="484"/>
      <c r="I65" s="484"/>
      <c r="J65" s="484"/>
      <c r="K65" s="484"/>
      <c r="L65" s="484"/>
    </row>
    <row r="66" spans="2:12" ht="30.75" customHeight="1" x14ac:dyDescent="0.25">
      <c r="B66" s="480"/>
      <c r="C66" s="481"/>
      <c r="D66" s="481"/>
      <c r="E66" s="482"/>
      <c r="F66" s="482"/>
      <c r="G66" s="484"/>
      <c r="H66" s="484"/>
      <c r="I66" s="484"/>
      <c r="J66" s="484"/>
      <c r="K66" s="484"/>
      <c r="L66" s="484"/>
    </row>
    <row r="67" spans="2:12" ht="30.75" customHeight="1" x14ac:dyDescent="0.25">
      <c r="B67" s="485"/>
      <c r="C67" s="486"/>
      <c r="D67" s="486"/>
      <c r="E67" s="482"/>
      <c r="F67" s="482"/>
      <c r="G67" s="484"/>
      <c r="H67" s="484"/>
      <c r="I67" s="484"/>
      <c r="J67" s="484"/>
      <c r="K67" s="484"/>
      <c r="L67" s="484"/>
    </row>
    <row r="68" spans="2:12" ht="21" thickBot="1" x14ac:dyDescent="0.3">
      <c r="B68" s="442" t="s">
        <v>499</v>
      </c>
    </row>
    <row r="69" spans="2:12" ht="30.75" customHeight="1" thickTop="1" x14ac:dyDescent="0.25">
      <c r="B69" s="669" t="s">
        <v>473</v>
      </c>
      <c r="C69" s="672" t="s">
        <v>468</v>
      </c>
      <c r="D69" s="673"/>
      <c r="E69" s="678" t="s">
        <v>509</v>
      </c>
      <c r="F69" s="679"/>
      <c r="G69" s="678" t="s">
        <v>510</v>
      </c>
      <c r="H69" s="679"/>
      <c r="I69" s="678" t="s">
        <v>511</v>
      </c>
      <c r="J69" s="679"/>
      <c r="K69" s="678" t="s">
        <v>512</v>
      </c>
      <c r="L69" s="679"/>
    </row>
    <row r="70" spans="2:12" ht="30.75" customHeight="1" x14ac:dyDescent="0.25">
      <c r="B70" s="670"/>
      <c r="C70" s="674"/>
      <c r="D70" s="675"/>
      <c r="E70" s="680"/>
      <c r="F70" s="681"/>
      <c r="G70" s="680"/>
      <c r="H70" s="681"/>
      <c r="I70" s="680"/>
      <c r="J70" s="681"/>
      <c r="K70" s="680"/>
      <c r="L70" s="681"/>
    </row>
    <row r="71" spans="2:12" ht="30.75" customHeight="1" thickBot="1" x14ac:dyDescent="0.3">
      <c r="B71" s="671"/>
      <c r="C71" s="676"/>
      <c r="D71" s="677"/>
      <c r="E71" s="682"/>
      <c r="F71" s="683"/>
      <c r="G71" s="682"/>
      <c r="H71" s="683"/>
      <c r="I71" s="682"/>
      <c r="J71" s="683"/>
      <c r="K71" s="682"/>
      <c r="L71" s="683"/>
    </row>
    <row r="72" spans="2:12" ht="30.75" customHeight="1" thickTop="1" x14ac:dyDescent="0.25">
      <c r="B72" s="445" t="s">
        <v>469</v>
      </c>
      <c r="C72" s="684">
        <v>11</v>
      </c>
      <c r="D72" s="685"/>
      <c r="E72" s="716">
        <v>489</v>
      </c>
      <c r="F72" s="717"/>
      <c r="G72" s="716">
        <v>537.01</v>
      </c>
      <c r="H72" s="717"/>
      <c r="I72" s="688">
        <v>515.17999999999995</v>
      </c>
      <c r="J72" s="689"/>
      <c r="K72" s="688">
        <v>515.17999999999995</v>
      </c>
      <c r="L72" s="689"/>
    </row>
    <row r="73" spans="2:12" ht="30.75" customHeight="1" x14ac:dyDescent="0.25">
      <c r="B73" s="447" t="s">
        <v>470</v>
      </c>
      <c r="C73" s="690">
        <v>6</v>
      </c>
      <c r="D73" s="691"/>
      <c r="E73" s="724">
        <v>1046</v>
      </c>
      <c r="F73" s="725"/>
      <c r="G73" s="724">
        <v>1149.2</v>
      </c>
      <c r="H73" s="725"/>
      <c r="I73" s="694">
        <v>1102.49</v>
      </c>
      <c r="J73" s="695"/>
      <c r="K73" s="694">
        <v>1102.49</v>
      </c>
      <c r="L73" s="695"/>
    </row>
    <row r="74" spans="2:12" ht="30.75" customHeight="1" x14ac:dyDescent="0.25">
      <c r="B74" s="448" t="s">
        <v>471</v>
      </c>
      <c r="C74" s="690">
        <v>5</v>
      </c>
      <c r="D74" s="691"/>
      <c r="E74" s="724">
        <v>974</v>
      </c>
      <c r="F74" s="725"/>
      <c r="G74" s="724">
        <v>1071.3399999999999</v>
      </c>
      <c r="H74" s="725"/>
      <c r="I74" s="688">
        <v>1027.79</v>
      </c>
      <c r="J74" s="689"/>
      <c r="K74" s="688">
        <v>1027.79</v>
      </c>
      <c r="L74" s="689"/>
    </row>
    <row r="75" spans="2:12" ht="30.75" customHeight="1" thickBot="1" x14ac:dyDescent="0.3">
      <c r="B75" s="449" t="s">
        <v>472</v>
      </c>
      <c r="C75" s="696">
        <v>2</v>
      </c>
      <c r="D75" s="697"/>
      <c r="E75" s="726">
        <v>1515</v>
      </c>
      <c r="F75" s="727"/>
      <c r="G75" s="726">
        <v>1664.74</v>
      </c>
      <c r="H75" s="727"/>
      <c r="I75" s="700">
        <v>1597.07</v>
      </c>
      <c r="J75" s="701"/>
      <c r="K75" s="700">
        <v>1597.07</v>
      </c>
      <c r="L75" s="701"/>
    </row>
    <row r="76" spans="2:12" ht="30.75" customHeight="1" thickTop="1" thickBot="1" x14ac:dyDescent="0.3">
      <c r="B76" s="445" t="s">
        <v>31</v>
      </c>
      <c r="C76" s="706">
        <f>C72+C73+C74+C75</f>
        <v>24</v>
      </c>
      <c r="D76" s="707"/>
      <c r="E76" s="728">
        <f>($C$72*E72)+($C$73*E73)+($C$74*E74)+($C$75*E75)</f>
        <v>19555</v>
      </c>
      <c r="F76" s="729"/>
      <c r="G76" s="728">
        <f>($C$72*G72)+($C$73*G73)+($C$74*G74)+($C$75*G75)</f>
        <v>21488.49</v>
      </c>
      <c r="H76" s="729"/>
      <c r="I76" s="728">
        <f>($C$72*I72)+($C$73*I73)+($C$74*I74)+($C$75*I75)</f>
        <v>20615.009999999998</v>
      </c>
      <c r="J76" s="729"/>
      <c r="K76" s="728">
        <f>($C$72*K72)+($C$73*K73)+($C$74*K74)+($C$75*K75)</f>
        <v>20615.009999999998</v>
      </c>
      <c r="L76" s="729"/>
    </row>
    <row r="77" spans="2:12" ht="30.75" customHeight="1" thickTop="1" thickBot="1" x14ac:dyDescent="0.3">
      <c r="B77" s="450"/>
      <c r="C77" s="710" t="s">
        <v>3</v>
      </c>
      <c r="D77" s="711"/>
      <c r="E77" s="633">
        <f>($E$76*12)</f>
        <v>234660</v>
      </c>
      <c r="F77" s="634"/>
      <c r="G77" s="633">
        <f>(G76*12)</f>
        <v>257861.88</v>
      </c>
      <c r="H77" s="634"/>
      <c r="I77" s="633">
        <f>(I76*12)</f>
        <v>247380.12</v>
      </c>
      <c r="J77" s="634"/>
      <c r="K77" s="633">
        <f>(K76*12)</f>
        <v>247380.12</v>
      </c>
      <c r="L77" s="634"/>
    </row>
    <row r="78" spans="2:12" ht="30.75" customHeight="1" x14ac:dyDescent="0.25">
      <c r="B78" s="451"/>
      <c r="C78" s="712" t="s">
        <v>476</v>
      </c>
      <c r="D78" s="713"/>
      <c r="E78" s="702">
        <v>0</v>
      </c>
      <c r="F78" s="703"/>
      <c r="G78" s="702">
        <f>($G$77-E77)</f>
        <v>23201.880000000005</v>
      </c>
      <c r="H78" s="703"/>
      <c r="I78" s="702">
        <f>($I$77-E77)</f>
        <v>12720.119999999995</v>
      </c>
      <c r="J78" s="703"/>
      <c r="K78" s="702">
        <f>($K$77-G77)</f>
        <v>-10481.760000000009</v>
      </c>
      <c r="L78" s="703"/>
    </row>
    <row r="79" spans="2:12" ht="30.75" customHeight="1" thickBot="1" x14ac:dyDescent="0.3">
      <c r="B79" s="452"/>
      <c r="C79" s="704" t="s">
        <v>477</v>
      </c>
      <c r="D79" s="705"/>
      <c r="E79" s="665">
        <v>0</v>
      </c>
      <c r="F79" s="666"/>
      <c r="G79" s="667">
        <f>G78/E77</f>
        <v>9.8874456660700605E-2</v>
      </c>
      <c r="H79" s="668"/>
      <c r="I79" s="667">
        <f>I78/E77</f>
        <v>5.4206596778317545E-2</v>
      </c>
      <c r="J79" s="668"/>
      <c r="K79" s="667">
        <f>K78/G77</f>
        <v>-4.064873799880777E-2</v>
      </c>
      <c r="L79" s="668"/>
    </row>
    <row r="80" spans="2:12" ht="28.2" outlineLevel="1" thickTop="1" x14ac:dyDescent="0.25">
      <c r="B80" s="458"/>
      <c r="C80" s="458"/>
      <c r="D80" s="476"/>
      <c r="E80" s="464" t="s">
        <v>496</v>
      </c>
      <c r="F80" s="464" t="s">
        <v>497</v>
      </c>
      <c r="G80" s="465" t="s">
        <v>496</v>
      </c>
      <c r="H80" s="465" t="s">
        <v>497</v>
      </c>
      <c r="I80" s="718" t="s">
        <v>496</v>
      </c>
      <c r="J80" s="719"/>
      <c r="K80" s="465" t="s">
        <v>497</v>
      </c>
      <c r="L80" s="466"/>
    </row>
    <row r="81" spans="2:12" ht="27.6" outlineLevel="1" x14ac:dyDescent="0.25">
      <c r="B81" s="458"/>
      <c r="C81" s="458"/>
      <c r="D81" s="477" t="s">
        <v>469</v>
      </c>
      <c r="E81" s="467">
        <f>E72*0.6884</f>
        <v>336.62760000000003</v>
      </c>
      <c r="F81" s="467">
        <f>E72-E81</f>
        <v>152.37239999999997</v>
      </c>
      <c r="G81" s="468">
        <f>G72*0.6884</f>
        <v>369.677684</v>
      </c>
      <c r="H81" s="468">
        <f>G72-G81</f>
        <v>167.33231599999999</v>
      </c>
      <c r="I81" s="720">
        <f>I72*0.6884</f>
        <v>354.64991199999997</v>
      </c>
      <c r="J81" s="721"/>
      <c r="K81" s="468">
        <f>I72-I81</f>
        <v>160.53008799999998</v>
      </c>
      <c r="L81" s="466"/>
    </row>
    <row r="82" spans="2:12" ht="27.6" outlineLevel="1" x14ac:dyDescent="0.25">
      <c r="B82" s="458"/>
      <c r="C82" s="458"/>
      <c r="D82" s="477" t="s">
        <v>470</v>
      </c>
      <c r="E82" s="467">
        <f>E73*0.59975</f>
        <v>627.33849999999995</v>
      </c>
      <c r="F82" s="467">
        <f t="shared" ref="F82:F84" si="4">E73-E82</f>
        <v>418.66150000000005</v>
      </c>
      <c r="G82" s="468">
        <f>G73*0.59975</f>
        <v>689.23270000000002</v>
      </c>
      <c r="H82" s="468">
        <f t="shared" ref="H82:H84" si="5">G73-G82</f>
        <v>459.96730000000002</v>
      </c>
      <c r="I82" s="720">
        <f>I73*0.59975</f>
        <v>661.21837749999997</v>
      </c>
      <c r="J82" s="721"/>
      <c r="K82" s="468">
        <f>I73-I82</f>
        <v>441.27162250000003</v>
      </c>
      <c r="L82" s="466"/>
    </row>
    <row r="83" spans="2:12" ht="27.6" outlineLevel="1" x14ac:dyDescent="0.25">
      <c r="B83" s="458"/>
      <c r="C83" s="458"/>
      <c r="D83" s="477" t="s">
        <v>471</v>
      </c>
      <c r="E83" s="467">
        <f>E74*0.59975</f>
        <v>584.15650000000005</v>
      </c>
      <c r="F83" s="467">
        <f t="shared" si="4"/>
        <v>389.84349999999995</v>
      </c>
      <c r="G83" s="468">
        <f>G74*0.59975</f>
        <v>642.53616499999998</v>
      </c>
      <c r="H83" s="468">
        <f t="shared" si="5"/>
        <v>428.80383499999994</v>
      </c>
      <c r="I83" s="720">
        <f>I74*0.59975</f>
        <v>616.41705249999995</v>
      </c>
      <c r="J83" s="721"/>
      <c r="K83" s="468">
        <f>I74-I83</f>
        <v>411.37294750000001</v>
      </c>
      <c r="L83" s="466"/>
    </row>
    <row r="84" spans="2:12" ht="28.2" outlineLevel="1" thickBot="1" x14ac:dyDescent="0.3">
      <c r="B84" s="473" t="s">
        <v>486</v>
      </c>
      <c r="C84" s="458"/>
      <c r="D84" s="449" t="s">
        <v>472</v>
      </c>
      <c r="E84" s="471">
        <f>E75*0.59975</f>
        <v>908.62125000000003</v>
      </c>
      <c r="F84" s="471">
        <f t="shared" si="4"/>
        <v>606.37874999999997</v>
      </c>
      <c r="G84" s="472">
        <f>G75*0.59975</f>
        <v>998.42781500000001</v>
      </c>
      <c r="H84" s="468">
        <f t="shared" si="5"/>
        <v>666.312185</v>
      </c>
      <c r="I84" s="722">
        <f>I75*0.59975</f>
        <v>957.84273250000001</v>
      </c>
      <c r="J84" s="723"/>
      <c r="K84" s="472">
        <f>I75-I84</f>
        <v>639.22726749999993</v>
      </c>
      <c r="L84" s="466"/>
    </row>
    <row r="85" spans="2:12" ht="28.2" outlineLevel="1" thickTop="1" x14ac:dyDescent="0.25">
      <c r="B85" s="458"/>
      <c r="C85" s="458"/>
      <c r="D85" s="487"/>
      <c r="E85" s="469"/>
      <c r="F85" s="469"/>
      <c r="G85" s="469"/>
      <c r="H85" s="488"/>
      <c r="I85" s="469"/>
      <c r="J85" s="469"/>
      <c r="K85" s="469"/>
      <c r="L85" s="466"/>
    </row>
    <row r="86" spans="2:12" ht="25.2" x14ac:dyDescent="0.25">
      <c r="B86" s="446"/>
      <c r="C86" s="489" t="s">
        <v>500</v>
      </c>
      <c r="D86" s="446"/>
      <c r="E86" s="446"/>
    </row>
    <row r="87" spans="2:12" ht="25.2" x14ac:dyDescent="0.25">
      <c r="B87" s="446"/>
      <c r="C87" s="489" t="s">
        <v>501</v>
      </c>
      <c r="D87" s="446"/>
      <c r="E87" s="490">
        <f>(E55+E36+E16)</f>
        <v>0</v>
      </c>
    </row>
    <row r="88" spans="2:12" ht="25.2" x14ac:dyDescent="0.25">
      <c r="B88" s="446"/>
      <c r="C88" s="489" t="s">
        <v>502</v>
      </c>
      <c r="D88" s="446"/>
      <c r="E88" s="490">
        <f>(G55+G36+G16+G76)</f>
        <v>132232.29999999999</v>
      </c>
    </row>
    <row r="89" spans="2:12" ht="25.2" x14ac:dyDescent="0.25">
      <c r="B89" s="446"/>
      <c r="C89" s="489"/>
      <c r="D89" s="446"/>
      <c r="E89" s="490"/>
    </row>
    <row r="90" spans="2:12" ht="25.2" x14ac:dyDescent="0.25">
      <c r="B90" s="446"/>
      <c r="C90" s="489" t="s">
        <v>503</v>
      </c>
      <c r="D90" s="446"/>
      <c r="E90" s="490">
        <f>E87*12</f>
        <v>0</v>
      </c>
    </row>
    <row r="91" spans="2:12" ht="25.2" x14ac:dyDescent="0.25">
      <c r="B91" s="446"/>
      <c r="C91" s="489" t="s">
        <v>504</v>
      </c>
      <c r="D91" s="446"/>
      <c r="E91" s="490">
        <f>E88*12</f>
        <v>1586787.5999999999</v>
      </c>
      <c r="F91" s="491"/>
    </row>
    <row r="92" spans="2:12" ht="25.2" x14ac:dyDescent="0.25">
      <c r="B92" s="446"/>
      <c r="C92" s="489"/>
      <c r="D92" s="446"/>
      <c r="E92" s="489"/>
    </row>
    <row r="93" spans="2:12" ht="25.2" x14ac:dyDescent="0.25">
      <c r="B93" s="446"/>
      <c r="C93" s="489" t="s">
        <v>482</v>
      </c>
      <c r="D93" s="446"/>
      <c r="E93" s="489"/>
    </row>
    <row r="94" spans="2:12" ht="25.2" x14ac:dyDescent="0.25">
      <c r="B94" s="446"/>
      <c r="C94" s="489" t="s">
        <v>505</v>
      </c>
      <c r="D94" s="446"/>
      <c r="E94" s="490">
        <f>I55+I36+I16+I76</f>
        <v>131377</v>
      </c>
    </row>
    <row r="95" spans="2:12" ht="25.2" x14ac:dyDescent="0.25">
      <c r="B95" s="446"/>
      <c r="C95" s="489" t="s">
        <v>506</v>
      </c>
      <c r="D95" s="446"/>
      <c r="E95" s="490">
        <f>E94*12</f>
        <v>1576524</v>
      </c>
      <c r="F95" s="491"/>
    </row>
    <row r="96" spans="2:12" ht="25.2" x14ac:dyDescent="0.25">
      <c r="B96" s="446"/>
      <c r="C96" s="489"/>
      <c r="D96" s="446"/>
      <c r="E96" s="489"/>
    </row>
    <row r="97" spans="2:6" ht="25.2" x14ac:dyDescent="0.25">
      <c r="B97" s="446"/>
      <c r="C97" s="489" t="s">
        <v>507</v>
      </c>
      <c r="D97" s="489"/>
      <c r="E97" s="490">
        <f>E95-E94</f>
        <v>1445147</v>
      </c>
    </row>
    <row r="98" spans="2:6" ht="25.2" x14ac:dyDescent="0.25">
      <c r="B98" s="446"/>
      <c r="C98" s="489" t="s">
        <v>484</v>
      </c>
      <c r="D98" s="446"/>
      <c r="E98" s="489"/>
    </row>
    <row r="99" spans="2:6" ht="25.2" x14ac:dyDescent="0.25">
      <c r="B99" s="446"/>
      <c r="C99" s="489" t="s">
        <v>508</v>
      </c>
      <c r="D99" s="446"/>
      <c r="E99" s="489"/>
    </row>
    <row r="100" spans="2:6" ht="25.2" x14ac:dyDescent="0.25">
      <c r="B100" s="446"/>
      <c r="C100" s="446"/>
      <c r="D100" s="446"/>
      <c r="E100" s="490">
        <f>E97-E91</f>
        <v>-141640.59999999986</v>
      </c>
      <c r="F100" s="444"/>
    </row>
    <row r="101" spans="2:6" ht="25.2" x14ac:dyDescent="0.25">
      <c r="B101" s="446"/>
      <c r="C101" s="446"/>
      <c r="D101" s="489" t="s">
        <v>485</v>
      </c>
      <c r="E101" s="492">
        <f>E100/E91</f>
        <v>-8.9262482262906437E-2</v>
      </c>
    </row>
    <row r="104" spans="2:6" x14ac:dyDescent="0.25">
      <c r="C104" s="493" t="s">
        <v>486</v>
      </c>
    </row>
  </sheetData>
  <mergeCells count="204">
    <mergeCell ref="I81:J81"/>
    <mergeCell ref="I82:J82"/>
    <mergeCell ref="I83:J83"/>
    <mergeCell ref="I84:J84"/>
    <mergeCell ref="C79:D79"/>
    <mergeCell ref="E79:F79"/>
    <mergeCell ref="G79:H79"/>
    <mergeCell ref="I79:J79"/>
    <mergeCell ref="K79:L79"/>
    <mergeCell ref="I80:J80"/>
    <mergeCell ref="C77:D77"/>
    <mergeCell ref="E77:F77"/>
    <mergeCell ref="G77:H77"/>
    <mergeCell ref="I77:J77"/>
    <mergeCell ref="K77:L77"/>
    <mergeCell ref="C78:D78"/>
    <mergeCell ref="E78:F78"/>
    <mergeCell ref="G78:H78"/>
    <mergeCell ref="I78:J78"/>
    <mergeCell ref="K78:L78"/>
    <mergeCell ref="C75:D75"/>
    <mergeCell ref="E75:F75"/>
    <mergeCell ref="G75:H75"/>
    <mergeCell ref="I75:J75"/>
    <mergeCell ref="K75:L75"/>
    <mergeCell ref="C76:D76"/>
    <mergeCell ref="E76:F76"/>
    <mergeCell ref="G76:H76"/>
    <mergeCell ref="I76:J76"/>
    <mergeCell ref="K76:L76"/>
    <mergeCell ref="C73:D73"/>
    <mergeCell ref="E73:F73"/>
    <mergeCell ref="G73:H73"/>
    <mergeCell ref="I73:J73"/>
    <mergeCell ref="K73:L73"/>
    <mergeCell ref="C74:D74"/>
    <mergeCell ref="E74:F74"/>
    <mergeCell ref="G74:H74"/>
    <mergeCell ref="I74:J74"/>
    <mergeCell ref="K74:L74"/>
    <mergeCell ref="K69:L71"/>
    <mergeCell ref="C72:D72"/>
    <mergeCell ref="E72:F72"/>
    <mergeCell ref="G72:H72"/>
    <mergeCell ref="I72:J72"/>
    <mergeCell ref="K72:L72"/>
    <mergeCell ref="I60:J60"/>
    <mergeCell ref="I61:J61"/>
    <mergeCell ref="I62:J62"/>
    <mergeCell ref="I63:J63"/>
    <mergeCell ref="B69:B71"/>
    <mergeCell ref="C69:D71"/>
    <mergeCell ref="E69:F71"/>
    <mergeCell ref="G69:H71"/>
    <mergeCell ref="I69:J71"/>
    <mergeCell ref="C58:D58"/>
    <mergeCell ref="E58:F58"/>
    <mergeCell ref="G58:H58"/>
    <mergeCell ref="I58:J58"/>
    <mergeCell ref="K58:L58"/>
    <mergeCell ref="I59:J59"/>
    <mergeCell ref="C56:D56"/>
    <mergeCell ref="E56:F56"/>
    <mergeCell ref="G56:H56"/>
    <mergeCell ref="I56:J56"/>
    <mergeCell ref="K56:L56"/>
    <mergeCell ref="C57:D57"/>
    <mergeCell ref="E57:F57"/>
    <mergeCell ref="G57:H57"/>
    <mergeCell ref="I57:J57"/>
    <mergeCell ref="K57:L57"/>
    <mergeCell ref="C54:D54"/>
    <mergeCell ref="E54:F54"/>
    <mergeCell ref="G54:H54"/>
    <mergeCell ref="I54:J54"/>
    <mergeCell ref="K54:L54"/>
    <mergeCell ref="C55:D55"/>
    <mergeCell ref="E55:F55"/>
    <mergeCell ref="G55:H55"/>
    <mergeCell ref="I55:J55"/>
    <mergeCell ref="K55:L55"/>
    <mergeCell ref="C52:D52"/>
    <mergeCell ref="E52:F52"/>
    <mergeCell ref="G52:H52"/>
    <mergeCell ref="I52:J52"/>
    <mergeCell ref="K52:L52"/>
    <mergeCell ref="C53:D53"/>
    <mergeCell ref="E53:F53"/>
    <mergeCell ref="G53:H53"/>
    <mergeCell ref="I53:J53"/>
    <mergeCell ref="K53:L53"/>
    <mergeCell ref="K48:L50"/>
    <mergeCell ref="C51:D51"/>
    <mergeCell ref="E51:F51"/>
    <mergeCell ref="G51:H51"/>
    <mergeCell ref="I51:J51"/>
    <mergeCell ref="K51:L51"/>
    <mergeCell ref="I41:J41"/>
    <mergeCell ref="I42:J42"/>
    <mergeCell ref="I43:J43"/>
    <mergeCell ref="I44:J44"/>
    <mergeCell ref="B48:B50"/>
    <mergeCell ref="C48:D50"/>
    <mergeCell ref="E48:F50"/>
    <mergeCell ref="G48:H50"/>
    <mergeCell ref="I48:J50"/>
    <mergeCell ref="C39:D39"/>
    <mergeCell ref="E39:F39"/>
    <mergeCell ref="G39:H39"/>
    <mergeCell ref="I39:J39"/>
    <mergeCell ref="K39:L39"/>
    <mergeCell ref="I40:J40"/>
    <mergeCell ref="C37:D37"/>
    <mergeCell ref="E37:F37"/>
    <mergeCell ref="G37:H37"/>
    <mergeCell ref="I37:J37"/>
    <mergeCell ref="K37:L37"/>
    <mergeCell ref="C38:D38"/>
    <mergeCell ref="E38:F38"/>
    <mergeCell ref="G38:H38"/>
    <mergeCell ref="I38:J38"/>
    <mergeCell ref="K38:L38"/>
    <mergeCell ref="C35:D35"/>
    <mergeCell ref="E35:F35"/>
    <mergeCell ref="G35:H35"/>
    <mergeCell ref="I35:J35"/>
    <mergeCell ref="K35:L35"/>
    <mergeCell ref="C36:D36"/>
    <mergeCell ref="E36:F36"/>
    <mergeCell ref="G36:H36"/>
    <mergeCell ref="I36:J36"/>
    <mergeCell ref="K36:L36"/>
    <mergeCell ref="C33:D33"/>
    <mergeCell ref="E33:F33"/>
    <mergeCell ref="G33:H33"/>
    <mergeCell ref="I33:J33"/>
    <mergeCell ref="K33:L33"/>
    <mergeCell ref="C34:D34"/>
    <mergeCell ref="E34:F34"/>
    <mergeCell ref="G34:H34"/>
    <mergeCell ref="I34:J34"/>
    <mergeCell ref="K34:L34"/>
    <mergeCell ref="K29:L31"/>
    <mergeCell ref="C32:D32"/>
    <mergeCell ref="E32:F32"/>
    <mergeCell ref="G32:H32"/>
    <mergeCell ref="I32:J32"/>
    <mergeCell ref="K32:L32"/>
    <mergeCell ref="I22:J22"/>
    <mergeCell ref="I23:J23"/>
    <mergeCell ref="I24:J24"/>
    <mergeCell ref="I25:J25"/>
    <mergeCell ref="I26:J26"/>
    <mergeCell ref="B29:B31"/>
    <mergeCell ref="C29:D31"/>
    <mergeCell ref="E29:F31"/>
    <mergeCell ref="G29:H31"/>
    <mergeCell ref="I29:J31"/>
    <mergeCell ref="C18:D18"/>
    <mergeCell ref="E18:F18"/>
    <mergeCell ref="G18:H18"/>
    <mergeCell ref="I18:J18"/>
    <mergeCell ref="C15:D15"/>
    <mergeCell ref="E15:F15"/>
    <mergeCell ref="G15:H15"/>
    <mergeCell ref="I15:J15"/>
    <mergeCell ref="K15:L15"/>
    <mergeCell ref="K18:L18"/>
    <mergeCell ref="C19:D19"/>
    <mergeCell ref="E19:F19"/>
    <mergeCell ref="G19:H19"/>
    <mergeCell ref="I19:J19"/>
    <mergeCell ref="K19:L19"/>
    <mergeCell ref="C16:D16"/>
    <mergeCell ref="E16:F16"/>
    <mergeCell ref="G16:H16"/>
    <mergeCell ref="I16:J16"/>
    <mergeCell ref="K16:L16"/>
    <mergeCell ref="C17:D17"/>
    <mergeCell ref="E17:F17"/>
    <mergeCell ref="G17:H17"/>
    <mergeCell ref="I17:J17"/>
    <mergeCell ref="K17:L17"/>
    <mergeCell ref="C13:D13"/>
    <mergeCell ref="E13:F13"/>
    <mergeCell ref="G13:H13"/>
    <mergeCell ref="I13:J13"/>
    <mergeCell ref="K13:L13"/>
    <mergeCell ref="C14:D14"/>
    <mergeCell ref="E14:F14"/>
    <mergeCell ref="G14:H14"/>
    <mergeCell ref="I14:J14"/>
    <mergeCell ref="K14:L14"/>
    <mergeCell ref="B9:B11"/>
    <mergeCell ref="C9:D11"/>
    <mergeCell ref="E9:F11"/>
    <mergeCell ref="G9:H11"/>
    <mergeCell ref="I9:J11"/>
    <mergeCell ref="K9:L11"/>
    <mergeCell ref="C12:D12"/>
    <mergeCell ref="E12:F12"/>
    <mergeCell ref="G12:H12"/>
    <mergeCell ref="I12:J12"/>
    <mergeCell ref="K12:L12"/>
  </mergeCells>
  <printOptions horizontalCentered="1"/>
  <pageMargins left="0.25" right="0.25" top="0.75" bottom="0.75" header="0.3" footer="0.3"/>
  <pageSetup scale="41" fitToHeight="0" orientation="landscape" r:id="rId1"/>
  <headerFooter>
    <oddFooter xml:space="preserve">&amp;C
</oddFooter>
  </headerFooter>
  <rowBreaks count="2" manualBreakCount="2">
    <brk id="45" min="1" max="16" man="1"/>
    <brk id="84" min="1" max="16"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AD0A6-ED77-46F2-A992-B98CC4AD653C}">
  <dimension ref="A3:B7"/>
  <sheetViews>
    <sheetView workbookViewId="0">
      <selection activeCell="B5" sqref="B5"/>
    </sheetView>
  </sheetViews>
  <sheetFormatPr defaultRowHeight="13.2" x14ac:dyDescent="0.25"/>
  <cols>
    <col min="1" max="1" width="13.33203125" bestFit="1" customWidth="1"/>
    <col min="2" max="2" width="22.6640625" bestFit="1" customWidth="1"/>
  </cols>
  <sheetData>
    <row r="3" spans="1:2" x14ac:dyDescent="0.25">
      <c r="A3" s="914" t="s">
        <v>640</v>
      </c>
      <c r="B3" t="s">
        <v>659</v>
      </c>
    </row>
    <row r="4" spans="1:2" x14ac:dyDescent="0.25">
      <c r="A4" s="915" t="s">
        <v>653</v>
      </c>
      <c r="B4" s="865">
        <v>1745466.36</v>
      </c>
    </row>
    <row r="5" spans="1:2" x14ac:dyDescent="0.25">
      <c r="A5" s="915" t="s">
        <v>655</v>
      </c>
      <c r="B5" s="865">
        <v>1920012.9960000003</v>
      </c>
    </row>
    <row r="6" spans="1:2" x14ac:dyDescent="0.25">
      <c r="A6" s="915" t="s">
        <v>656</v>
      </c>
      <c r="B6" s="865">
        <v>2112014.2956000003</v>
      </c>
    </row>
    <row r="7" spans="1:2" x14ac:dyDescent="0.25">
      <c r="A7" s="915" t="s">
        <v>642</v>
      </c>
      <c r="B7" s="865">
        <v>5777493.6516000014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C851B-EF4B-4097-ADAE-63DBE750D663}">
  <dimension ref="A1:M49"/>
  <sheetViews>
    <sheetView topLeftCell="B19" zoomScale="85" zoomScaleNormal="85" workbookViewId="0">
      <selection activeCell="E38" sqref="E38"/>
    </sheetView>
  </sheetViews>
  <sheetFormatPr defaultRowHeight="13.2" x14ac:dyDescent="0.25"/>
  <cols>
    <col min="1" max="1" width="48.88671875" customWidth="1"/>
    <col min="2" max="2" width="29.6640625" customWidth="1"/>
    <col min="3" max="3" width="34.44140625" customWidth="1"/>
    <col min="4" max="4" width="36.109375" customWidth="1"/>
    <col min="5" max="5" width="37.109375" customWidth="1"/>
    <col min="6" max="6" width="37.6640625" customWidth="1"/>
    <col min="7" max="7" width="30.21875" customWidth="1"/>
    <col min="8" max="8" width="29.88671875" customWidth="1"/>
    <col min="9" max="9" width="31" customWidth="1"/>
    <col min="10" max="10" width="30.6640625" customWidth="1"/>
    <col min="11" max="11" width="35.33203125" customWidth="1"/>
    <col min="12" max="12" width="36" customWidth="1"/>
    <col min="13" max="13" width="8.88671875" customWidth="1"/>
  </cols>
  <sheetData>
    <row r="1" spans="1:13" s="866" customFormat="1" ht="13.8" customHeight="1" thickTop="1" thickBot="1" x14ac:dyDescent="0.35">
      <c r="A1" s="873" t="s">
        <v>473</v>
      </c>
      <c r="B1" s="874" t="s">
        <v>468</v>
      </c>
      <c r="C1" s="875" t="s">
        <v>509</v>
      </c>
      <c r="D1" s="875" t="s">
        <v>510</v>
      </c>
      <c r="E1" s="875" t="s">
        <v>511</v>
      </c>
      <c r="F1" s="875" t="s">
        <v>512</v>
      </c>
      <c r="G1" s="876" t="s">
        <v>633</v>
      </c>
      <c r="H1" s="876" t="s">
        <v>634</v>
      </c>
      <c r="I1" s="876" t="s">
        <v>635</v>
      </c>
      <c r="J1" s="877" t="s">
        <v>636</v>
      </c>
      <c r="K1" s="877" t="s">
        <v>637</v>
      </c>
      <c r="L1" s="877" t="s">
        <v>638</v>
      </c>
      <c r="M1" s="876" t="s">
        <v>639</v>
      </c>
    </row>
    <row r="2" spans="1:13" ht="15" thickTop="1" x14ac:dyDescent="0.3">
      <c r="A2" s="869" t="s">
        <v>469</v>
      </c>
      <c r="B2" s="878">
        <v>30</v>
      </c>
      <c r="C2" s="879">
        <v>0</v>
      </c>
      <c r="D2" s="879">
        <v>746.26</v>
      </c>
      <c r="E2" s="880">
        <v>695.31</v>
      </c>
      <c r="F2" s="880">
        <v>695.31</v>
      </c>
      <c r="G2" s="881">
        <f>C:C * 0.6884</f>
        <v>0</v>
      </c>
      <c r="H2" s="881">
        <f>C:C-G:G</f>
        <v>0</v>
      </c>
      <c r="I2" s="882">
        <f>$D$2*0.6884</f>
        <v>513.72538399999996</v>
      </c>
      <c r="J2" s="882">
        <f>D2-I2</f>
        <v>232.53461600000003</v>
      </c>
      <c r="K2" s="882">
        <f>E2*0.6888</f>
        <v>478.92952799999995</v>
      </c>
      <c r="L2" s="882">
        <f>E2-K2</f>
        <v>216.380472</v>
      </c>
      <c r="M2" s="881">
        <v>1</v>
      </c>
    </row>
    <row r="3" spans="1:13" ht="14.4" x14ac:dyDescent="0.3">
      <c r="A3" s="870" t="s">
        <v>470</v>
      </c>
      <c r="B3" s="883">
        <v>6</v>
      </c>
      <c r="C3" s="884">
        <v>0</v>
      </c>
      <c r="D3" s="884">
        <v>1596.98</v>
      </c>
      <c r="E3" s="885">
        <v>1487.97</v>
      </c>
      <c r="F3" s="885">
        <v>1487.97</v>
      </c>
      <c r="G3" s="881">
        <f>C:C*0.5995</f>
        <v>0</v>
      </c>
      <c r="H3" s="881">
        <f>C:C-G:G</f>
        <v>0</v>
      </c>
      <c r="I3" s="882">
        <f>$D$3*0.59975</f>
        <v>957.78875500000004</v>
      </c>
      <c r="J3" s="882">
        <f t="shared" ref="J3:J29" si="0">D3-I3</f>
        <v>639.19124499999998</v>
      </c>
      <c r="K3" s="882">
        <f>E3*0.59975</f>
        <v>892.41000750000001</v>
      </c>
      <c r="L3" s="882">
        <f t="shared" ref="L3:L5" si="1">E3-K3</f>
        <v>595.55999250000002</v>
      </c>
      <c r="M3" s="881">
        <v>1</v>
      </c>
    </row>
    <row r="4" spans="1:13" ht="14.4" x14ac:dyDescent="0.3">
      <c r="A4" s="871" t="s">
        <v>471</v>
      </c>
      <c r="B4" s="883">
        <v>2</v>
      </c>
      <c r="C4" s="884">
        <v>0</v>
      </c>
      <c r="D4" s="884">
        <v>1488.77</v>
      </c>
      <c r="E4" s="885">
        <v>1387.15</v>
      </c>
      <c r="F4" s="885">
        <v>1387.15</v>
      </c>
      <c r="G4" s="881">
        <f>C:C * 0.5995</f>
        <v>0</v>
      </c>
      <c r="H4" s="881">
        <f>C:C-G:G</f>
        <v>0</v>
      </c>
      <c r="I4" s="882">
        <f>$D$4*0.59975</f>
        <v>892.88980749999996</v>
      </c>
      <c r="J4" s="882">
        <f t="shared" si="0"/>
        <v>595.88019250000002</v>
      </c>
      <c r="K4" s="882">
        <f>E4*0.59975</f>
        <v>831.94321250000007</v>
      </c>
      <c r="L4" s="882">
        <f t="shared" si="1"/>
        <v>555.20678750000002</v>
      </c>
      <c r="M4" s="881">
        <v>1</v>
      </c>
    </row>
    <row r="5" spans="1:13" ht="15" thickBot="1" x14ac:dyDescent="0.35">
      <c r="A5" s="872" t="s">
        <v>472</v>
      </c>
      <c r="B5" s="886">
        <v>4</v>
      </c>
      <c r="C5" s="887">
        <v>0</v>
      </c>
      <c r="D5" s="887">
        <v>2313.39</v>
      </c>
      <c r="E5" s="888">
        <v>2155.4699999999998</v>
      </c>
      <c r="F5" s="888">
        <v>2155.4699999999998</v>
      </c>
      <c r="G5" s="881">
        <f>C:C * 0.5995</f>
        <v>0</v>
      </c>
      <c r="H5" s="881">
        <f>C:C-G:G</f>
        <v>0</v>
      </c>
      <c r="I5" s="882">
        <f>$D$5*0.59975</f>
        <v>1387.4556525</v>
      </c>
      <c r="J5" s="882">
        <f t="shared" si="0"/>
        <v>925.93434749999983</v>
      </c>
      <c r="K5" s="882">
        <f>E5*0.59975</f>
        <v>1292.7431325</v>
      </c>
      <c r="L5" s="882">
        <f t="shared" si="1"/>
        <v>862.7268674999998</v>
      </c>
      <c r="M5" s="881">
        <v>1</v>
      </c>
    </row>
    <row r="6" spans="1:13" ht="15.6" thickTop="1" thickBot="1" x14ac:dyDescent="0.35">
      <c r="A6" s="869" t="s">
        <v>31</v>
      </c>
      <c r="B6" s="889">
        <f>B2+B3+B4+B5</f>
        <v>42</v>
      </c>
      <c r="C6" s="890">
        <f>($B$2*C2)+($B$3*C3)+($B$4*C4)+($B$5*C5)</f>
        <v>0</v>
      </c>
      <c r="D6" s="890">
        <f>($B$2*D2)+($B$3*D3)+($B$4*D4)+($B$5*D5)</f>
        <v>44200.78</v>
      </c>
      <c r="E6" s="890">
        <f>($B$2*E2)+($B$3*E3)+($B$4*E4)+($B$5*E5)</f>
        <v>41183.299999999996</v>
      </c>
      <c r="F6" s="890">
        <f>($B$2*F2)+($B$3*F3)+($B$4*F4)+($B$5*F5)</f>
        <v>41183.299999999996</v>
      </c>
      <c r="G6" s="881"/>
      <c r="H6" s="881"/>
      <c r="I6" s="882"/>
      <c r="J6" s="882"/>
      <c r="K6" s="881"/>
      <c r="L6" s="881"/>
      <c r="M6" s="881">
        <v>1</v>
      </c>
    </row>
    <row r="7" spans="1:13" ht="15" thickTop="1" x14ac:dyDescent="0.3">
      <c r="A7" s="891" t="s">
        <v>3</v>
      </c>
      <c r="B7" s="892"/>
      <c r="C7" s="893">
        <f>($C$6*12)</f>
        <v>0</v>
      </c>
      <c r="D7" s="893">
        <f>($D$6*12)</f>
        <v>530409.36</v>
      </c>
      <c r="E7" s="893">
        <f>($E$6*12)</f>
        <v>494199.6</v>
      </c>
      <c r="F7" s="893">
        <f>($F$6*12)</f>
        <v>494199.6</v>
      </c>
      <c r="G7" s="881"/>
      <c r="H7" s="881"/>
      <c r="I7" s="882"/>
      <c r="J7" s="882"/>
      <c r="K7" s="881"/>
      <c r="L7" s="881"/>
      <c r="M7" s="881">
        <v>1</v>
      </c>
    </row>
    <row r="8" spans="1:13" ht="14.4" x14ac:dyDescent="0.3">
      <c r="A8" s="894" t="s">
        <v>476</v>
      </c>
      <c r="B8" s="895"/>
      <c r="C8" s="896">
        <v>0</v>
      </c>
      <c r="D8" s="897">
        <f>($D$7-C7)</f>
        <v>530409.36</v>
      </c>
      <c r="E8" s="897">
        <f>($E$7-C7)</f>
        <v>494199.6</v>
      </c>
      <c r="F8" s="897">
        <f>($F$7-D7)</f>
        <v>-36209.760000000009</v>
      </c>
      <c r="G8" s="881"/>
      <c r="H8" s="881"/>
      <c r="I8" s="882"/>
      <c r="J8" s="882"/>
      <c r="K8" s="881"/>
      <c r="L8" s="881"/>
      <c r="M8" s="881">
        <v>1</v>
      </c>
    </row>
    <row r="9" spans="1:13" ht="15" thickBot="1" x14ac:dyDescent="0.35">
      <c r="A9" s="898" t="s">
        <v>477</v>
      </c>
      <c r="B9" s="899"/>
      <c r="C9" s="900">
        <v>0</v>
      </c>
      <c r="D9" s="901">
        <f>IF(C7=0,0,$D$8/C7)</f>
        <v>0</v>
      </c>
      <c r="E9" s="902">
        <f>IF(C7=0,0,$E$8/C7)</f>
        <v>0</v>
      </c>
      <c r="F9" s="902">
        <f>IF(D7=0,0,$F$8/D7)</f>
        <v>-6.8267573558656675E-2</v>
      </c>
      <c r="G9" s="881"/>
      <c r="H9" s="881"/>
      <c r="I9" s="882"/>
      <c r="J9" s="882"/>
      <c r="K9" s="881"/>
      <c r="L9" s="881"/>
      <c r="M9" s="881">
        <v>1</v>
      </c>
    </row>
    <row r="10" spans="1:13" ht="15" thickTop="1" x14ac:dyDescent="0.3">
      <c r="A10" s="869" t="s">
        <v>469</v>
      </c>
      <c r="B10" s="903">
        <v>19</v>
      </c>
      <c r="C10" s="879">
        <v>0</v>
      </c>
      <c r="D10" s="904">
        <v>497.2</v>
      </c>
      <c r="E10" s="905">
        <v>515.17999999999995</v>
      </c>
      <c r="F10" s="905">
        <v>515.17999999999995</v>
      </c>
      <c r="G10" s="903">
        <f>C:C * 0.6884</f>
        <v>0</v>
      </c>
      <c r="H10" s="903">
        <f>C:C-G:G</f>
        <v>0</v>
      </c>
      <c r="I10" s="882">
        <f>Table2[[#This Row],[Plan Name-Renewal  ]]*0.6884</f>
        <v>342.27247999999997</v>
      </c>
      <c r="J10" s="882">
        <f t="shared" si="0"/>
        <v>154.92752000000002</v>
      </c>
      <c r="K10" s="906">
        <f>Table2[[#This Row],[KP Plan Name vs Renewal  ]]*0.6884</f>
        <v>354.64991199999997</v>
      </c>
      <c r="L10" s="907">
        <f>Table2[[#This Row],[KP Plan Name vs Renewal  ]]-Table2[[#This Row],[Employer KP Plan Name vs Current ]]</f>
        <v>160.53008799999998</v>
      </c>
      <c r="M10" s="903">
        <v>2</v>
      </c>
    </row>
    <row r="11" spans="1:13" ht="14.4" x14ac:dyDescent="0.3">
      <c r="A11" s="870" t="s">
        <v>470</v>
      </c>
      <c r="B11" s="903">
        <v>2</v>
      </c>
      <c r="C11" s="884">
        <v>0</v>
      </c>
      <c r="D11" s="908">
        <v>1063.99</v>
      </c>
      <c r="E11" s="885">
        <v>1102.49</v>
      </c>
      <c r="F11" s="885">
        <v>1102.49</v>
      </c>
      <c r="G11" s="903">
        <f>C:C * 0.5995</f>
        <v>0</v>
      </c>
      <c r="H11" s="903">
        <f>C:C-G:G</f>
        <v>0</v>
      </c>
      <c r="I11" s="909">
        <f>Table2[[#This Row],[Plan Name-Renewal  ]]*0.59975</f>
        <v>638.12800249999998</v>
      </c>
      <c r="J11" s="882">
        <f t="shared" si="0"/>
        <v>425.86199750000003</v>
      </c>
      <c r="K11" s="906">
        <f>Table2[[#This Row],[KP Plan Name vs Renewal  ]]*0.59975</f>
        <v>661.21837749999997</v>
      </c>
      <c r="L11" s="907">
        <f>Table2[[#This Row],[KP Plan Name vs Renewal  ]]-Table2[[#This Row],[Employer KP Plan Name vs Current ]]</f>
        <v>441.27162250000003</v>
      </c>
      <c r="M11" s="903">
        <v>2</v>
      </c>
    </row>
    <row r="12" spans="1:13" ht="14.4" x14ac:dyDescent="0.3">
      <c r="A12" s="871" t="s">
        <v>471</v>
      </c>
      <c r="B12" s="903">
        <v>3</v>
      </c>
      <c r="C12" s="884">
        <v>0</v>
      </c>
      <c r="D12" s="908">
        <v>991.9</v>
      </c>
      <c r="E12" s="905">
        <v>1027.79</v>
      </c>
      <c r="F12" s="905">
        <v>1027.79</v>
      </c>
      <c r="G12" s="903">
        <f>C:C * 0.5995</f>
        <v>0</v>
      </c>
      <c r="H12" s="903">
        <f>C:C-G:G</f>
        <v>0</v>
      </c>
      <c r="I12" s="909">
        <f>Table2[[#This Row],[Plan Name-Renewal  ]]*0.59975</f>
        <v>594.89202499999999</v>
      </c>
      <c r="J12" s="882">
        <f t="shared" si="0"/>
        <v>397.00797499999999</v>
      </c>
      <c r="K12" s="906">
        <f>Table2[[#This Row],[KP Plan Name vs Renewal  ]]*0.59975</f>
        <v>616.41705249999995</v>
      </c>
      <c r="L12" s="907">
        <f>Table2[[#This Row],[KP Plan Name vs Renewal  ]]-Table2[[#This Row],[Employer KP Plan Name vs Current ]]</f>
        <v>411.37294750000001</v>
      </c>
      <c r="M12" s="903">
        <v>2</v>
      </c>
    </row>
    <row r="13" spans="1:13" ht="15" thickBot="1" x14ac:dyDescent="0.35">
      <c r="A13" s="872" t="s">
        <v>472</v>
      </c>
      <c r="B13" s="903">
        <v>1</v>
      </c>
      <c r="C13" s="887">
        <v>0</v>
      </c>
      <c r="D13" s="910">
        <v>1541.3</v>
      </c>
      <c r="E13" s="888">
        <v>1597.07</v>
      </c>
      <c r="F13" s="888">
        <v>1597.07</v>
      </c>
      <c r="G13" s="903">
        <f>C:C * 0.5995</f>
        <v>0</v>
      </c>
      <c r="H13" s="903">
        <f>C:C-G:G</f>
        <v>0</v>
      </c>
      <c r="I13" s="909">
        <f>Table2[[#This Row],[Plan Name-Renewal  ]]*0.59975</f>
        <v>924.39467500000001</v>
      </c>
      <c r="J13" s="882">
        <f t="shared" si="0"/>
        <v>616.90532499999995</v>
      </c>
      <c r="K13" s="906">
        <f>Table2[[#This Row],[KP Plan Name vs Renewal  ]]*0.59975</f>
        <v>957.84273250000001</v>
      </c>
      <c r="L13" s="907">
        <f>Table2[[#This Row],[KP Plan Name vs Renewal  ]]-Table2[[#This Row],[Employer KP Plan Name vs Current ]]</f>
        <v>639.22726749999993</v>
      </c>
      <c r="M13" s="903">
        <v>2</v>
      </c>
    </row>
    <row r="14" spans="1:13" ht="15.6" thickTop="1" thickBot="1" x14ac:dyDescent="0.35">
      <c r="A14" s="869" t="s">
        <v>31</v>
      </c>
      <c r="B14" s="903">
        <f>B10+B11+B12+B13</f>
        <v>25</v>
      </c>
      <c r="C14" s="893">
        <f>($B$10*C10)+($B$11*C11)+($B$12*C12)+($B$13*C13)</f>
        <v>0</v>
      </c>
      <c r="D14" s="907">
        <f>($B$10*D10)+($B$11*D11)+($B$12*D12)+($B$13*D13)</f>
        <v>16091.779999999999</v>
      </c>
      <c r="E14" s="907">
        <f>($B$10*E10)+($B$11*E11)+($B$12*E12)+($B$13*E13)</f>
        <v>16673.839999999997</v>
      </c>
      <c r="F14" s="907">
        <f>($B$10*F10)+($B$11*F11)+($B$12*F12)+($B$13*F13)</f>
        <v>16673.839999999997</v>
      </c>
      <c r="G14" s="903"/>
      <c r="H14" s="903"/>
      <c r="I14" s="903"/>
      <c r="J14" s="882"/>
      <c r="K14" s="903"/>
      <c r="L14" s="907"/>
      <c r="M14" s="903">
        <v>2</v>
      </c>
    </row>
    <row r="15" spans="1:13" ht="15" thickTop="1" x14ac:dyDescent="0.3">
      <c r="A15" s="891" t="s">
        <v>3</v>
      </c>
      <c r="B15" s="903"/>
      <c r="C15" s="907">
        <f>($C$14*12)</f>
        <v>0</v>
      </c>
      <c r="D15" s="907">
        <f>($D$14*12)</f>
        <v>193101.36</v>
      </c>
      <c r="E15" s="907">
        <f>($E$14*12)</f>
        <v>200086.07999999996</v>
      </c>
      <c r="F15" s="907">
        <f>($F$14*12)</f>
        <v>200086.07999999996</v>
      </c>
      <c r="G15" s="903"/>
      <c r="H15" s="903"/>
      <c r="I15" s="903"/>
      <c r="J15" s="882"/>
      <c r="K15" s="903"/>
      <c r="L15" s="907"/>
      <c r="M15" s="903">
        <v>2</v>
      </c>
    </row>
    <row r="16" spans="1:13" ht="14.4" x14ac:dyDescent="0.3">
      <c r="A16" s="894" t="s">
        <v>476</v>
      </c>
      <c r="B16" s="903"/>
      <c r="C16" s="896">
        <v>0</v>
      </c>
      <c r="D16" s="907">
        <f>($D$15-C15)</f>
        <v>193101.36</v>
      </c>
      <c r="E16" s="907">
        <f>($E$15-C15)</f>
        <v>200086.07999999996</v>
      </c>
      <c r="F16" s="907">
        <f>($F$15-D15)</f>
        <v>6984.7199999999721</v>
      </c>
      <c r="G16" s="903"/>
      <c r="H16" s="903"/>
      <c r="I16" s="903"/>
      <c r="J16" s="882"/>
      <c r="K16" s="903"/>
      <c r="L16" s="907"/>
      <c r="M16" s="903">
        <v>2</v>
      </c>
    </row>
    <row r="17" spans="1:13" ht="15" thickBot="1" x14ac:dyDescent="0.35">
      <c r="A17" s="911" t="s">
        <v>477</v>
      </c>
      <c r="B17" s="903"/>
      <c r="C17" s="900">
        <v>0</v>
      </c>
      <c r="D17" s="903">
        <f>IF(C15=0,0,$D$16/C15)</f>
        <v>0</v>
      </c>
      <c r="E17" s="903">
        <f>IF(C15=0,0,$E$16/C15)</f>
        <v>0</v>
      </c>
      <c r="F17" s="912">
        <f>IF(D15=0,0,$F$16/D15)</f>
        <v>3.6171262594939635E-2</v>
      </c>
      <c r="G17" s="903"/>
      <c r="H17" s="903"/>
      <c r="I17" s="903"/>
      <c r="J17" s="882"/>
      <c r="K17" s="903"/>
      <c r="L17" s="907"/>
      <c r="M17" s="903">
        <v>2</v>
      </c>
    </row>
    <row r="18" spans="1:13" ht="15" thickTop="1" x14ac:dyDescent="0.3">
      <c r="A18" s="869" t="s">
        <v>469</v>
      </c>
      <c r="B18" s="903">
        <v>42</v>
      </c>
      <c r="C18" s="879">
        <v>0</v>
      </c>
      <c r="D18" s="904">
        <v>563.86</v>
      </c>
      <c r="E18" s="880">
        <v>591.28</v>
      </c>
      <c r="F18" s="880">
        <v>591.28</v>
      </c>
      <c r="G18" s="903">
        <f>C:C * 0.6884</f>
        <v>0</v>
      </c>
      <c r="H18" s="903">
        <f>C:C-G:G</f>
        <v>0</v>
      </c>
      <c r="I18" s="903">
        <f>Table2[[#This Row],[Plan Name-Renewal  ]]*0.6884</f>
        <v>388.161224</v>
      </c>
      <c r="J18" s="882">
        <f t="shared" si="0"/>
        <v>175.69877600000001</v>
      </c>
      <c r="K18" s="913">
        <f>Table2[[#This Row],[KP Plan Name vs Renewal  ]]*0.6884</f>
        <v>407.03715199999999</v>
      </c>
      <c r="L18" s="907">
        <f>Table2[[#This Row],[KP Plan Name vs Renewal  ]]-Table2[[#This Row],[Employer KP Plan Name vs Current ]]</f>
        <v>184.24284799999998</v>
      </c>
      <c r="M18" s="903">
        <v>3</v>
      </c>
    </row>
    <row r="19" spans="1:13" ht="14.4" x14ac:dyDescent="0.3">
      <c r="A19" s="870" t="s">
        <v>470</v>
      </c>
      <c r="B19" s="903">
        <v>8</v>
      </c>
      <c r="C19" s="884">
        <v>0</v>
      </c>
      <c r="D19" s="908">
        <v>1206.6600000000001</v>
      </c>
      <c r="E19" s="885">
        <v>1265.3399999999999</v>
      </c>
      <c r="F19" s="885">
        <v>1265.3399999999999</v>
      </c>
      <c r="G19" s="903">
        <f>C:C * 0.5995</f>
        <v>0</v>
      </c>
      <c r="H19" s="903">
        <f>C:C-G:G</f>
        <v>0</v>
      </c>
      <c r="I19" s="909">
        <f>Table2[[#This Row],[Plan Name-Renewal  ]]*0.59975</f>
        <v>723.69433500000002</v>
      </c>
      <c r="J19" s="882">
        <f t="shared" si="0"/>
        <v>482.96566500000006</v>
      </c>
      <c r="K19" s="909">
        <f>Table2[[#This Row],[KP Plan Name vs Renewal  ]]*0.59975</f>
        <v>758.88766499999997</v>
      </c>
      <c r="L19" s="907">
        <f>Table2[[#This Row],[KP Plan Name vs Renewal  ]]-Table2[[#This Row],[Employer KP Plan Name vs Current ]]</f>
        <v>506.45233499999995</v>
      </c>
      <c r="M19" s="903">
        <v>3</v>
      </c>
    </row>
    <row r="20" spans="1:13" ht="14.4" x14ac:dyDescent="0.3">
      <c r="A20" s="871" t="s">
        <v>471</v>
      </c>
      <c r="B20" s="903">
        <v>9</v>
      </c>
      <c r="C20" s="884">
        <v>0</v>
      </c>
      <c r="D20" s="908">
        <v>1124.8900000000001</v>
      </c>
      <c r="E20" s="885">
        <v>1179.6099999999999</v>
      </c>
      <c r="F20" s="885">
        <v>1179.6099999999999</v>
      </c>
      <c r="G20" s="903">
        <f>C:C * 0.5995</f>
        <v>0</v>
      </c>
      <c r="H20" s="903">
        <f>C:C-G:G</f>
        <v>0</v>
      </c>
      <c r="I20" s="909">
        <f>Table2[[#This Row],[Plan Name-Renewal  ]]*0.59975</f>
        <v>674.65277750000007</v>
      </c>
      <c r="J20" s="882">
        <f t="shared" si="0"/>
        <v>450.23722250000003</v>
      </c>
      <c r="K20" s="909">
        <f>Table2[[#This Row],[KP Plan Name vs Renewal  ]]*0.59975</f>
        <v>707.47109749999993</v>
      </c>
      <c r="L20" s="907">
        <f>Table2[[#This Row],[KP Plan Name vs Renewal  ]]-Table2[[#This Row],[Employer KP Plan Name vs Current ]]</f>
        <v>472.13890249999997</v>
      </c>
      <c r="M20" s="903">
        <v>3</v>
      </c>
    </row>
    <row r="21" spans="1:13" ht="15" thickBot="1" x14ac:dyDescent="0.35">
      <c r="A21" s="872" t="s">
        <v>472</v>
      </c>
      <c r="B21" s="903">
        <v>4</v>
      </c>
      <c r="C21" s="887">
        <v>0</v>
      </c>
      <c r="D21" s="910">
        <v>1747.96</v>
      </c>
      <c r="E21" s="888">
        <v>1832.97</v>
      </c>
      <c r="F21" s="888">
        <v>1832.97</v>
      </c>
      <c r="G21" s="903">
        <f>C:C * 0.5995</f>
        <v>0</v>
      </c>
      <c r="H21" s="903">
        <f>C:C-G:G</f>
        <v>0</v>
      </c>
      <c r="I21" s="909">
        <f>Table2[[#This Row],[Plan Name-Renewal  ]]*0.59975</f>
        <v>1048.3390100000001</v>
      </c>
      <c r="J21" s="882">
        <f t="shared" si="0"/>
        <v>699.62098999999989</v>
      </c>
      <c r="K21" s="909">
        <f>Table2[[#This Row],[KP Plan Name vs Renewal  ]]*0.59975</f>
        <v>1099.3237575000001</v>
      </c>
      <c r="L21" s="907">
        <f>Table2[[#This Row],[KP Plan Name vs Renewal  ]]-Table2[[#This Row],[Employer KP Plan Name vs Current ]]</f>
        <v>733.64624249999997</v>
      </c>
      <c r="M21" s="903">
        <v>3</v>
      </c>
    </row>
    <row r="22" spans="1:13" ht="15.6" thickTop="1" thickBot="1" x14ac:dyDescent="0.35">
      <c r="A22" s="869" t="s">
        <v>31</v>
      </c>
      <c r="B22" s="903">
        <f>B18+B19+B20+B21</f>
        <v>63</v>
      </c>
      <c r="C22" s="907">
        <f>($B$18*C18)+($B$19*C19)+($B$20*C20)+($B$21*C21)</f>
        <v>0</v>
      </c>
      <c r="D22" s="907">
        <f>($B$18*D18)+($B$19*D19)+($B$20*D20)+($B$21*D21)</f>
        <v>50451.25</v>
      </c>
      <c r="E22" s="907">
        <f>($B$18*E18)+($B$19*E19)+($B$20*E20)+($B$21*E21)</f>
        <v>52904.849999999991</v>
      </c>
      <c r="F22" s="907">
        <f>($B$18*F18)+($B$19*F19)+($B$20*F20)+($B$21*F21)</f>
        <v>52904.849999999991</v>
      </c>
      <c r="G22" s="903"/>
      <c r="H22" s="903"/>
      <c r="I22" s="909"/>
      <c r="J22" s="882"/>
      <c r="K22" s="909"/>
      <c r="L22" s="907"/>
      <c r="M22" s="903">
        <v>3</v>
      </c>
    </row>
    <row r="23" spans="1:13" ht="15" thickTop="1" x14ac:dyDescent="0.3">
      <c r="A23" s="891" t="s">
        <v>3</v>
      </c>
      <c r="B23" s="903"/>
      <c r="C23" s="907">
        <f>C22*12</f>
        <v>0</v>
      </c>
      <c r="D23" s="907">
        <f>D22*12</f>
        <v>605415</v>
      </c>
      <c r="E23" s="907">
        <f>E22*12</f>
        <v>634858.19999999995</v>
      </c>
      <c r="F23" s="907">
        <f>F22*12</f>
        <v>634858.19999999995</v>
      </c>
      <c r="G23" s="903"/>
      <c r="H23" s="903"/>
      <c r="I23" s="909"/>
      <c r="J23" s="882"/>
      <c r="K23" s="909"/>
      <c r="L23" s="907"/>
      <c r="M23" s="903">
        <v>3</v>
      </c>
    </row>
    <row r="24" spans="1:13" ht="14.4" x14ac:dyDescent="0.3">
      <c r="A24" s="894" t="s">
        <v>476</v>
      </c>
      <c r="B24" s="903"/>
      <c r="C24" s="896">
        <v>0</v>
      </c>
      <c r="D24" s="907">
        <f>($D$23-C23)</f>
        <v>605415</v>
      </c>
      <c r="E24" s="907">
        <f>($E$23-C23)</f>
        <v>634858.19999999995</v>
      </c>
      <c r="F24" s="907">
        <f>($F$23-D23)</f>
        <v>29443.199999999953</v>
      </c>
      <c r="G24" s="903"/>
      <c r="H24" s="903"/>
      <c r="I24" s="909"/>
      <c r="J24" s="882"/>
      <c r="K24" s="909"/>
      <c r="L24" s="907"/>
      <c r="M24" s="903">
        <v>3</v>
      </c>
    </row>
    <row r="25" spans="1:13" ht="15" thickBot="1" x14ac:dyDescent="0.35">
      <c r="A25" s="911" t="s">
        <v>477</v>
      </c>
      <c r="B25" s="903"/>
      <c r="C25" s="900">
        <v>0</v>
      </c>
      <c r="D25" s="903">
        <f>IF(C23=0,0,$D$24/C23)</f>
        <v>0</v>
      </c>
      <c r="E25" s="903">
        <f>IF(C23=0,0,$E$24/C23)</f>
        <v>0</v>
      </c>
      <c r="F25" s="912">
        <f>IF(D23=0,0,$F$24/D23)</f>
        <v>4.86330863952825E-2</v>
      </c>
      <c r="G25" s="903"/>
      <c r="H25" s="903"/>
      <c r="I25" s="909"/>
      <c r="J25" s="882"/>
      <c r="K25" s="909"/>
      <c r="L25" s="907"/>
      <c r="M25" s="903">
        <v>3</v>
      </c>
    </row>
    <row r="26" spans="1:13" ht="15" thickTop="1" x14ac:dyDescent="0.3">
      <c r="A26" s="869" t="s">
        <v>469</v>
      </c>
      <c r="B26" s="903">
        <v>11</v>
      </c>
      <c r="C26" s="904">
        <v>489</v>
      </c>
      <c r="D26" s="904">
        <v>537.01</v>
      </c>
      <c r="E26" s="905">
        <v>515.17999999999995</v>
      </c>
      <c r="F26" s="905">
        <v>515.17999999999995</v>
      </c>
      <c r="G26" s="903">
        <f>C:C * 0.6884</f>
        <v>336.62760000000003</v>
      </c>
      <c r="H26" s="903">
        <f>C:C-G:G</f>
        <v>152.37239999999997</v>
      </c>
      <c r="I26" s="909">
        <f>Table2[[#This Row],[Plan Name-Renewal  ]]*0.6884</f>
        <v>369.677684</v>
      </c>
      <c r="J26" s="882">
        <f t="shared" si="0"/>
        <v>167.33231599999999</v>
      </c>
      <c r="K26" s="909">
        <f>Table2[[#This Row],[KP Plan Name vs Renewal  ]]*0.6884</f>
        <v>354.64991199999997</v>
      </c>
      <c r="L26" s="907">
        <f>Table2[[#This Row],[KP Plan Name vs Renewal  ]]-Table2[[#This Row],[Employer KP Plan Name vs Current ]]</f>
        <v>160.53008799999998</v>
      </c>
      <c r="M26" s="903">
        <v>4</v>
      </c>
    </row>
    <row r="27" spans="1:13" ht="14.4" x14ac:dyDescent="0.3">
      <c r="A27" s="870" t="s">
        <v>470</v>
      </c>
      <c r="B27" s="903">
        <v>6</v>
      </c>
      <c r="C27" s="908">
        <v>1046</v>
      </c>
      <c r="D27" s="908">
        <v>1149.2</v>
      </c>
      <c r="E27" s="885">
        <v>1102.49</v>
      </c>
      <c r="F27" s="885">
        <v>1102.49</v>
      </c>
      <c r="G27" s="903">
        <f>C:C * 0.5995</f>
        <v>627.077</v>
      </c>
      <c r="H27" s="903">
        <f>C:C-G:G</f>
        <v>418.923</v>
      </c>
      <c r="I27" s="909">
        <f>Table2[[#This Row],[Plan Name-Renewal  ]]*0.59975</f>
        <v>689.23270000000002</v>
      </c>
      <c r="J27" s="882">
        <f t="shared" si="0"/>
        <v>459.96730000000002</v>
      </c>
      <c r="K27" s="909">
        <f>Table2[[#This Row],[KP Plan Name vs Renewal  ]]*0.59975</f>
        <v>661.21837749999997</v>
      </c>
      <c r="L27" s="907">
        <f>Table2[[#This Row],[KP Plan Name vs Renewal  ]]-Table2[[#This Row],[Employer KP Plan Name vs Current ]]</f>
        <v>441.27162250000003</v>
      </c>
      <c r="M27" s="903">
        <v>4</v>
      </c>
    </row>
    <row r="28" spans="1:13" ht="14.4" x14ac:dyDescent="0.3">
      <c r="A28" s="871" t="s">
        <v>471</v>
      </c>
      <c r="B28" s="903">
        <v>5</v>
      </c>
      <c r="C28" s="908">
        <v>974</v>
      </c>
      <c r="D28" s="908">
        <v>1071.3399999999999</v>
      </c>
      <c r="E28" s="905">
        <v>1027.79</v>
      </c>
      <c r="F28" s="905">
        <v>1027.79</v>
      </c>
      <c r="G28" s="903">
        <f>C:C * 0.5995</f>
        <v>583.91300000000001</v>
      </c>
      <c r="H28" s="903">
        <f>C:C-G:G</f>
        <v>390.08699999999999</v>
      </c>
      <c r="I28" s="909">
        <f>Table2[[#This Row],[Plan Name-Renewal  ]]*0.59975</f>
        <v>642.53616499999998</v>
      </c>
      <c r="J28" s="882">
        <f t="shared" si="0"/>
        <v>428.80383499999994</v>
      </c>
      <c r="K28" s="909">
        <f>Table2[[#This Row],[KP Plan Name vs Renewal  ]]*0.59975</f>
        <v>616.41705249999995</v>
      </c>
      <c r="L28" s="907">
        <f>Table2[[#This Row],[KP Plan Name vs Renewal  ]]-Table2[[#This Row],[Employer KP Plan Name vs Current ]]</f>
        <v>411.37294750000001</v>
      </c>
      <c r="M28" s="903">
        <v>4</v>
      </c>
    </row>
    <row r="29" spans="1:13" ht="15" thickBot="1" x14ac:dyDescent="0.35">
      <c r="A29" s="872" t="s">
        <v>472</v>
      </c>
      <c r="B29" s="903">
        <v>2</v>
      </c>
      <c r="C29" s="910">
        <v>1515</v>
      </c>
      <c r="D29" s="910">
        <v>1664.74</v>
      </c>
      <c r="E29" s="888">
        <v>1597.07</v>
      </c>
      <c r="F29" s="888">
        <v>1597.07</v>
      </c>
      <c r="G29" s="903">
        <f>C:C * 0.5995</f>
        <v>908.24250000000006</v>
      </c>
      <c r="H29" s="903">
        <f>C:C-G:G</f>
        <v>606.75749999999994</v>
      </c>
      <c r="I29" s="909">
        <f>Table2[[#This Row],[Plan Name-Renewal  ]]*0.59975</f>
        <v>998.42781500000001</v>
      </c>
      <c r="J29" s="882">
        <f t="shared" si="0"/>
        <v>666.312185</v>
      </c>
      <c r="K29" s="909">
        <f>Table2[[#This Row],[KP Plan Name vs Renewal  ]]*0.59975</f>
        <v>957.84273250000001</v>
      </c>
      <c r="L29" s="907">
        <f>Table2[[#This Row],[KP Plan Name vs Renewal  ]]-Table2[[#This Row],[Employer KP Plan Name vs Current ]]</f>
        <v>639.22726749999993</v>
      </c>
      <c r="M29" s="903">
        <v>4</v>
      </c>
    </row>
    <row r="30" spans="1:13" ht="15.6" thickTop="1" thickBot="1" x14ac:dyDescent="0.35">
      <c r="A30" s="869" t="s">
        <v>31</v>
      </c>
      <c r="B30" s="903">
        <f>B27+B26+B28+B29</f>
        <v>24</v>
      </c>
      <c r="C30" s="907">
        <f>($B$26*C26)+($B$27*C27)+($B$28*C28)+($B$29*C29)</f>
        <v>19555</v>
      </c>
      <c r="D30" s="907">
        <f>($B$26*D26)+($B$27*D27)+($B$28*D28)+($B$29*D29)</f>
        <v>21488.49</v>
      </c>
      <c r="E30" s="907">
        <f>($B$26*E26)+($B$27*E27)+($B$28*E28)+($B$29*E29)</f>
        <v>20615.009999999998</v>
      </c>
      <c r="F30" s="907">
        <f>($B$26*F26)+($B$27*F27)+($B$28*F28)+($B$29*F29)</f>
        <v>20615.009999999998</v>
      </c>
      <c r="G30" s="903"/>
      <c r="H30" s="903"/>
      <c r="I30" s="903"/>
      <c r="J30" s="903"/>
      <c r="K30" s="903"/>
      <c r="L30" s="903"/>
      <c r="M30" s="903">
        <v>4</v>
      </c>
    </row>
    <row r="31" spans="1:13" ht="15" thickTop="1" x14ac:dyDescent="0.3">
      <c r="A31" s="891" t="s">
        <v>3</v>
      </c>
      <c r="B31" s="903"/>
      <c r="C31" s="907">
        <f>C30*12</f>
        <v>234660</v>
      </c>
      <c r="D31" s="907">
        <f>D30*12</f>
        <v>257861.88</v>
      </c>
      <c r="E31" s="907">
        <f>E30*12</f>
        <v>247380.12</v>
      </c>
      <c r="F31" s="907">
        <f>F30*12</f>
        <v>247380.12</v>
      </c>
      <c r="G31" s="903"/>
      <c r="H31" s="903"/>
      <c r="I31" s="903"/>
      <c r="J31" s="903"/>
      <c r="K31" s="903"/>
      <c r="L31" s="903"/>
      <c r="M31" s="903">
        <v>4</v>
      </c>
    </row>
    <row r="32" spans="1:13" ht="14.4" x14ac:dyDescent="0.3">
      <c r="A32" s="894" t="s">
        <v>476</v>
      </c>
      <c r="B32" s="903"/>
      <c r="C32" s="896">
        <v>0</v>
      </c>
      <c r="D32" s="907">
        <f>($D$31-C31)</f>
        <v>23201.880000000005</v>
      </c>
      <c r="E32" s="907">
        <f>($E$31-C31)</f>
        <v>12720.119999999995</v>
      </c>
      <c r="F32" s="907">
        <f>($F$31-D31)</f>
        <v>-10481.760000000009</v>
      </c>
      <c r="G32" s="903"/>
      <c r="H32" s="903"/>
      <c r="I32" s="903"/>
      <c r="J32" s="903"/>
      <c r="K32" s="903"/>
      <c r="L32" s="903"/>
      <c r="M32" s="903">
        <v>4</v>
      </c>
    </row>
    <row r="33" spans="1:13" ht="15" thickBot="1" x14ac:dyDescent="0.35">
      <c r="A33" s="911" t="s">
        <v>477</v>
      </c>
      <c r="B33" s="903"/>
      <c r="C33" s="900">
        <v>0</v>
      </c>
      <c r="D33" s="912">
        <f>IF(C31=0,0,$D$32/C31)</f>
        <v>9.8874456660700605E-2</v>
      </c>
      <c r="E33" s="912">
        <f>IF(C31=0,0,$E$32/C31)</f>
        <v>5.4206596778317545E-2</v>
      </c>
      <c r="F33" s="912">
        <f>IF(D31=0,0,$F$32/D31)</f>
        <v>-4.064873799880777E-2</v>
      </c>
      <c r="G33" s="903"/>
      <c r="H33" s="903"/>
      <c r="I33" s="903"/>
      <c r="J33" s="903"/>
      <c r="K33" s="903"/>
      <c r="L33" s="903"/>
      <c r="M33" s="903">
        <v>4</v>
      </c>
    </row>
    <row r="34" spans="1:13" ht="13.8" thickTop="1" x14ac:dyDescent="0.25"/>
    <row r="40" spans="1:13" x14ac:dyDescent="0.25">
      <c r="B40" s="51" t="s">
        <v>660</v>
      </c>
      <c r="C40" s="868" t="s">
        <v>661</v>
      </c>
      <c r="E40" s="51" t="s">
        <v>654</v>
      </c>
      <c r="F40" s="919">
        <v>0.1</v>
      </c>
    </row>
    <row r="41" spans="1:13" x14ac:dyDescent="0.25">
      <c r="B41" s="51" t="s">
        <v>501</v>
      </c>
      <c r="C41" s="867">
        <f>C6+C14+C22</f>
        <v>0</v>
      </c>
      <c r="E41" s="51" t="s">
        <v>657</v>
      </c>
      <c r="F41" s="868" t="s">
        <v>658</v>
      </c>
    </row>
    <row r="42" spans="1:13" x14ac:dyDescent="0.25">
      <c r="B42" s="51" t="s">
        <v>650</v>
      </c>
      <c r="C42" s="867">
        <f>D6+D14+D22+D30</f>
        <v>132232.29999999999</v>
      </c>
      <c r="E42" s="51" t="s">
        <v>653</v>
      </c>
      <c r="F42" s="867">
        <f>C44*(1+F40)</f>
        <v>1745466.36</v>
      </c>
    </row>
    <row r="43" spans="1:13" x14ac:dyDescent="0.25">
      <c r="B43" s="51" t="s">
        <v>503</v>
      </c>
      <c r="C43" s="867">
        <f>C41*12</f>
        <v>0</v>
      </c>
      <c r="E43" s="51" t="s">
        <v>655</v>
      </c>
      <c r="F43" s="867">
        <f>F42*(1+F40)</f>
        <v>1920012.9960000003</v>
      </c>
    </row>
    <row r="44" spans="1:13" x14ac:dyDescent="0.25">
      <c r="B44" s="51" t="s">
        <v>504</v>
      </c>
      <c r="C44" s="867">
        <f>C42*12</f>
        <v>1586787.5999999999</v>
      </c>
      <c r="E44" s="51" t="s">
        <v>656</v>
      </c>
      <c r="F44" s="867">
        <f>F43*(1+F40)</f>
        <v>2112014.2956000003</v>
      </c>
    </row>
    <row r="45" spans="1:13" x14ac:dyDescent="0.25">
      <c r="B45" s="51" t="s">
        <v>651</v>
      </c>
      <c r="C45" s="867">
        <f>E6+E14+E22+E30</f>
        <v>131377</v>
      </c>
    </row>
    <row r="46" spans="1:13" x14ac:dyDescent="0.25">
      <c r="B46" s="51" t="s">
        <v>32</v>
      </c>
      <c r="C46" s="867">
        <f>C45*12</f>
        <v>1576524</v>
      </c>
    </row>
    <row r="47" spans="1:13" x14ac:dyDescent="0.25">
      <c r="B47" s="51" t="s">
        <v>507</v>
      </c>
      <c r="C47" s="867">
        <f>C46-C45</f>
        <v>1445147</v>
      </c>
    </row>
    <row r="48" spans="1:13" x14ac:dyDescent="0.25">
      <c r="B48" s="51" t="s">
        <v>508</v>
      </c>
      <c r="C48" s="867">
        <f>C47-C44</f>
        <v>-141640.59999999986</v>
      </c>
    </row>
    <row r="49" spans="2:3" x14ac:dyDescent="0.25">
      <c r="B49" s="51" t="s">
        <v>652</v>
      </c>
      <c r="C49" s="917">
        <f>C48/C44</f>
        <v>-8.9262482262906437E-2</v>
      </c>
    </row>
  </sheetData>
  <pageMargins left="0.7" right="0.7" top="0.75" bottom="0.75" header="0.3" footer="0.3"/>
  <drawing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EBE7D15425B64BA0A16AA2E528592A" ma:contentTypeVersion="13" ma:contentTypeDescription="Create a new document." ma:contentTypeScope="" ma:versionID="312222c0b4c975e5a703ede050aa7ff5">
  <xsd:schema xmlns:xsd="http://www.w3.org/2001/XMLSchema" xmlns:xs="http://www.w3.org/2001/XMLSchema" xmlns:p="http://schemas.microsoft.com/office/2006/metadata/properties" xmlns:ns3="5b253ad0-fa06-4780-8c7a-19a7b5537403" xmlns:ns4="e7a1997b-76ad-4be3-b33f-402379fcffc1" targetNamespace="http://schemas.microsoft.com/office/2006/metadata/properties" ma:root="true" ma:fieldsID="577fe01f294e0cf48c346385603da1b4" ns3:_="" ns4:_="">
    <xsd:import namespace="5b253ad0-fa06-4780-8c7a-19a7b5537403"/>
    <xsd:import namespace="e7a1997b-76ad-4be3-b33f-402379fcffc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Location" minOccurs="0"/>
                <xsd:element ref="ns3:MediaServiceGenerationTime" minOccurs="0"/>
                <xsd:element ref="ns3:MediaServiceEventHashCode" minOccurs="0"/>
                <xsd:element ref="ns3:MediaServiceAutoTags" minOccurs="0"/>
                <xsd:element ref="ns3:MediaServiceAutoKeyPoints" minOccurs="0"/>
                <xsd:element ref="ns3:MediaServiceKeyPoint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253ad0-fa06-4780-8c7a-19a7b55374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7a1997b-76ad-4be3-b33f-402379fcffc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C I F A A B Q S w M E F A A C A A g A d A A N 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d A A 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A D V d e p 2 D l H A I A A H A H A A A T A B w A R m 9 y b X V s Y X M v U 2 V j d G l v b j E u b S C i G A A o o B Q A A A A A A A A A A A A A A A A A A A A A A A A A A A D t V U 1 v 2 k A Q v S P x H 0 a b i y 2 5 S E 6 / 1 E Y c U o e o U d o U A V W l A r I W m A a L 9 Y 6 1 u w 4 g x H / v G j v g A C Y c e q w v a 8 / M e / N m Z 2 e t c W w i k t D N V / + q X q v X 9 J Q r n E B 3 i m h 8 a I J A U 6 + B f b q U q j F a S 2 s x R t H 4 R W o 2 I p o 5 t 5 H A R k D S o D T a Y c H n w U + N S g 9 + Z 9 7 B D c 2 l I D 7 R g x 7 G i e A G 4 Q 8 p 6 G Q v A c U J O L 4 L 2 y C 4 J T F B 1 V g I v W C u B z I V w g O j U n S 9 Q s V G V 7 h Z r J Z c 1 K p / Z z B u s t z J v P t I T o o v N l z 3 b 7 j h w w J / w d q K Y j K 2 x K / I b S 7 N L E 2 P j 2 w R h a e w O + V U H v Q L 7 7 U Q 3 T E X X O l m p m v o b o m D K Z e P l r e 3 T H B H 2 l N c a l t y H J B I Y 5 k 5 t X N E h b d a s V 6 E C p g t 2 A a B w Y V Z e 7 B i L a l I i N h u 7 9 b H 5 X L j y j n f H k D a g k t 4 4 D G + C V K l q p H v 9 8 0 7 Y A c l z r m A C u T H f f N 9 G 7 Z g e N L w n L g C / + k 1 / C v 5 f b 9 s X + + 6 0 M G Y n r I u U A I d m p f a 2 5 1 F i b P X J u / y E J k n K A F z R 2 F 2 j q T w X q j a V r h 2 6 7 V I V t G X p + 2 i O L r g X L r s X w 7 d d 5 r q S I Z j E d n A 0 P f D 6 / Q x 1 S a 0 x y 8 h j Z N w Q / R / 3 C r H 7 U 6 a D + 8 a G U 3 1 Y F X G H J x h m c Y j V O f N y 4 n Y U 7 w t e 8 v S E m 1 l O 0 j B f S L 6 M P h c 7 k L L e d z P w q u j F V R t z K k M F R t 0 B P I j 2 f z y X n b t y P X x h Y y h e O 8 G y Z 3 f u D Y P B x e J f 3 T Y y z R X f w F Q S w E C L Q A U A A I A C A B 0 A A 1 X r 9 r s P a Q A A A D 2 A A A A E g A A A A A A A A A A A A A A A A A A A A A A Q 2 9 u Z m l n L 1 B h Y 2 t h Z 2 U u e G 1 s U E s B A i 0 A F A A C A A g A d A A N V w / K 6 a u k A A A A 6 Q A A A B M A A A A A A A A A A A A A A A A A 8 A A A A F t D b 2 5 0 Z W 5 0 X 1 R 5 c G V z X S 5 4 b W x Q S w E C L Q A U A A I A C A B 0 A A 1 X X q d g 5 R w C A A B w B w A A E w A A A A A A A A A A A A A A A A D h A Q A A R m 9 y b X V s Y X M v U 2 V j d G l v b j E u b V B L B Q Y A A A A A A w A D A M I A A A B K 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I A A A A A A A A G E 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N i I g L z 4 8 R W 5 0 c n k g V H l w Z T 0 i R m l s b E x h c 3 R V c G R h d G V k I i B W Y W x 1 Z T 0 i Z D I w M j M t M D g t M T J U M T M 6 M T M 6 M T Q u M D I y M j g 0 M l o i I C 8 + P E V u d H J 5 I F R 5 c G U 9 I k Z p b G x D b 2 x 1 b W 5 U e X B l c y I g V m F s d W U 9 I n N C Z 0 F H Q U F B Q U F B Q U E i I C 8 + P E V u d H J 5 I F R 5 c G U 9 I k Z p b G x D b 2 x 1 b W 5 O Y W 1 l c y I g V m F s d W U 9 I n N b J n F 1 b 3 Q 7 V G l l c i A m c X V v d D s s J n F 1 b 3 Q 7 R W 5 y b 2 x s b W V u d C A m c X V v d D s s J n F 1 b 3 Q 7 Q 2 9 s d W 1 u M y Z x d W 9 0 O y w m c X V v d D t Q b G F u I E 5 h b W U t Q 3 V y c m V u d C A m c X V v d D s s J n F 1 b 3 Q 7 Q 2 9 s d W 1 u N S Z x d W 9 0 O y w m c X V v d D t Q b G F u I E 5 h b W U t U m V u Z X d h b C A g J n F 1 b 3 Q 7 L C Z x d W 9 0 O 0 N v b H V t b j c m c X V v d D s s J n F 1 b 3 Q 7 S 1 A g U G x h b i B O Y W 1 l I H Z z I E N 1 c n J l b n Q g I C Z x d W 9 0 O y w m c X V v d D t L U C B Q b G F u I E 5 h b W U g d n M g U m V u Z X d h b C A g 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h l Z X Q x L 0 N o Y W 5 n Z W Q g V H l w Z S 5 7 V G l l c i A s M H 0 m c X V v d D s s J n F 1 b 3 Q 7 U 2 V j d G l v b j E v U 2 h l Z X Q x L 0 N o Y W 5 n Z W Q g V H l w Z S 5 7 R W 5 y b 2 x s b W V u d C A s M X 0 m c X V v d D s s J n F 1 b 3 Q 7 U 2 V j d G l v b j E v U 2 h l Z X Q x L 0 N o Y W 5 n Z W Q g V H l w Z S 5 7 Q 2 9 s d W 1 u M y w y f S Z x d W 9 0 O y w m c X V v d D t T Z W N 0 a W 9 u M S 9 T a G V l d D E v Q 2 h h b m d l Z C B U e X B l L n t Q b G F u I E 5 h b W U t Q 3 V y c m V u d C A s M 3 0 m c X V v d D s s J n F 1 b 3 Q 7 U 2 V j d G l v b j E v U 2 h l Z X Q x L 0 N o Y W 5 n Z W Q g V H l w Z S 5 7 Q 2 9 s d W 1 u N S w 0 f S Z x d W 9 0 O y w m c X V v d D t T Z W N 0 a W 9 u M S 9 T a G V l d D E v Q 2 h h b m d l Z C B U e X B l L n t Q b G F u I E 5 h b W U t U m V u Z X d h b C A g L D V 9 J n F 1 b 3 Q 7 L C Z x d W 9 0 O 1 N l Y 3 R p b 2 4 x L 1 N o Z W V 0 M S 9 D a G F u Z 2 V k I F R 5 c G U u e 0 N v b H V t b j c s N n 0 m c X V v d D s s J n F 1 b 3 Q 7 U 2 V j d G l v b j E v U 2 h l Z X Q x L 0 N o Y W 5 n Z W Q g V H l w Z S 5 7 S 1 A g U G x h b i B O Y W 1 l I H Z z I E N 1 c n J l b n Q g I C w 3 f S Z x d W 9 0 O y w m c X V v d D t T Z W N 0 a W 9 u M S 9 T a G V l d D E v Q 2 h h b m d l Z C B U e X B l L n t L U C B Q b G F u I E 5 h b W U g d n M g U m V u Z X d h b C A g L D l 9 J n F 1 b 3 Q 7 X S w m c X V v d D t D b 2 x 1 b W 5 D b 3 V u d C Z x d W 9 0 O z o 5 L C Z x d W 9 0 O 0 t l e U N v b H V t b k 5 h b W V z J n F 1 b 3 Q 7 O l t d L C Z x d W 9 0 O 0 N v b H V t b k l k Z W 5 0 a X R p Z X M m c X V v d D s 6 W y Z x d W 9 0 O 1 N l Y 3 R p b 2 4 x L 1 N o Z W V 0 M S 9 D a G F u Z 2 V k I F R 5 c G U u e 1 R p Z X I g L D B 9 J n F 1 b 3 Q 7 L C Z x d W 9 0 O 1 N l Y 3 R p b 2 4 x L 1 N o Z W V 0 M S 9 D a G F u Z 2 V k I F R 5 c G U u e 0 V u c m 9 s b G 1 l b n Q g L D F 9 J n F 1 b 3 Q 7 L C Z x d W 9 0 O 1 N l Y 3 R p b 2 4 x L 1 N o Z W V 0 M S 9 D a G F u Z 2 V k I F R 5 c G U u e 0 N v b H V t b j M s M n 0 m c X V v d D s s J n F 1 b 3 Q 7 U 2 V j d G l v b j E v U 2 h l Z X Q x L 0 N o Y W 5 n Z W Q g V H l w Z S 5 7 U G x h b i B O Y W 1 l L U N 1 c n J l b n Q g L D N 9 J n F 1 b 3 Q 7 L C Z x d W 9 0 O 1 N l Y 3 R p b 2 4 x L 1 N o Z W V 0 M S 9 D a G F u Z 2 V k I F R 5 c G U u e 0 N v b H V t b j U s N H 0 m c X V v d D s s J n F 1 b 3 Q 7 U 2 V j d G l v b j E v U 2 h l Z X Q x L 0 N o Y W 5 n Z W Q g V H l w Z S 5 7 U G x h b i B O Y W 1 l L V J l b m V 3 Y W w g I C w 1 f S Z x d W 9 0 O y w m c X V v d D t T Z W N 0 a W 9 u M S 9 T a G V l d D E v Q 2 h h b m d l Z C B U e X B l L n t D b 2 x 1 b W 4 3 L D Z 9 J n F 1 b 3 Q 7 L C Z x d W 9 0 O 1 N l Y 3 R p b 2 4 x L 1 N o Z W V 0 M S 9 D a G F u Z 2 V k I F R 5 c G U u e 0 t Q I F B s Y W 4 g T m F t Z S B 2 c y B D d X J y Z W 5 0 I C A s N 3 0 m c X V v d D s s J n F 1 b 3 Q 7 U 2 V j d G l v b j E v U 2 h l Z X Q x L 0 N o Y W 5 n Z W Q g V H l w Z S 5 7 S 1 A g U G x h b i B O Y W 1 l I H Z z I F J l b m V 3 Y W w g I C w 5 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W 9 2 Z W Q l M j B U b 3 A l M j B S b 3 d z P C 9 J d G V t U G F 0 a D 4 8 L 0 l 0 Z W 1 M b 2 N h d G l v b j 4 8 U 3 R h Y m x l R W 5 0 c m l l c y A v P j w v S X R l b T 4 8 S X R l b T 4 8 S X R l b U x v Y 2 F 0 a W 9 u P j x J d G V t V H l w Z T 5 G b 3 J t d W x h P C 9 J d G V t V H l w Z T 4 8 S X R l b V B h d G g + U 2 V j d G l v b j E v U 2 h l Z X Q x L 1 J l b W 9 2 Z W Q l M j B D b 2 x 1 b W 5 z 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V 9 f M i 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y 0 w O C 0 x M l Q x O T o w M z o 0 M C 4 y M T Y z N z I y W i I g L z 4 8 R W 5 0 c n k g V H l w Z T 0 i R m l s b E N v b H V t b l R 5 c G V z I i B W Y W x 1 Z T 0 i c 0 J n T U R C U V V G Q l F V R k J R V U Z B d z 0 9 I i A v P j x F b n R y e S B U e X B l P S J G a W x s Q 2 9 s d W 1 u T m F t Z X M i I F Z h b H V l P S J z W y Z x d W 9 0 O 1 R p Z X I g J n F 1 b 3 Q 7 L C Z x d W 9 0 O 0 V u c m 9 s b G 1 l b n Q g J n F 1 b 3 Q 7 L C Z x d W 9 0 O 1 B s Y W 4 g T m F t Z S 1 D d X J y Z W 5 0 I C Z x d W 9 0 O y w m c X V v d D t Q b G F u I E 5 h b W U t U m V u Z X d h b C A g J n F 1 b 3 Q 7 L C Z x d W 9 0 O 0 t Q I F B s Y W 4 g T m F t Z S B 2 c y B D d X J y Z W 5 0 I C A m c X V v d D s s J n F 1 b 3 Q 7 S 1 A g U G x h b i B O Y W 1 l I H Z z I F J l b m V 3 Y W w g I C Z x d W 9 0 O y w m c X V v d D t F b X B s b 3 l l Z X I g U G x h b i B O Y W 1 l I E N 1 c n J l b n Q m c X V v d D s s J n F 1 b 3 Q 7 R W 1 w b G 9 5 Z W U g U G x h b i B O Y W 1 l I E N 1 c n J l b n Q g J n F 1 b 3 Q 7 L C Z x d W 9 0 O 0 V t c G x v e W V l c i B Q b G F u I E 5 h b W U g U m V u Z X d h b C Z x d W 9 0 O y w m c X V v d D t F b X B s b 3 l l Z S B Q b G F u I E 5 h b W U g U m V u Z X d h b C A m c X V v d D s s J n F 1 b 3 Q 7 R W 1 w b G 9 5 Z X I g S 1 A g U G x h b i B O Y W 1 l I H Z z I E N 1 c n J l b n Q g J n F 1 b 3 Q 7 L C Z x d W 9 0 O 0 V t c G x v e W V l I E t Q I F B s Y W 4 g T m F t Z S B 2 c y B S Z W 5 l d 2 F s J n F 1 b 3 Q 7 L C Z x d W 9 0 O 0 9 w d G l v b i A 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2 h l Z X Q x I C g y K S 9 S Z W 1 v d m V k I E J v d H R v b S B S b 3 d z L n t U a W V y I C w w f S Z x d W 9 0 O y w m c X V v d D t T Z W N 0 a W 9 u M S 9 T a G V l d D E g K D I p L 1 J l b W 9 2 Z W Q g Q m 9 0 d G 9 t I F J v d 3 M u e 0 V u c m 9 s b G 1 l b n Q g L D F 9 J n F 1 b 3 Q 7 L C Z x d W 9 0 O 1 N l Y 3 R p b 2 4 x L 1 N o Z W V 0 M S A o M i k v U m V t b 3 Z l Z C B C b 3 R 0 b 2 0 g U m 9 3 c y 5 7 U G x h b i B O Y W 1 l L U N 1 c n J l b n Q g L D J 9 J n F 1 b 3 Q 7 L C Z x d W 9 0 O 1 N l Y 3 R p b 2 4 x L 1 N o Z W V 0 M S A o M i k v U m V t b 3 Z l Z C B C b 3 R 0 b 2 0 g U m 9 3 c y 5 7 U G x h b i B O Y W 1 l L V J l b m V 3 Y W w g I C w z f S Z x d W 9 0 O y w m c X V v d D t T Z W N 0 a W 9 u M S 9 T a G V l d D E g K D I p L 1 J l b W 9 2 Z W Q g Q m 9 0 d G 9 t I F J v d 3 M u e 0 t Q I F B s Y W 4 g T m F t Z S B 2 c y B D d X J y Z W 5 0 I C A s N H 0 m c X V v d D s s J n F 1 b 3 Q 7 U 2 V j d G l v b j E v U 2 h l Z X Q x I C g y K S 9 S Z W 1 v d m V k I E J v d H R v b S B S b 3 d z L n t L U C B Q b G F u I E 5 h b W U g d n M g U m V u Z X d h b C A g L D V 9 J n F 1 b 3 Q 7 L C Z x d W 9 0 O 1 N l Y 3 R p b 2 4 x L 1 N o Z W V 0 M S A o M i k v U m V t b 3 Z l Z C B C b 3 R 0 b 2 0 g U m 9 3 c y 5 7 R W 1 w b G 9 5 Z W V y I F B s Y W 4 g T m F t Z S B D d X J y Z W 5 0 L D Z 9 J n F 1 b 3 Q 7 L C Z x d W 9 0 O 1 N l Y 3 R p b 2 4 x L 1 N o Z W V 0 M S A o M i k v U m V t b 3 Z l Z C B C b 3 R 0 b 2 0 g U m 9 3 c y 5 7 R W 1 w b G 9 5 Z W U g U G x h b i B O Y W 1 l I E N 1 c n J l b n Q g L D d 9 J n F 1 b 3 Q 7 L C Z x d W 9 0 O 1 N l Y 3 R p b 2 4 x L 1 N o Z W V 0 M S A o M i k v U m V t b 3 Z l Z C B C b 3 R 0 b 2 0 g U m 9 3 c y 5 7 R W 1 w b G 9 5 Z W V y I F B s Y W 4 g T m F t Z S B S Z W 5 l d 2 F s L D h 9 J n F 1 b 3 Q 7 L C Z x d W 9 0 O 1 N l Y 3 R p b 2 4 x L 1 N o Z W V 0 M S A o M i k v U m V t b 3 Z l Z C B C b 3 R 0 b 2 0 g U m 9 3 c y 5 7 R W 1 w b G 9 5 Z W U g U G x h b i B O Y W 1 l I F J l b m V 3 Y W w g L D l 9 J n F 1 b 3 Q 7 L C Z x d W 9 0 O 1 N l Y 3 R p b 2 4 x L 1 N o Z W V 0 M S A o M i k v U m V t b 3 Z l Z C B C b 3 R 0 b 2 0 g U m 9 3 c y 5 7 R W 1 w b G 9 5 Z X I g S 1 A g U G x h b i B O Y W 1 l I H Z z I E N 1 c n J l b n Q g L D E w f S Z x d W 9 0 O y w m c X V v d D t T Z W N 0 a W 9 u M S 9 T a G V l d D E g K D I p L 1 J l b W 9 2 Z W Q g Q m 9 0 d G 9 t I F J v d 3 M u e 0 V t c G x v e W V l I E t Q I F B s Y W 4 g T m F t Z S B 2 c y B S Z W 5 l d 2 F s L D E x f S Z x d W 9 0 O y w m c X V v d D t T Z W N 0 a W 9 u M S 9 T a G V l d D E g K D I p L 1 J l b W 9 2 Z W Q g Q m 9 0 d G 9 t I F J v d 3 M u e 0 9 w d G l v b i A s M T J 9 J n F 1 b 3 Q 7 X S w m c X V v d D t D b 2 x 1 b W 5 D b 3 V u d C Z x d W 9 0 O z o x M y w m c X V v d D t L Z X l D b 2 x 1 b W 5 O Y W 1 l c y Z x d W 9 0 O z p b X S w m c X V v d D t D b 2 x 1 b W 5 J Z G V u d G l 0 a W V z J n F 1 b 3 Q 7 O l s m c X V v d D t T Z W N 0 a W 9 u M S 9 T a G V l d D E g K D I p L 1 J l b W 9 2 Z W Q g Q m 9 0 d G 9 t I F J v d 3 M u e 1 R p Z X I g L D B 9 J n F 1 b 3 Q 7 L C Z x d W 9 0 O 1 N l Y 3 R p b 2 4 x L 1 N o Z W V 0 M S A o M i k v U m V t b 3 Z l Z C B C b 3 R 0 b 2 0 g U m 9 3 c y 5 7 R W 5 y b 2 x s b W V u d C A s M X 0 m c X V v d D s s J n F 1 b 3 Q 7 U 2 V j d G l v b j E v U 2 h l Z X Q x I C g y K S 9 S Z W 1 v d m V k I E J v d H R v b S B S b 3 d z L n t Q b G F u I E 5 h b W U t Q 3 V y c m V u d C A s M n 0 m c X V v d D s s J n F 1 b 3 Q 7 U 2 V j d G l v b j E v U 2 h l Z X Q x I C g y K S 9 S Z W 1 v d m V k I E J v d H R v b S B S b 3 d z L n t Q b G F u I E 5 h b W U t U m V u Z X d h b C A g L D N 9 J n F 1 b 3 Q 7 L C Z x d W 9 0 O 1 N l Y 3 R p b 2 4 x L 1 N o Z W V 0 M S A o M i k v U m V t b 3 Z l Z C B C b 3 R 0 b 2 0 g U m 9 3 c y 5 7 S 1 A g U G x h b i B O Y W 1 l I H Z z I E N 1 c n J l b n Q g I C w 0 f S Z x d W 9 0 O y w m c X V v d D t T Z W N 0 a W 9 u M S 9 T a G V l d D E g K D I p L 1 J l b W 9 2 Z W Q g Q m 9 0 d G 9 t I F J v d 3 M u e 0 t Q I F B s Y W 4 g T m F t Z S B 2 c y B S Z W 5 l d 2 F s I C A s N X 0 m c X V v d D s s J n F 1 b 3 Q 7 U 2 V j d G l v b j E v U 2 h l Z X Q x I C g y K S 9 S Z W 1 v d m V k I E J v d H R v b S B S b 3 d z L n t F b X B s b 3 l l Z X I g U G x h b i B O Y W 1 l I E N 1 c n J l b n Q s N n 0 m c X V v d D s s J n F 1 b 3 Q 7 U 2 V j d G l v b j E v U 2 h l Z X Q x I C g y K S 9 S Z W 1 v d m V k I E J v d H R v b S B S b 3 d z L n t F b X B s b 3 l l Z S B Q b G F u I E 5 h b W U g Q 3 V y c m V u d C A s N 3 0 m c X V v d D s s J n F 1 b 3 Q 7 U 2 V j d G l v b j E v U 2 h l Z X Q x I C g y K S 9 S Z W 1 v d m V k I E J v d H R v b S B S b 3 d z L n t F b X B s b 3 l l Z X I g U G x h b i B O Y W 1 l I F J l b m V 3 Y W w s O H 0 m c X V v d D s s J n F 1 b 3 Q 7 U 2 V j d G l v b j E v U 2 h l Z X Q x I C g y K S 9 S Z W 1 v d m V k I E J v d H R v b S B S b 3 d z L n t F b X B s b 3 l l Z S B Q b G F u I E 5 h b W U g U m V u Z X d h b C A s O X 0 m c X V v d D s s J n F 1 b 3 Q 7 U 2 V j d G l v b j E v U 2 h l Z X Q x I C g y K S 9 S Z W 1 v d m V k I E J v d H R v b S B S b 3 d z L n t F b X B s b 3 l l c i B L U C B Q b G F u I E 5 h b W U g d n M g Q 3 V y c m V u d C A s M T B 9 J n F 1 b 3 Q 7 L C Z x d W 9 0 O 1 N l Y 3 R p b 2 4 x L 1 N o Z W V 0 M S A o M i k v U m V t b 3 Z l Z C B C b 3 R 0 b 2 0 g U m 9 3 c y 5 7 R W 1 w b G 9 5 Z W U g S 1 A g U G x h b i B O Y W 1 l I H Z z I F J l b m V 3 Y W w s M T F 9 J n F 1 b 3 Q 7 L C Z x d W 9 0 O 1 N l Y 3 R p b 2 4 x L 1 N o Z W V 0 M S A o M i k v U m V t b 3 Z l Z C B C b 3 R 0 b 2 0 g U m 9 3 c y 5 7 T 3 B 0 a W 9 u I C w x M n 0 m c X V v d D t d L C Z x d W 9 0 O 1 J l b G F 0 a W 9 u c 2 h p c E l u Z m 8 m c X V v d D s 6 W 1 1 9 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y K S 9 S Z W 1 v d m V k J T I w Q m 9 0 d G 9 t J T I w U m 9 3 c z w v S X R l b V B h d G g + P C 9 J d G V t T G 9 j Y X R p b 2 4 + P F N 0 Y W J s Z U V u d H J p Z X M g L z 4 8 L 0 l 0 Z W 0 + P C 9 J d G V t c z 4 8 L 0 x v Y 2 F s U G F j a 2 F n Z U 1 l d G F k Y X R h R m l s Z T 4 W A A A A U E s F B g A A A A A A A A A A A A A A A A A A A A A A A C Y B A A A B A A A A 0 I y d 3 w E V 0 R G M e g D A T 8 K X 6 w E A A A A Z 3 / i 4 N 8 W T R r w q b j h a l B 1 3 A A A A A A I A A A A A A B B m A A A A A Q A A I A A A A C t g Z 7 a x 0 V G 2 x v B p e I P + p 4 y X T l f 3 q d 0 A d P 8 I F z E D y S n V A A A A A A 6 A A A A A A g A A I A A A A L O 5 8 r B 6 3 0 k / w w Z s / p w I J P n G O k d X y 1 y v 9 m L a X x 9 1 I e + J U A A A A D o P O K c c w K C q P l 1 4 B c N 4 Z E H b D g 1 0 p L 3 O O c f 4 n q P q T t i M K E 2 h O x K w l C s o + V m o q J O j z R e x l t A F 2 d E I D 4 i M i A e W C 5 u z m A h J l V 2 F S I L 2 o j + x 7 R k s Q A A A A D o S 5 Z W y j K u M f T U f 3 B 3 M c i t v f K b B i w B e u c y b C y q R K 2 0 / m Z r 1 I G Q F L m E 0 H Z Y E p t n H 7 X B U / p Y Z h M F j L Q 8 E y U V G E 3 o = < / D a t a M a s h u p > 
</file>

<file path=customXml/itemProps1.xml><?xml version="1.0" encoding="utf-8"?>
<ds:datastoreItem xmlns:ds="http://schemas.openxmlformats.org/officeDocument/2006/customXml" ds:itemID="{9B0F6CDA-F541-4DFD-B656-34F870E036E7}">
  <ds:schemaRefs>
    <ds:schemaRef ds:uri="http://schemas.microsoft.com/sharepoint/v3/contenttype/forms"/>
  </ds:schemaRefs>
</ds:datastoreItem>
</file>

<file path=customXml/itemProps2.xml><?xml version="1.0" encoding="utf-8"?>
<ds:datastoreItem xmlns:ds="http://schemas.openxmlformats.org/officeDocument/2006/customXml" ds:itemID="{61C89226-0BA1-4508-A1F1-A0B9C4667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253ad0-fa06-4780-8c7a-19a7b5537403"/>
    <ds:schemaRef ds:uri="e7a1997b-76ad-4be3-b33f-402379fcff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82A349-2DDF-4584-B64B-06D9596E6790}">
  <ds:schemaRefs>
    <ds:schemaRef ds:uri="http://schemas.microsoft.com/office/2006/metadata/properties"/>
    <ds:schemaRef ds:uri="e7a1997b-76ad-4be3-b33f-402379fcffc1"/>
    <ds:schemaRef ds:uri="http://purl.org/dc/terms/"/>
    <ds:schemaRef ds:uri="http://purl.org/dc/dcmitype/"/>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5b253ad0-fa06-4780-8c7a-19a7b5537403"/>
    <ds:schemaRef ds:uri="http://purl.org/dc/elements/1.1/"/>
  </ds:schemaRefs>
</ds:datastoreItem>
</file>

<file path=customXml/itemProps4.xml><?xml version="1.0" encoding="utf-8"?>
<ds:datastoreItem xmlns:ds="http://schemas.openxmlformats.org/officeDocument/2006/customXml" ds:itemID="{F273AA05-16BF-4E3D-BBDF-43D2CB61162F}">
  <ds:schemaRefs>
    <ds:schemaRef ds:uri="http://schemas.microsoft.com/DataMashup"/>
  </ds:schemaRefs>
</ds:datastoreItem>
</file>

<file path=docMetadata/LabelInfo.xml><?xml version="1.0" encoding="utf-8"?>
<clbl:labelList xmlns:clbl="http://schemas.microsoft.com/office/2020/mipLabelMetadata">
  <clbl:label id="{3f8a7bc4-e337-47a5-a0fc-0d512c0e05f1}" enabled="0" method="" siteId="{3f8a7bc4-e337-47a5-a0fc-0d512c0e05f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14</vt:i4>
      </vt:variant>
    </vt:vector>
  </HeadingPairs>
  <TitlesOfParts>
    <vt:vector size="37" baseType="lpstr">
      <vt:lpstr>Medical Anthem CentPref 20</vt:lpstr>
      <vt:lpstr>Medical Anthem Bluecare 20</vt:lpstr>
      <vt:lpstr>Medical - Anthem HRA</vt:lpstr>
      <vt:lpstr>Medical CentPref 20 to Oxford</vt:lpstr>
      <vt:lpstr>Page 1 Comparison</vt:lpstr>
      <vt:lpstr>Template 2 Plan Options </vt:lpstr>
      <vt:lpstr>Template 4 Plans Options  </vt:lpstr>
      <vt:lpstr>Projected Sales</vt:lpstr>
      <vt:lpstr>Data File</vt:lpstr>
      <vt:lpstr>Tier Wise Plan Name Current</vt:lpstr>
      <vt:lpstr>Tier Wise Plan Name Renewal</vt:lpstr>
      <vt:lpstr>Sheet7</vt:lpstr>
      <vt:lpstr>Emoloyeer Name Renewal</vt:lpstr>
      <vt:lpstr>Sheet1 (2)</vt:lpstr>
      <vt:lpstr>Dashboard</vt:lpstr>
      <vt:lpstr>Benefits Comparison</vt:lpstr>
      <vt:lpstr>HL Benefit Comparison</vt:lpstr>
      <vt:lpstr>Medical - Cigna with HSA</vt:lpstr>
      <vt:lpstr>Cigna Rate - HSA</vt:lpstr>
      <vt:lpstr>Census Data, Plan Comparison</vt:lpstr>
      <vt:lpstr>FSA plan cost</vt:lpstr>
      <vt:lpstr>Vol. Life Insurance</vt:lpstr>
      <vt:lpstr>Vision </vt:lpstr>
      <vt:lpstr>'Benefits Comparison'!Print_Area</vt:lpstr>
      <vt:lpstr>'Census Data, Plan Comparison'!Print_Area</vt:lpstr>
      <vt:lpstr>'Cigna Rate - HSA'!Print_Area</vt:lpstr>
      <vt:lpstr>'FSA plan cost'!Print_Area</vt:lpstr>
      <vt:lpstr>'Medical - Anthem HRA'!Print_Area</vt:lpstr>
      <vt:lpstr>'Medical - Cigna with HSA'!Print_Area</vt:lpstr>
      <vt:lpstr>'Medical Anthem Bluecare 20'!Print_Area</vt:lpstr>
      <vt:lpstr>'Medical Anthem CentPref 20'!Print_Area</vt:lpstr>
      <vt:lpstr>'Medical CentPref 20 to Oxford'!Print_Area</vt:lpstr>
      <vt:lpstr>'Page 1 Comparison'!Print_Area</vt:lpstr>
      <vt:lpstr>'Template 2 Plan Options '!Print_Area</vt:lpstr>
      <vt:lpstr>'Template 4 Plans Options  '!Print_Area</vt:lpstr>
      <vt:lpstr>'Vision '!Print_Area</vt:lpstr>
      <vt:lpstr>'Vol. Life Insurance'!Print_Area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EamonMcGovern@sandabenefits.com</dc:creator>
  <cp:lastModifiedBy>abdul raziq</cp:lastModifiedBy>
  <cp:lastPrinted>2019-10-02T15:36:39Z</cp:lastPrinted>
  <dcterms:created xsi:type="dcterms:W3CDTF">2001-03-20T17:11:56Z</dcterms:created>
  <dcterms:modified xsi:type="dcterms:W3CDTF">2023-08-14T00:58:48Z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0x01010064EBE7D15425B64BA0A16AA2E528592A</vt:lpwstr>
  </property>
</Properties>
</file>