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3" activeTab="2"/>
  </bookViews>
  <sheets>
    <sheet name="_Data" sheetId="1" state="hidden" r:id="rId1"/>
    <sheet name="⚙️ Setup" sheetId="2" r:id="rId2"/>
    <sheet name="📊 Dashboard" sheetId="3" r:id="rId3"/>
    <sheet name="👥 Clients" sheetId="4" r:id="rId4"/>
    <sheet name="📅 Events" sheetId="5" r:id="rId5"/>
    <sheet name="🧮 Quote Calculator" sheetId="6" r:id="rId6"/>
    <sheet name="💸 Expenses" sheetId="7" r:id="rId7"/>
    <sheet name="💰 Payments" sheetId="8" r:id="rId8"/>
    <sheet name="📖 Start Here" sheetId="9" r:id="rId9"/>
  </sheets>
  <definedNames>
    <definedName name="BusinessName">'⚙️ Setup'!$C$6</definedName>
    <definedName name="CalMonth">'⚙️ Setup'!$C$18</definedName>
    <definedName name="CalYear">'⚙️ Setup'!$C$19</definedName>
    <definedName name="ClientsList">OFFSET('👥 Clients'!$C$8,0,0,MAX(1,COUNTA('👥 Clients'!$C$8:$C$47)),1)</definedName>
    <definedName name="Currency">'⚙️ Setup'!$C$10</definedName>
    <definedName name="DefaultMargin">'⚙️ Setup'!$C$12</definedName>
    <definedName name="DepositPct">'⚙️ Setup'!$C$13</definedName>
    <definedName name="DueSoonDays">'⚙️ Setup'!$C$14</definedName>
    <definedName name="EventList">OFFSET('📅 Events'!$C$8,0,0,MAX(1,COUNTA('📅 Events'!$C$8:$C$47)),1)</definedName>
    <definedName name="EventStatuses">'⚙️ Setup'!$C$47:$C$52</definedName>
    <definedName name="EventTypes">OFFSET('⚙️ Setup'!$B$23,0,0,MAX(1,COUNTA('⚙️ Setup'!$B$23:$B$42)),1)</definedName>
    <definedName name="ExpenseCategories">OFFSET('⚙️ Setup'!$C$23,0,0,MAX(1,COUNTA('⚙️ Setup'!$C$23:$C$42)),1)</definedName>
    <definedName name="IngredientCategories">OFFSET('⚙️ Setup'!$G$23,0,0,MAX(1,COUNTA('⚙️ Setup'!$G$23:$G$42)),1)</definedName>
    <definedName name="MenuCategories">OFFSET('⚙️ Setup'!$F$23,0,0,MAX(1,COUNTA('⚙️ Setup'!$F$23:$F$42)),1)</definedName>
    <definedName name="PaymentMethods">OFFSET('⚙️ Setup'!$D$23,0,0,MAX(1,COUNTA('⚙️ Setup'!$D$23:$D$42)),1)</definedName>
    <definedName name="PaymentStatuses">'⚙️ Setup'!$D$47:$D$49</definedName>
    <definedName name="_xlnm.Print_Area" localSheetId="0">_Data!$A$1:$AF$102</definedName>
    <definedName name="_xlnm.Print_Area" localSheetId="1">'⚙️ Setup'!$A$1:$H$60</definedName>
    <definedName name="_xlnm.Print_Area" localSheetId="3">'👥 Clients'!$A$1:$O$57</definedName>
    <definedName name="_xlnm.Print_Area" localSheetId="7">'💰 Payments'!$A$1:$M$97</definedName>
    <definedName name="_xlnm.Print_Area" localSheetId="6">'💸 Expenses'!$A$1:$J$77</definedName>
    <definedName name="_xlnm.Print_Area" localSheetId="4">'📅 Events'!$A$1:$R$57</definedName>
    <definedName name="_xlnm.Print_Area" localSheetId="2">'📊 Dashboard'!$A$1:$Q$68</definedName>
    <definedName name="_xlnm.Print_Area" localSheetId="8">'📖 Start Here'!$A$1:$I$53</definedName>
    <definedName name="_xlnm.Print_Area" localSheetId="5">'🧮 Quote Calculator'!$A$1:$G$34</definedName>
    <definedName name="_xlnm.Print_Titles" localSheetId="3">'👥 Clients'!$7:$7</definedName>
    <definedName name="_xlnm.Print_Titles" localSheetId="7">'💰 Payments'!$7:$7</definedName>
    <definedName name="_xlnm.Print_Titles" localSheetId="6">'💸 Expenses'!$7:$7</definedName>
    <definedName name="_xlnm.Print_Titles" localSheetId="4">'📅 Events'!$7:$7</definedName>
    <definedName name="ReportYear">'⚙️ Setup'!$C$15</definedName>
    <definedName name="StaffRoles">OFFSET('⚙️ Setup'!$E$23,0,0,MAX(1,COUNTA('⚙️ Setup'!$E$23:$E$42)),1)</definedName>
    <definedName name="TaxRate">'⚙️ Setup'!$C$11</definedName>
    <definedName name="Tick">'⚙️ Setup'!$E$47:$E$48</definedName>
  </definedNames>
  <calcPr calcId="124519" fullCalcOnLoad="1"/>
</workbook>
</file>

<file path=xl/sharedStrings.xml><?xml version="1.0" encoding="utf-8"?>
<sst xmlns="http://schemas.openxmlformats.org/spreadsheetml/2006/main" count="423" uniqueCount="301">
  <si>
    <t>Ultimate Catering Business Spreadsheet - calculation engine (hidden).  Every number on the Dashboard and the reports is computed here.</t>
  </si>
  <si>
    <t>Jan</t>
  </si>
  <si>
    <t>Feb</t>
  </si>
  <si>
    <t>Mar</t>
  </si>
  <si>
    <t>Apr</t>
  </si>
  <si>
    <t>May</t>
  </si>
  <si>
    <t>Jun</t>
  </si>
  <si>
    <t>Jul</t>
  </si>
  <si>
    <t>Aug</t>
  </si>
  <si>
    <t>Sep</t>
  </si>
  <si>
    <t>Oct</t>
  </si>
  <si>
    <t>Nov</t>
  </si>
  <si>
    <t>Dec</t>
  </si>
  <si>
    <t>Month</t>
  </si>
  <si>
    <t>Cash in</t>
  </si>
  <si>
    <t>Cash out</t>
  </si>
  <si>
    <t>Net</t>
  </si>
  <si>
    <t>Events</t>
  </si>
  <si>
    <t>Expense category</t>
  </si>
  <si>
    <t>Spend</t>
  </si>
  <si>
    <t>Ingredients</t>
  </si>
  <si>
    <t>Packaging</t>
  </si>
  <si>
    <t>Staff / Labor</t>
  </si>
  <si>
    <t>Transportation</t>
  </si>
  <si>
    <t>Equipment</t>
  </si>
  <si>
    <t>Kitchen Rental</t>
  </si>
  <si>
    <t>Marketing</t>
  </si>
  <si>
    <t>Insurance</t>
  </si>
  <si>
    <t>Utilities</t>
  </si>
  <si>
    <t>Software</t>
  </si>
  <si>
    <t>Miscellaneous</t>
  </si>
  <si>
    <t>Event type</t>
  </si>
  <si>
    <t>Revenue</t>
  </si>
  <si>
    <t>Wedding</t>
  </si>
  <si>
    <t>Corporate</t>
  </si>
  <si>
    <t>Birthday</t>
  </si>
  <si>
    <t>Private Party</t>
  </si>
  <si>
    <t>Buffet</t>
  </si>
  <si>
    <t>Cocktail</t>
  </si>
  <si>
    <t>Conference</t>
  </si>
  <si>
    <t>Festival</t>
  </si>
  <si>
    <t>Other</t>
  </si>
  <si>
    <t>Status</t>
  </si>
  <si>
    <t>💬 Inquiry</t>
  </si>
  <si>
    <t>📝 Quote Sent</t>
  </si>
  <si>
    <t>💰 Deposit Paid</t>
  </si>
  <si>
    <t>✅ Confirmed</t>
  </si>
  <si>
    <t>🎉 Completed</t>
  </si>
  <si>
    <t>❌ Cancelled</t>
  </si>
  <si>
    <t>Client</t>
  </si>
  <si>
    <t>Received</t>
  </si>
  <si>
    <t>Upcoming date</t>
  </si>
  <si>
    <t>Upcoming event</t>
  </si>
  <si>
    <t>Payment due</t>
  </si>
  <si>
    <t>Owes</t>
  </si>
  <si>
    <t>Balance</t>
  </si>
  <si>
    <t>KPI</t>
  </si>
  <si>
    <t>Value</t>
  </si>
  <si>
    <t>Cash received (deposits + payments)</t>
  </si>
  <si>
    <t>Total expenses</t>
  </si>
  <si>
    <t>Net profit</t>
  </si>
  <si>
    <t>Net profit margin</t>
  </si>
  <si>
    <t>Events on the books</t>
  </si>
  <si>
    <t>Events completed</t>
  </si>
  <si>
    <t>Events confirmed (upcoming)</t>
  </si>
  <si>
    <t>Events cancelled</t>
  </si>
  <si>
    <t>Average order value</t>
  </si>
  <si>
    <t>Average guests per event</t>
  </si>
  <si>
    <t>Average profit per event</t>
  </si>
  <si>
    <t>Guests catered (completed)</t>
  </si>
  <si>
    <t>Outstanding receivables</t>
  </si>
  <si>
    <t>Overdue invoices</t>
  </si>
  <si>
    <t>Invoices still open</t>
  </si>
  <si>
    <t>Ingredient &amp; packaging spend</t>
  </si>
  <si>
    <t>Staff / labor spend</t>
  </si>
  <si>
    <t>Food cost % of revenue</t>
  </si>
  <si>
    <t>Labor cost % of revenue</t>
  </si>
  <si>
    <t>Repeat customer %</t>
  </si>
  <si>
    <t>Inventory value</t>
  </si>
  <si>
    <t>Ingredients below minimum</t>
  </si>
  <si>
    <t>Shopping lines open</t>
  </si>
  <si>
    <t>Shopping list estimated cost</t>
  </si>
  <si>
    <t>Unpaid staff shifts</t>
  </si>
  <si>
    <t>Equipment value</t>
  </si>
  <si>
    <t>Equipment needing service</t>
  </si>
  <si>
    <t>Tax collected on sales</t>
  </si>
  <si>
    <t>Estimated tax still due</t>
  </si>
  <si>
    <t>Quote calculator: recommended price</t>
  </si>
  <si>
    <t>Quote calculator: price per guest</t>
  </si>
  <si>
    <t>Menu items priced</t>
  </si>
  <si>
    <t>Average menu margin</t>
  </si>
  <si>
    <t>Best earning event type</t>
  </si>
  <si>
    <t>Highest value client</t>
  </si>
  <si>
    <t>Settings &amp; lists</t>
  </si>
  <si>
    <t>Set up once - every tab reads from here</t>
  </si>
  <si>
    <t>🏠  Back to Dashboard</t>
  </si>
  <si>
    <t>1 · Your business</t>
  </si>
  <si>
    <t>Business name</t>
  </si>
  <si>
    <t>Shown on the Dashboard and the Invoice tab.</t>
  </si>
  <si>
    <t>Dashboard note</t>
  </si>
  <si>
    <t>A little reminder for the team - shown under the Dashboard title.</t>
  </si>
  <si>
    <t>2 · Money settings</t>
  </si>
  <si>
    <t>Currency symbol</t>
  </si>
  <si>
    <t>$</t>
  </si>
  <si>
    <t>Pick from the dropdown, or type your own symbol.</t>
  </si>
  <si>
    <t>Sales tax / VAT rate</t>
  </si>
  <si>
    <t>Applied on the Invoice tab and in the Tax Tracker.</t>
  </si>
  <si>
    <t>Target profit margin</t>
  </si>
  <si>
    <t>The Quote Calculator prices events to hit this.</t>
  </si>
  <si>
    <t>Deposit to confirm</t>
  </si>
  <si>
    <t>Suggested deposit share of the total price.</t>
  </si>
  <si>
    <t>“Due soon” window (days)</t>
  </si>
  <si>
    <t>Dates inside this window glow amber on every tab.</t>
  </si>
  <si>
    <t>Report year</t>
  </si>
  <si>
    <t>Drives the P&amp;L and the Tax Tracker.</t>
  </si>
  <si>
    <t>3 · Calendar</t>
  </si>
  <si>
    <t>Month to show</t>
  </si>
  <si>
    <t>Year to show</t>
  </si>
  <si>
    <t>The Event Calendar tab shows this month (1 = January ... 12 = December).</t>
  </si>
  <si>
    <t>4 · Your dropdown lists (edit freely)</t>
  </si>
  <si>
    <t>Event types</t>
  </si>
  <si>
    <t>Expense categories</t>
  </si>
  <si>
    <t>Ingredient categories</t>
  </si>
  <si>
    <t>Menu categories</t>
  </si>
  <si>
    <t>Payment methods</t>
  </si>
  <si>
    <t>Staff roles</t>
  </si>
  <si>
    <t>Produce</t>
  </si>
  <si>
    <t>Meat &amp; Fish</t>
  </si>
  <si>
    <t>Dairy</t>
  </si>
  <si>
    <t>Pantry</t>
  </si>
  <si>
    <t>Bakery</t>
  </si>
  <si>
    <t>Beverages</t>
  </si>
  <si>
    <t>Starter</t>
  </si>
  <si>
    <t>Main</t>
  </si>
  <si>
    <t>Dessert</t>
  </si>
  <si>
    <t>Sides</t>
  </si>
  <si>
    <t>Beverage</t>
  </si>
  <si>
    <t>Canapé</t>
  </si>
  <si>
    <t>Cash</t>
  </si>
  <si>
    <t>Bank Transfer</t>
  </si>
  <si>
    <t>Card</t>
  </si>
  <si>
    <t>Cheque</t>
  </si>
  <si>
    <t>Mobile Wallet</t>
  </si>
  <si>
    <t>Head Chef</t>
  </si>
  <si>
    <t>Chef</t>
  </si>
  <si>
    <t>Sous Chef</t>
  </si>
  <si>
    <t>Server</t>
  </si>
  <si>
    <t>Bartender</t>
  </si>
  <si>
    <t>Driver</t>
  </si>
  <si>
    <t>Setup Crew</t>
  </si>
  <si>
    <t>Cleaner</t>
  </si>
  <si>
    <t>Manager</t>
  </si>
  <si>
    <t>5 · Fixed lists (the status formulas depend on these exact texts - locked)</t>
  </si>
  <si>
    <t>Event statuses</t>
  </si>
  <si>
    <t>Payment statuses</t>
  </si>
  <si>
    <t>🔴 Unpaid</t>
  </si>
  <si>
    <t>🟠 Partial</t>
  </si>
  <si>
    <t>🟢 Paid in full</t>
  </si>
  <si>
    <t>Tick</t>
  </si>
  <si>
    <t>✓</t>
  </si>
  <si>
    <t>Tip: empty rows in a list simply don't appear in the dropdowns.  Add options at the bottom of a column and they show up everywhere, instantly.</t>
  </si>
  <si>
    <t>▶ Setup</t>
  </si>
  <si>
    <t>🏠 Home</t>
  </si>
  <si>
    <t>Clients</t>
  </si>
  <si>
    <t>Quote</t>
  </si>
  <si>
    <t>Expenses</t>
  </si>
  <si>
    <t>Payments</t>
  </si>
  <si>
    <t>Help</t>
  </si>
  <si>
    <t>CASH IN</t>
  </si>
  <si>
    <t>CASH OUT</t>
  </si>
  <si>
    <t>NET PROFIT</t>
  </si>
  <si>
    <t>NET MARGIN</t>
  </si>
  <si>
    <t>EVENTS ON THE BOOKS</t>
  </si>
  <si>
    <t>CONFIRMED &amp; COMING UP</t>
  </si>
  <si>
    <t>OUTSTANDING</t>
  </si>
  <si>
    <t>OVERDUE INVOICES</t>
  </si>
  <si>
    <t>FOOD COST %</t>
  </si>
  <si>
    <t>LABOR %</t>
  </si>
  <si>
    <t>AVG ORDER VALUE</t>
  </si>
  <si>
    <t>GUESTS SERVED</t>
  </si>
  <si>
    <t>How the season is going</t>
  </si>
  <si>
    <t>Collected vs invoiced</t>
  </si>
  <si>
    <t>Costs vs cash in</t>
  </si>
  <si>
    <t>The picture</t>
  </si>
  <si>
    <t>Every number on this page updates itself from the other tabs - nothing here is typed by hand.</t>
  </si>
  <si>
    <t>Setup</t>
  </si>
  <si>
    <t>▶ 🏠 Home</t>
  </si>
  <si>
    <t>Everyone you cook for - balances and history in one place</t>
  </si>
  <si>
    <t>#</t>
  </si>
  <si>
    <t>Client / company</t>
  </si>
  <si>
    <t>Phone</t>
  </si>
  <si>
    <t>Email</t>
  </si>
  <si>
    <t>Next event</t>
  </si>
  <si>
    <t>Guests</t>
  </si>
  <si>
    <t>Venue / address</t>
  </si>
  <si>
    <t>Package</t>
  </si>
  <si>
    <t>Quoted</t>
  </si>
  <si>
    <t>Deposit</t>
  </si>
  <si>
    <t>Balance due</t>
  </si>
  <si>
    <t>Payment status</t>
  </si>
  <si>
    <t>Notes</t>
  </si>
  <si>
    <t>TOTALS</t>
  </si>
  <si>
    <t>How this tab works</t>
  </si>
  <si>
    <t>The Balance due column calculates itself (quote minus deposit) - type over the white cells only.
Payment status drives the colours here and the receivables cards on the Dashboard.</t>
  </si>
  <si>
    <t>▶ Clients</t>
  </si>
  <si>
    <t>Every booking - costs, pricing and profit per event</t>
  </si>
  <si>
    <t>Event ID</t>
  </si>
  <si>
    <t>Date</t>
  </si>
  <si>
    <t>Type</t>
  </si>
  <si>
    <t>Menu / dishes</t>
  </si>
  <si>
    <t>Crew</t>
  </si>
  <si>
    <t>Equipment needed</t>
  </si>
  <si>
    <t>Cost</t>
  </si>
  <si>
    <t>Price</t>
  </si>
  <si>
    <t>Profit</t>
  </si>
  <si>
    <t>Margin</t>
  </si>
  <si>
    <t>Profit, Margin and Balance calculate themselves - never type in the tinted columns.
The Status pipeline feeds the Pipeline doughnut on the Dashboard; dates go amber inside your due-soon window and red once a live event has passed.</t>
  </si>
  <si>
    <t>▶ Events</t>
  </si>
  <si>
    <t>Quote Calculator</t>
  </si>
  <si>
    <t>Price an event in 30 seconds - margin, deposit and per-guest numbers included</t>
  </si>
  <si>
    <t>1 · Your inputs</t>
  </si>
  <si>
    <t>2 · The quote (automatic)</t>
  </si>
  <si>
    <t>Client / enquiry</t>
  </si>
  <si>
    <t>Event date</t>
  </si>
  <si>
    <t>Food cost per guest</t>
  </si>
  <si>
    <t>Kitchen &amp; service crew</t>
  </si>
  <si>
    <t>Equipment &amp; rentals</t>
  </si>
  <si>
    <t>Transport &amp; fuel</t>
  </si>
  <si>
    <t>Other costs</t>
  </si>
  <si>
    <t>Target margin</t>
  </si>
  <si>
    <t>Deposit %</t>
  </si>
  <si>
    <t>Food total</t>
  </si>
  <si>
    <t>Total cost</t>
  </si>
  <si>
    <t>RECOMMENDED PRICE</t>
  </si>
  <si>
    <t>Price per guest</t>
  </si>
  <si>
    <t>Profit on the job</t>
  </si>
  <si>
    <t>Balance after deposit</t>
  </si>
  <si>
    <t>Cost per guest</t>
  </si>
  <si>
    <t>How the math works</t>
  </si>
  <si>
    <t>•  Price = Total cost ÷ (1 - margin).  At a 35% target margin, $1,000 of costs prices at $1,538 - you keep $538.</t>
  </si>
  <si>
    <t>•  The margin and deposit start from your Setup defaults; type over them here for a one-off quote without changing the defaults.</t>
  </si>
  <si>
    <t>•  When they say yes: add the event on the Events tab, the deposit on the Payments tab, and the ingredients on the Shopping List.</t>
  </si>
  <si>
    <t>▶ Quote</t>
  </si>
  <si>
    <t>Every cost, categorised - the P&amp;L builds itself from here</t>
  </si>
  <si>
    <t>Vendor</t>
  </si>
  <si>
    <t>Category</t>
  </si>
  <si>
    <t>What / description</t>
  </si>
  <si>
    <t>Amount</t>
  </si>
  <si>
    <t>Paid by</t>
  </si>
  <si>
    <t>Event</t>
  </si>
  <si>
    <t>Receipt</t>
  </si>
  <si>
    <t>TOTAL SPEND</t>
  </si>
  <si>
    <t>Categorising is what makes the Dashboard doughnut, the food cost % and the P&amp;L work - pick from the dropdown rather than typing.
Ingredients + Packaging count as food cost; everything else is operating cost in the P&amp;L.</t>
  </si>
  <si>
    <t>▶ Expenses</t>
  </si>
  <si>
    <t>Deposits, installments and final balances - who owes what</t>
  </si>
  <si>
    <t>Invoice #</t>
  </si>
  <si>
    <t>Invoice total</t>
  </si>
  <si>
    <t>Payment 2</t>
  </si>
  <si>
    <t>Final payment</t>
  </si>
  <si>
    <t>Due date</t>
  </si>
  <si>
    <t>Received and Balance calculate themselves from the deposit and payment columns - only type in the white cells.
Due dates go amber inside your due-soon window and red once they pass with a balance left; the Dashboard overdue card counts them.</t>
  </si>
  <si>
    <t>▶ Payments</t>
  </si>
  <si>
    <t>Ultimate Catering Business Spreadsheet</t>
  </si>
  <si>
    <t>Events • Clients • Quotes • Food Cost • Profit  ·  by Novality Store  ·  v1.0</t>
  </si>
  <si>
    <t>Works in Microsoft Excel (2016 and newer) and Google Sheets - no macros, nothing to install.</t>
  </si>
  <si>
    <t>Welcome</t>
  </si>
  <si>
    <t>This is your whole catering operation in one file: clients, events, quotes, menu costs, inventory, shopping, staff, equipment, money and tax - with a dashboard that adds it all up for you.</t>
  </si>
  <si>
    <t>Start in three steps</t>
  </si>
  <si>
    <t>1</t>
  </si>
  <si>
    <t>Open the Setup tab: type your business name, pick your currency and set your target margin and deposit %.</t>
  </si>
  <si>
    <t>2</t>
  </si>
  <si>
    <t>Add your first event on the Events tab - cost, price, deposit, status.  The Dashboard, Calendar and P&amp;L update instantly.</t>
  </si>
  <si>
    <t>3</t>
  </si>
  <si>
    <t>Log the deposit on the Payments tab and the ingredients on the Shopping List.  That's the whole loop - repeat and grow.</t>
  </si>
  <si>
    <t>What each tab does</t>
  </si>
  <si>
    <t>📊 Dashboard</t>
  </si>
  <si>
    <t>Your live scorecards and charts - everything on this page updates itself.</t>
  </si>
  <si>
    <t>⚙️ Setup</t>
  </si>
  <si>
    <t>Your business name, currency, margins and every dropdown list.  Start here.</t>
  </si>
  <si>
    <t>👥 Clients</t>
  </si>
  <si>
    <t>Who you cook for - quotes, deposits and balances.</t>
  </si>
  <si>
    <t>📅 Events</t>
  </si>
  <si>
    <t>Every booking: costs, pricing, profit and the status pipeline.</t>
  </si>
  <si>
    <t>🧮 Quote Calculator</t>
  </si>
  <si>
    <t>Price an event in 30 seconds - margin and deposit included.</t>
  </si>
  <si>
    <t>💸 Expenses</t>
  </si>
  <si>
    <t>Every cost, categorised - feeds the P&amp;L and the doughnut chart.</t>
  </si>
  <si>
    <t>💰 Payments</t>
  </si>
  <si>
    <t>Invoices, deposits and who still owes what.</t>
  </si>
  <si>
    <t>📖 Start Here</t>
  </si>
  <si>
    <t>This page.</t>
  </si>
  <si>
    <t>The house rules</t>
  </si>
  <si>
    <t>•  Type only in the white cells.  Tinted columns calculate themselves - if you type over one you'll get the number back on the next edit anyway.</t>
  </si>
  <si>
    <t>•  Every formula is protected, so a stray keystroke can't break the file.  All the input cells stay open; if you ever need to change a formula, use Review › Unprotect Sheet and it's yours.</t>
  </si>
  <si>
    <t>•  Dropdowns: click a cell and pick.  The lists live on the Setup tab - add your own options whenever you like and every dropdown updates.</t>
  </si>
  <si>
    <t>•  Dates: type them in almost any format (“15 Oct 2026” works) or double-click and pick from the calendar.</t>
  </si>
  <si>
    <t>•  Room to grow: Clients holds 40 rows, Events 40, Expenses 60, Payments 60, Menu 30.  Need more?  Right-click a row number inside a table and choose Insert.</t>
  </si>
  <si>
    <t>•  Google Sheets: upload the file to Google Drive and open it with Google Sheets - formulas, dropdowns, colours and charts all carry over.</t>
  </si>
  <si>
    <t>Licence &amp; support</t>
  </si>
  <si>
    <t>Personal licence: one purchase, use it for your own business forever, on as many of your own devices as you like.  Please don't resell or share the file.  Stuck, or spotted something odd?  Message us through the shop - we read and answer everything.  — Novality Store</t>
  </si>
  <si>
    <t>▶ Help</t>
  </si>
</sst>
</file>

<file path=xl/styles.xml><?xml version="1.0" encoding="utf-8"?>
<styleSheet xmlns="http://schemas.openxmlformats.org/spreadsheetml/2006/main">
  <numFmts count="6">
    <numFmt numFmtId="164" formatCode="0%"/>
    <numFmt numFmtId="165" formatCode="mmmm"/>
    <numFmt numFmtId="166" formatCode="#,##0"/>
    <numFmt numFmtId="167" formatCode="$#,##0"/>
    <numFmt numFmtId="168" formatCode="dd mmm yyyy"/>
    <numFmt numFmtId="169" formatCode="#,##0.00"/>
  </numFmts>
  <fonts count="60">
    <font>
      <sz val="11"/>
      <color theme="1"/>
      <name val="Calibri"/>
      <family val="2"/>
      <scheme val="minor"/>
    </font>
    <font>
      <i/>
      <sz val="10"/>
      <color rgb="FF7C8A82"/>
      <name val="Calibri"/>
      <family val="2"/>
      <scheme val="minor"/>
    </font>
    <font>
      <b/>
      <sz val="10"/>
      <color rgb="FFFFFFFF"/>
      <name val="Calibri"/>
      <family val="2"/>
      <scheme val="minor"/>
    </font>
    <font>
      <b/>
      <sz val="20"/>
      <color rgb="FF2F5D46"/>
      <name val="Calibri Light"/>
      <family val="2"/>
    </font>
    <font>
      <i/>
      <sz val="10.5"/>
      <color rgb="FF7C8A82"/>
      <name val="Calibri"/>
      <family val="2"/>
      <scheme val="minor"/>
    </font>
    <font>
      <b/>
      <sz val="13"/>
      <color rgb="FFFFFFFF"/>
      <name val="Calibri Light"/>
      <family val="2"/>
    </font>
    <font>
      <b/>
      <sz val="10.5"/>
      <color rgb="FF22302A"/>
      <name val="Calibri"/>
      <family val="2"/>
      <scheme val="minor"/>
    </font>
    <font>
      <sz val="10.5"/>
      <color rgb="FF22302A"/>
      <name val="Calibri"/>
      <family val="2"/>
      <scheme val="minor"/>
    </font>
    <font>
      <b/>
      <sz val="13"/>
      <color rgb="FF22302A"/>
      <name val="Calibri Light"/>
      <family val="2"/>
    </font>
    <font>
      <b/>
      <sz val="12"/>
      <color rgb="FF2F5D46"/>
      <name val="Calibri Light"/>
      <family val="2"/>
    </font>
    <font>
      <b/>
      <sz val="11"/>
      <color rgb="FF3E6E8E"/>
      <name val="Calibri"/>
      <family val="2"/>
      <scheme val="minor"/>
    </font>
    <font>
      <b/>
      <sz val="11"/>
      <color rgb="FF6C5B94"/>
      <name val="Calibri"/>
      <family val="2"/>
      <scheme val="minor"/>
    </font>
    <font>
      <b/>
      <sz val="11"/>
      <color rgb="FFC07C12"/>
      <name val="Calibri"/>
      <family val="2"/>
      <scheme val="minor"/>
    </font>
    <font>
      <b/>
      <sz val="11"/>
      <color rgb="FF3E7C4F"/>
      <name val="Calibri"/>
      <family val="2"/>
      <scheme val="minor"/>
    </font>
    <font>
      <b/>
      <sz val="11"/>
      <color rgb="FFC99A18"/>
      <name val="Calibri"/>
      <family val="2"/>
      <scheme val="minor"/>
    </font>
    <font>
      <b/>
      <sz val="11"/>
      <color rgb="FFB23A3A"/>
      <name val="Calibri"/>
      <family val="2"/>
      <scheme val="minor"/>
    </font>
    <font>
      <b/>
      <sz val="10.5"/>
      <color rgb="FFFFFFFF"/>
      <name val="Calibri"/>
      <family val="2"/>
      <scheme val="minor"/>
    </font>
    <font>
      <b/>
      <sz val="26"/>
      <color rgb="FFFFFFFF"/>
      <name val="Calibri Light"/>
      <family val="2"/>
    </font>
    <font>
      <b/>
      <sz val="17"/>
      <color rgb="FFFAF1D6"/>
      <name val="Calibri Light"/>
      <family val="2"/>
    </font>
    <font>
      <i/>
      <sz val="10"/>
      <color rgb="FF22302A"/>
      <name val="Calibri"/>
      <family val="2"/>
      <scheme val="minor"/>
    </font>
    <font>
      <b/>
      <sz val="9.5"/>
      <color rgb="FFFFFFFF"/>
      <name val="Calibri"/>
      <family val="2"/>
      <scheme val="minor"/>
    </font>
    <font>
      <b/>
      <sz val="22"/>
      <color rgb="FF3E7C4F"/>
      <name val="Calibri Light"/>
      <family val="2"/>
    </font>
    <font>
      <b/>
      <sz val="22"/>
      <color rgb="FFB23A3A"/>
      <name val="Calibri Light"/>
      <family val="2"/>
    </font>
    <font>
      <b/>
      <sz val="22"/>
      <color rgb="FF2F5D46"/>
      <name val="Calibri Light"/>
      <family val="2"/>
    </font>
    <font>
      <b/>
      <sz val="22"/>
      <color rgb="FFC4482F"/>
      <name val="Calibri Light"/>
      <family val="2"/>
    </font>
    <font>
      <b/>
      <sz val="9"/>
      <color rgb="FFFFFFFF"/>
      <name val="Calibri"/>
      <family val="2"/>
      <scheme val="minor"/>
    </font>
    <font>
      <b/>
      <sz val="15"/>
      <color rgb="FF56806A"/>
      <name val="Calibri Light"/>
      <family val="2"/>
    </font>
    <font>
      <b/>
      <sz val="10"/>
      <color rgb="FF22302A"/>
      <name val="Calibri"/>
      <family val="2"/>
      <scheme val="minor"/>
    </font>
    <font>
      <b/>
      <sz val="13"/>
      <color rgb="FF56806A"/>
      <name val="Consolas"/>
      <family val="2"/>
    </font>
    <font>
      <b/>
      <sz val="13"/>
      <color rgb="FFC4482F"/>
      <name val="Consolas"/>
      <family val="2"/>
    </font>
    <font>
      <i/>
      <sz val="9"/>
      <color rgb="FF7C8A82"/>
      <name val="Calibri"/>
      <family val="2"/>
      <scheme val="minor"/>
    </font>
    <font>
      <b/>
      <sz val="10.5"/>
      <color rgb="FFC4482F"/>
      <name val="Calibri"/>
      <family val="2"/>
      <scheme val="minor"/>
    </font>
    <font>
      <b/>
      <sz val="10.5"/>
      <color rgb="FF6C5B94"/>
      <name val="Calibri"/>
      <family val="2"/>
      <scheme val="minor"/>
    </font>
    <font>
      <b/>
      <sz val="10.5"/>
      <color rgb="FF3E7C4F"/>
      <name val="Calibri"/>
      <family val="2"/>
      <scheme val="minor"/>
    </font>
    <font>
      <b/>
      <sz val="10.5"/>
      <color rgb="FFC07C12"/>
      <name val="Calibri"/>
      <family val="2"/>
      <scheme val="minor"/>
    </font>
    <font>
      <sz val="9"/>
      <color rgb="FF7C8A82"/>
      <name val="Calibri"/>
      <family val="2"/>
      <scheme val="minor"/>
    </font>
    <font>
      <sz val="10.5"/>
      <color rgb="FF2F5D46"/>
      <name val="Calibri"/>
      <family val="2"/>
      <scheme val="minor"/>
    </font>
    <font>
      <b/>
      <sz val="11"/>
      <color rgb="FFFFFFFF"/>
      <name val="Calibri"/>
      <family val="2"/>
      <scheme val="minor"/>
    </font>
    <font>
      <b/>
      <sz val="10.5"/>
      <color rgb="FF3E6E8E"/>
      <name val="Calibri"/>
      <family val="2"/>
      <scheme val="minor"/>
    </font>
    <font>
      <b/>
      <sz val="10.5"/>
      <color rgb="FFC99A18"/>
      <name val="Calibri"/>
      <family val="2"/>
      <scheme val="minor"/>
    </font>
    <font>
      <b/>
      <sz val="10.5"/>
      <color rgb="FF2F5D46"/>
      <name val="Calibri"/>
      <family val="2"/>
      <scheme val="minor"/>
    </font>
    <font>
      <b/>
      <sz val="13"/>
      <color rgb="FFFFFFFF"/>
      <name val="Calibri"/>
      <family val="2"/>
      <scheme val="minor"/>
    </font>
    <font>
      <b/>
      <sz val="16"/>
      <color rgb="FFC4482F"/>
      <name val="Calibri Light"/>
      <family val="2"/>
    </font>
    <font>
      <b/>
      <sz val="17"/>
      <color rgb="FFFFFFFF"/>
      <name val="Calibri Light"/>
      <family val="2"/>
    </font>
    <font>
      <b/>
      <sz val="10.5"/>
      <color rgb="FFB23A3A"/>
      <name val="Calibri"/>
      <family val="2"/>
      <scheme val="minor"/>
    </font>
    <font>
      <b/>
      <sz val="13"/>
      <color rgb="FF2F7D4F"/>
      <name val="Calibri"/>
      <family val="2"/>
      <scheme val="minor"/>
    </font>
    <font>
      <b/>
      <sz val="30"/>
      <color rgb="FF2F5D46"/>
      <name val="Calibri Light"/>
      <family val="2"/>
    </font>
    <font>
      <sz val="12"/>
      <color rgb="FF22302A"/>
      <name val="Calibri"/>
      <family val="2"/>
      <scheme val="minor"/>
    </font>
    <font>
      <i/>
      <sz val="11"/>
      <color rgb="FF7C8A82"/>
      <name val="Calibri"/>
      <family val="2"/>
      <scheme val="minor"/>
    </font>
    <font>
      <sz val="10.5"/>
      <color rgb="FF22302A"/>
      <name val="Calibri"/>
      <family val="2"/>
      <scheme val="minor"/>
    </font>
    <font>
      <b/>
      <sz val="15"/>
      <color rgb="FFFFFFFF"/>
      <name val="Calibri Light"/>
      <family val="2"/>
    </font>
    <font>
      <b/>
      <u/>
      <sz val="10.5"/>
      <color rgb="FF2F5D46"/>
      <name val="Calibri"/>
      <family val="2"/>
      <scheme val="minor"/>
    </font>
    <font>
      <sz val="10"/>
      <color rgb="FF22302A"/>
      <name val="Calibri"/>
      <family val="2"/>
      <scheme val="minor"/>
    </font>
    <font>
      <b/>
      <u/>
      <sz val="10.5"/>
      <color rgb="FF56806A"/>
      <name val="Calibri"/>
      <family val="2"/>
      <scheme val="minor"/>
    </font>
    <font>
      <b/>
      <u/>
      <sz val="10.5"/>
      <color rgb="FFC4482F"/>
      <name val="Calibri"/>
      <family val="2"/>
      <scheme val="minor"/>
    </font>
    <font>
      <b/>
      <u/>
      <sz val="10.5"/>
      <color rgb="FFC99A18"/>
      <name val="Calibri"/>
      <family val="2"/>
      <scheme val="minor"/>
    </font>
    <font>
      <b/>
      <u/>
      <sz val="10.5"/>
      <color rgb="FF3E6E8E"/>
      <name val="Calibri"/>
      <family val="2"/>
      <scheme val="minor"/>
    </font>
    <font>
      <b/>
      <u/>
      <sz val="10.5"/>
      <color rgb="FFB23A3A"/>
      <name val="Calibri"/>
      <family val="2"/>
      <scheme val="minor"/>
    </font>
    <font>
      <b/>
      <u/>
      <sz val="10.5"/>
      <color rgb="FF3E7C4F"/>
      <name val="Calibri"/>
      <family val="2"/>
      <scheme val="minor"/>
    </font>
    <font>
      <b/>
      <u/>
      <sz val="10.5"/>
      <color rgb="FF7C8A82"/>
      <name val="Calibri"/>
      <family val="2"/>
      <scheme val="minor"/>
    </font>
  </fonts>
  <fills count="22">
    <fill>
      <patternFill patternType="none"/>
    </fill>
    <fill>
      <patternFill patternType="gray125"/>
    </fill>
    <fill>
      <patternFill patternType="solid">
        <fgColor rgb="FFFAFBF8"/>
        <bgColor indexed="64"/>
      </patternFill>
    </fill>
    <fill>
      <patternFill patternType="solid">
        <fgColor rgb="FF2F5D46"/>
        <bgColor indexed="64"/>
      </patternFill>
    </fill>
    <fill>
      <patternFill patternType="solid">
        <fgColor rgb="FFC4482F"/>
        <bgColor indexed="64"/>
      </patternFill>
    </fill>
    <fill>
      <patternFill patternType="solid">
        <fgColor rgb="FFFFFFFF"/>
        <bgColor indexed="64"/>
      </patternFill>
    </fill>
    <fill>
      <patternFill patternType="solid">
        <fgColor rgb="FFFAF1D6"/>
        <bgColor indexed="64"/>
      </patternFill>
    </fill>
    <fill>
      <patternFill patternType="solid">
        <fgColor rgb="FFF4F7F3"/>
        <bgColor indexed="64"/>
      </patternFill>
    </fill>
    <fill>
      <patternFill patternType="solid">
        <fgColor rgb="FFE6F0EA"/>
        <bgColor indexed="64"/>
      </patternFill>
    </fill>
    <fill>
      <patternFill patternType="solid">
        <fgColor rgb="FFE2EDF3"/>
        <bgColor indexed="64"/>
      </patternFill>
    </fill>
    <fill>
      <patternFill patternType="solid">
        <fgColor rgb="FFEBE7F3"/>
        <bgColor indexed="64"/>
      </patternFill>
    </fill>
    <fill>
      <patternFill patternType="solid">
        <fgColor rgb="FFFBF0D8"/>
        <bgColor indexed="64"/>
      </patternFill>
    </fill>
    <fill>
      <patternFill patternType="solid">
        <fgColor rgb="FFE0EFE4"/>
        <bgColor indexed="64"/>
      </patternFill>
    </fill>
    <fill>
      <patternFill patternType="solid">
        <fgColor rgb="FFF8E3E1"/>
        <bgColor indexed="64"/>
      </patternFill>
    </fill>
    <fill>
      <patternFill patternType="solid">
        <fgColor rgb="FFC99A18"/>
        <bgColor indexed="64"/>
      </patternFill>
    </fill>
    <fill>
      <patternFill patternType="solid">
        <fgColor rgb="FF3E6E8E"/>
        <bgColor indexed="64"/>
      </patternFill>
    </fill>
    <fill>
      <patternFill patternType="solid">
        <fgColor rgb="FF6C5B94"/>
        <bgColor indexed="64"/>
      </patternFill>
    </fill>
    <fill>
      <patternFill patternType="solid">
        <fgColor rgb="FF3E7C4F"/>
        <bgColor indexed="64"/>
      </patternFill>
    </fill>
    <fill>
      <patternFill patternType="solid">
        <fgColor rgb="FF56806A"/>
        <bgColor indexed="64"/>
      </patternFill>
    </fill>
    <fill>
      <patternFill patternType="solid">
        <fgColor rgb="FFC07C12"/>
        <bgColor indexed="64"/>
      </patternFill>
    </fill>
    <fill>
      <patternFill patternType="solid">
        <fgColor rgb="FFF9E4DE"/>
        <bgColor indexed="64"/>
      </patternFill>
    </fill>
    <fill>
      <patternFill patternType="solid">
        <fgColor rgb="FFB23A3A"/>
        <bgColor indexed="64"/>
      </patternFill>
    </fill>
  </fills>
  <borders count="20">
    <border>
      <left/>
      <right/>
      <top/>
      <bottom/>
      <diagonal/>
    </border>
    <border>
      <left style="thin">
        <color rgb="FF2F5D46"/>
      </left>
      <right style="thin">
        <color rgb="FF2F5D46"/>
      </right>
      <top style="thin">
        <color rgb="FF2F5D46"/>
      </top>
      <bottom style="thin">
        <color rgb="FF2F5D46"/>
      </bottom>
      <diagonal/>
    </border>
    <border>
      <left style="thin">
        <color rgb="FFC4482F"/>
      </left>
      <right style="thin">
        <color rgb="FFC4482F"/>
      </right>
      <top style="thin">
        <color rgb="FFC4482F"/>
      </top>
      <bottom style="thin">
        <color rgb="FFC4482F"/>
      </bottom>
      <diagonal/>
    </border>
    <border>
      <left style="thin">
        <color rgb="FFDCE4DA"/>
      </left>
      <right style="thin">
        <color rgb="FFDCE4DA"/>
      </right>
      <top style="thin">
        <color rgb="FFDCE4DA"/>
      </top>
      <bottom style="thin">
        <color rgb="FFDCE4DA"/>
      </bottom>
      <diagonal/>
    </border>
    <border>
      <left/>
      <right/>
      <top/>
      <bottom style="medium">
        <color rgb="FFC99A18"/>
      </bottom>
      <diagonal/>
    </border>
    <border>
      <left style="dotted">
        <color rgb="FFC99A18"/>
      </left>
      <right/>
      <top/>
      <bottom/>
      <diagonal/>
    </border>
    <border>
      <left style="thin">
        <color rgb="FFC99A18"/>
      </left>
      <right style="thin">
        <color rgb="FFC99A18"/>
      </right>
      <top style="thin">
        <color rgb="FFC99A18"/>
      </top>
      <bottom style="thin">
        <color rgb="FFC99A18"/>
      </bottom>
      <diagonal/>
    </border>
    <border>
      <left style="thin">
        <color rgb="FF3E6E8E"/>
      </left>
      <right style="thin">
        <color rgb="FF3E6E8E"/>
      </right>
      <top style="thin">
        <color rgb="FF3E6E8E"/>
      </top>
      <bottom style="thin">
        <color rgb="FF3E6E8E"/>
      </bottom>
      <diagonal/>
    </border>
    <border>
      <left style="thin">
        <color rgb="FF6C5B94"/>
      </left>
      <right style="thin">
        <color rgb="FF6C5B94"/>
      </right>
      <top style="thin">
        <color rgb="FF6C5B94"/>
      </top>
      <bottom style="thin">
        <color rgb="FF6C5B94"/>
      </bottom>
      <diagonal/>
    </border>
    <border>
      <left style="thin">
        <color rgb="FF3E7C4F"/>
      </left>
      <right style="thin">
        <color rgb="FF3E7C4F"/>
      </right>
      <top style="thin">
        <color rgb="FF3E7C4F"/>
      </top>
      <bottom style="thin">
        <color rgb="FF3E7C4F"/>
      </bottom>
      <diagonal/>
    </border>
    <border>
      <left style="thin">
        <color rgb="FF56806A"/>
      </left>
      <right style="thin">
        <color rgb="FF56806A"/>
      </right>
      <top style="thin">
        <color rgb="FF56806A"/>
      </top>
      <bottom style="thin">
        <color rgb="FF56806A"/>
      </bottom>
      <diagonal/>
    </border>
    <border>
      <left style="thin">
        <color rgb="FFC07C12"/>
      </left>
      <right style="thin">
        <color rgb="FFC07C12"/>
      </right>
      <top style="thin">
        <color rgb="FFC07C12"/>
      </top>
      <bottom style="thin">
        <color rgb="FFC07C12"/>
      </bottom>
      <diagonal/>
    </border>
    <border>
      <left style="thin">
        <color rgb="FFF9E4DE"/>
      </left>
      <right style="thin">
        <color rgb="FFF9E4DE"/>
      </right>
      <top style="thin">
        <color rgb="FFF9E4DE"/>
      </top>
      <bottom style="thin">
        <color rgb="FFF9E4DE"/>
      </bottom>
      <diagonal/>
    </border>
    <border>
      <left style="thin">
        <color rgb="FFEBE7F3"/>
      </left>
      <right style="thin">
        <color rgb="FFEBE7F3"/>
      </right>
      <top style="thin">
        <color rgb="FFEBE7F3"/>
      </top>
      <bottom style="thin">
        <color rgb="FFEBE7F3"/>
      </bottom>
      <diagonal/>
    </border>
    <border>
      <left style="thin">
        <color rgb="FFE0EFE4"/>
      </left>
      <right style="thin">
        <color rgb="FFE0EFE4"/>
      </right>
      <top style="thin">
        <color rgb="FFE0EFE4"/>
      </top>
      <bottom style="thin">
        <color rgb="FFE0EFE4"/>
      </bottom>
      <diagonal/>
    </border>
    <border>
      <left style="thin">
        <color rgb="FFFBF0D8"/>
      </left>
      <right style="thin">
        <color rgb="FFFBF0D8"/>
      </right>
      <top style="thin">
        <color rgb="FFFBF0D8"/>
      </top>
      <bottom style="thin">
        <color rgb="FFFBF0D8"/>
      </bottom>
      <diagonal/>
    </border>
    <border>
      <left style="thin">
        <color rgb="FFE2EDF3"/>
      </left>
      <right style="thin">
        <color rgb="FFE2EDF3"/>
      </right>
      <top style="thin">
        <color rgb="FFE2EDF3"/>
      </top>
      <bottom style="thin">
        <color rgb="FFE2EDF3"/>
      </bottom>
      <diagonal/>
    </border>
    <border>
      <left style="thin">
        <color rgb="FFFAF1D6"/>
      </left>
      <right style="thin">
        <color rgb="FFFAF1D6"/>
      </right>
      <top style="thin">
        <color rgb="FFFAF1D6"/>
      </top>
      <bottom style="thin">
        <color rgb="FFFAF1D6"/>
      </bottom>
      <diagonal/>
    </border>
    <border>
      <left style="thin">
        <color rgb="FFB23A3A"/>
      </left>
      <right style="thin">
        <color rgb="FFB23A3A"/>
      </right>
      <top style="thin">
        <color rgb="FFB23A3A"/>
      </top>
      <bottom style="thin">
        <color rgb="FFB23A3A"/>
      </bottom>
      <diagonal/>
    </border>
    <border>
      <left style="thin">
        <color rgb="FFF8E3E1"/>
      </left>
      <right style="thin">
        <color rgb="FFF8E3E1"/>
      </right>
      <top style="thin">
        <color rgb="FFF8E3E1"/>
      </top>
      <bottom style="thin">
        <color rgb="FFF8E3E1"/>
      </bottom>
      <diagonal/>
    </border>
  </borders>
  <cellStyleXfs count="1">
    <xf numFmtId="0" fontId="0" fillId="0" borderId="0"/>
  </cellStyleXfs>
  <cellXfs count="100">
    <xf numFmtId="0" fontId="0" fillId="0" borderId="0" xfId="0"/>
    <xf numFmtId="0" fontId="1" fillId="2" borderId="0" xfId="0" applyFont="1" applyFill="1" applyAlignment="1">
      <alignment horizontal="left" vertical="top" wrapText="1"/>
    </xf>
    <xf numFmtId="0" fontId="2" fillId="3" borderId="1" xfId="0" applyFont="1" applyFill="1" applyBorder="1" applyAlignment="1">
      <alignment horizontal="center" vertical="center" wrapText="1"/>
    </xf>
    <xf numFmtId="0" fontId="3" fillId="2" borderId="0" xfId="0" applyFont="1" applyFill="1" applyAlignment="1">
      <alignment horizontal="left" vertical="center" indent="1"/>
    </xf>
    <xf numFmtId="0" fontId="0" fillId="2" borderId="0" xfId="0" applyFill="1"/>
    <xf numFmtId="0" fontId="4" fillId="2" borderId="0" xfId="0" applyFont="1" applyFill="1" applyAlignment="1">
      <alignment horizontal="left" vertical="center" indent="1"/>
    </xf>
    <xf numFmtId="0" fontId="2" fillId="4" borderId="2" xfId="0" applyFont="1" applyFill="1" applyBorder="1" applyAlignment="1">
      <alignment horizontal="center" vertical="center"/>
    </xf>
    <xf numFmtId="0" fontId="5" fillId="3" borderId="0" xfId="0" applyFont="1" applyFill="1" applyAlignment="1">
      <alignment horizontal="left" vertical="center" indent="1"/>
    </xf>
    <xf numFmtId="0" fontId="6" fillId="5" borderId="3" xfId="0" applyFont="1" applyFill="1" applyBorder="1" applyAlignment="1">
      <alignment horizontal="left" vertical="center" indent="1"/>
    </xf>
    <xf numFmtId="0" fontId="7" fillId="5" borderId="3" xfId="0" applyFont="1" applyFill="1" applyBorder="1" applyAlignment="1" applyProtection="1">
      <alignment horizontal="left" vertical="center"/>
      <protection locked="0"/>
    </xf>
    <xf numFmtId="0" fontId="7" fillId="5" borderId="3" xfId="0" applyFont="1" applyFill="1" applyBorder="1" applyAlignment="1" applyProtection="1">
      <alignment horizontal="center" vertical="center"/>
      <protection locked="0"/>
    </xf>
    <xf numFmtId="164" fontId="7" fillId="5" borderId="3" xfId="0" applyNumberFormat="1" applyFont="1" applyFill="1" applyBorder="1" applyAlignment="1" applyProtection="1">
      <alignment horizontal="center" vertical="center"/>
      <protection locked="0"/>
    </xf>
    <xf numFmtId="165" fontId="7" fillId="5" borderId="3" xfId="0" applyNumberFormat="1" applyFont="1" applyFill="1" applyBorder="1" applyAlignment="1" applyProtection="1">
      <alignment horizontal="center" vertical="center"/>
      <protection locked="0"/>
    </xf>
    <xf numFmtId="0" fontId="8" fillId="6" borderId="4" xfId="0" applyFont="1" applyFill="1" applyBorder="1" applyAlignment="1">
      <alignment horizontal="left" vertical="center" indent="1"/>
    </xf>
    <xf numFmtId="0" fontId="7" fillId="7" borderId="3" xfId="0" applyFont="1" applyFill="1" applyBorder="1" applyAlignment="1" applyProtection="1">
      <alignment horizontal="left" vertical="center"/>
      <protection locked="0"/>
    </xf>
    <xf numFmtId="0" fontId="9" fillId="8" borderId="5" xfId="0" applyFont="1" applyFill="1" applyBorder="1" applyAlignment="1">
      <alignment horizontal="left" vertical="center" indent="1"/>
    </xf>
    <xf numFmtId="0" fontId="10" fillId="9" borderId="3" xfId="0" applyFont="1" applyFill="1" applyBorder="1"/>
    <xf numFmtId="0" fontId="11" fillId="10" borderId="3" xfId="0" applyFont="1" applyFill="1" applyBorder="1"/>
    <xf numFmtId="0" fontId="12" fillId="11" borderId="3" xfId="0" applyFont="1" applyFill="1" applyBorder="1"/>
    <xf numFmtId="0" fontId="13" fillId="12" borderId="3" xfId="0" applyFont="1" applyFill="1" applyBorder="1"/>
    <xf numFmtId="0" fontId="14" fillId="6" borderId="3" xfId="0" applyFont="1" applyFill="1" applyBorder="1"/>
    <xf numFmtId="0" fontId="15" fillId="13" borderId="3" xfId="0" applyFont="1" applyFill="1" applyBorder="1"/>
    <xf numFmtId="0" fontId="1" fillId="7" borderId="3" xfId="0" applyFont="1" applyFill="1" applyBorder="1" applyAlignment="1" applyProtection="1">
      <alignment horizontal="left" vertical="top" indent="1" wrapText="1"/>
      <protection locked="0"/>
    </xf>
    <xf numFmtId="0" fontId="16" fillId="3" borderId="1" xfId="0" applyFont="1" applyFill="1" applyBorder="1" applyAlignment="1">
      <alignment horizontal="center" vertical="center"/>
    </xf>
    <xf numFmtId="0" fontId="16" fillId="4" borderId="2" xfId="0" applyFont="1" applyFill="1" applyBorder="1" applyAlignment="1">
      <alignment horizontal="center" vertical="center"/>
    </xf>
    <xf numFmtId="0" fontId="16" fillId="14" borderId="6" xfId="0" applyFont="1" applyFill="1" applyBorder="1" applyAlignment="1">
      <alignment horizontal="center" vertical="center"/>
    </xf>
    <xf numFmtId="0" fontId="16" fillId="15" borderId="7" xfId="0" applyFont="1" applyFill="1" applyBorder="1" applyAlignment="1">
      <alignment horizontal="center" vertical="center"/>
    </xf>
    <xf numFmtId="0" fontId="16" fillId="16" borderId="8" xfId="0" applyFont="1" applyFill="1" applyBorder="1" applyAlignment="1">
      <alignment horizontal="center" vertical="center"/>
    </xf>
    <xf numFmtId="0" fontId="16" fillId="17" borderId="9" xfId="0" applyFont="1" applyFill="1" applyBorder="1" applyAlignment="1">
      <alignment horizontal="center" vertical="center"/>
    </xf>
    <xf numFmtId="0" fontId="16" fillId="18" borderId="10" xfId="0" applyFont="1" applyFill="1" applyBorder="1" applyAlignment="1">
      <alignment horizontal="center" vertical="center"/>
    </xf>
    <xf numFmtId="0" fontId="16" fillId="19" borderId="11" xfId="0" applyFont="1" applyFill="1" applyBorder="1" applyAlignment="1">
      <alignment horizontal="center" vertical="center"/>
    </xf>
    <xf numFmtId="0" fontId="17" fillId="3" borderId="0" xfId="0" applyFont="1" applyFill="1" applyAlignment="1">
      <alignment horizontal="left" vertical="center" indent="1"/>
    </xf>
    <xf numFmtId="0" fontId="18" fillId="4" borderId="0" xfId="0" applyFont="1" applyFill="1" applyAlignment="1">
      <alignment horizontal="left" vertical="center" indent="1"/>
    </xf>
    <xf numFmtId="0" fontId="19" fillId="6" borderId="0" xfId="0" applyFont="1" applyFill="1" applyAlignment="1">
      <alignment horizontal="left" vertical="center" indent="1"/>
    </xf>
    <xf numFmtId="0" fontId="20" fillId="3" borderId="1" xfId="0" applyFont="1" applyFill="1" applyBorder="1" applyAlignment="1">
      <alignment horizontal="left" vertical="center" indent="1"/>
    </xf>
    <xf numFmtId="166" fontId="21" fillId="5" borderId="3" xfId="0" applyNumberFormat="1" applyFont="1" applyFill="1" applyBorder="1" applyAlignment="1">
      <alignment horizontal="center" vertical="center"/>
    </xf>
    <xf numFmtId="166" fontId="22" fillId="5" borderId="3" xfId="0" applyNumberFormat="1" applyFont="1" applyFill="1" applyBorder="1" applyAlignment="1">
      <alignment horizontal="center" vertical="center"/>
    </xf>
    <xf numFmtId="166" fontId="23" fillId="5" borderId="3" xfId="0" applyNumberFormat="1" applyFont="1" applyFill="1" applyBorder="1" applyAlignment="1">
      <alignment horizontal="center" vertical="center"/>
    </xf>
    <xf numFmtId="164" fontId="24" fillId="5" borderId="3" xfId="0" applyNumberFormat="1" applyFont="1" applyFill="1" applyBorder="1" applyAlignment="1">
      <alignment horizontal="center" vertical="center"/>
    </xf>
    <xf numFmtId="0" fontId="25" fillId="18" borderId="10" xfId="0" applyFont="1" applyFill="1" applyBorder="1" applyAlignment="1">
      <alignment horizontal="left" vertical="center" indent="1"/>
    </xf>
    <xf numFmtId="1" fontId="26" fillId="5" borderId="3" xfId="0" applyNumberFormat="1" applyFont="1" applyFill="1" applyBorder="1" applyAlignment="1">
      <alignment horizontal="center" vertical="center"/>
    </xf>
    <xf numFmtId="167" fontId="26" fillId="5" borderId="3" xfId="0" applyNumberFormat="1" applyFont="1" applyFill="1" applyBorder="1" applyAlignment="1">
      <alignment horizontal="center" vertical="center"/>
    </xf>
    <xf numFmtId="164" fontId="26" fillId="5" borderId="3" xfId="0" applyNumberFormat="1" applyFont="1" applyFill="1" applyBorder="1" applyAlignment="1">
      <alignment horizontal="center" vertical="center"/>
    </xf>
    <xf numFmtId="166" fontId="26" fillId="5" borderId="3" xfId="0" applyNumberFormat="1" applyFont="1" applyFill="1" applyBorder="1" applyAlignment="1">
      <alignment horizontal="center" vertical="center"/>
    </xf>
    <xf numFmtId="0" fontId="27" fillId="5" borderId="3" xfId="0" applyFont="1" applyFill="1" applyBorder="1" applyAlignment="1">
      <alignment horizontal="left" vertical="center" indent="1"/>
    </xf>
    <xf numFmtId="0" fontId="28" fillId="5" borderId="3" xfId="0" applyFont="1" applyFill="1" applyBorder="1" applyAlignment="1">
      <alignment horizontal="left" vertical="center"/>
    </xf>
    <xf numFmtId="0" fontId="29" fillId="5" borderId="3" xfId="0" applyFont="1" applyFill="1" applyBorder="1" applyAlignment="1">
      <alignment horizontal="center" vertical="center"/>
    </xf>
    <xf numFmtId="0" fontId="30" fillId="2" borderId="0" xfId="0" applyFont="1" applyFill="1" applyAlignment="1">
      <alignment horizontal="left" vertical="center"/>
    </xf>
    <xf numFmtId="0" fontId="31" fillId="20" borderId="12" xfId="0" applyFont="1" applyFill="1" applyBorder="1" applyAlignment="1">
      <alignment horizontal="left" vertical="center"/>
    </xf>
    <xf numFmtId="0" fontId="32" fillId="10" borderId="13" xfId="0" applyFont="1" applyFill="1" applyBorder="1" applyAlignment="1">
      <alignment horizontal="left" vertical="center"/>
    </xf>
    <xf numFmtId="0" fontId="33" fillId="12" borderId="14" xfId="0" applyFont="1" applyFill="1" applyBorder="1" applyAlignment="1">
      <alignment horizontal="left" vertical="center"/>
    </xf>
    <xf numFmtId="0" fontId="34" fillId="11" borderId="15" xfId="0" applyFont="1" applyFill="1" applyBorder="1" applyAlignment="1">
      <alignment horizontal="left" vertical="center"/>
    </xf>
    <xf numFmtId="0" fontId="2" fillId="4" borderId="2"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7" borderId="9"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35" fillId="7" borderId="3" xfId="0" applyNumberFormat="1" applyFont="1" applyFill="1" applyBorder="1" applyAlignment="1">
      <alignment horizontal="center" vertical="center"/>
    </xf>
    <xf numFmtId="168"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pplyProtection="1">
      <alignment horizontal="center" vertical="center"/>
      <protection locked="0"/>
    </xf>
    <xf numFmtId="166" fontId="7" fillId="7" borderId="3" xfId="0" applyNumberFormat="1" applyFont="1" applyFill="1" applyBorder="1" applyAlignment="1" applyProtection="1">
      <alignment horizontal="center" vertical="center"/>
      <protection locked="0"/>
    </xf>
    <xf numFmtId="169" fontId="7" fillId="7" borderId="3" xfId="0" applyNumberFormat="1" applyFont="1" applyFill="1" applyBorder="1" applyAlignment="1" applyProtection="1">
      <alignment horizontal="right" vertical="center"/>
      <protection locked="0"/>
    </xf>
    <xf numFmtId="169" fontId="36" fillId="7" borderId="3" xfId="0" applyNumberFormat="1" applyFont="1" applyFill="1" applyBorder="1" applyAlignment="1">
      <alignment horizontal="right" vertical="center"/>
    </xf>
    <xf numFmtId="0" fontId="7" fillId="7" borderId="3" xfId="0" applyFont="1" applyFill="1" applyBorder="1" applyAlignment="1" applyProtection="1">
      <alignment horizontal="left" vertical="top" wrapText="1"/>
      <protection locked="0"/>
    </xf>
    <xf numFmtId="1" fontId="35" fillId="5" borderId="3" xfId="0" applyNumberFormat="1" applyFont="1" applyFill="1" applyBorder="1" applyAlignment="1">
      <alignment horizontal="center" vertical="center"/>
    </xf>
    <xf numFmtId="168" fontId="7" fillId="5" borderId="3" xfId="0" applyNumberFormat="1" applyFont="1" applyFill="1" applyBorder="1" applyAlignment="1" applyProtection="1">
      <alignment horizontal="center" vertical="center"/>
      <protection locked="0"/>
    </xf>
    <xf numFmtId="166" fontId="7" fillId="5" borderId="3" xfId="0" applyNumberFormat="1" applyFont="1" applyFill="1" applyBorder="1" applyAlignment="1" applyProtection="1">
      <alignment horizontal="center" vertical="center"/>
      <protection locked="0"/>
    </xf>
    <xf numFmtId="169" fontId="7" fillId="5" borderId="3" xfId="0" applyNumberFormat="1" applyFont="1" applyFill="1" applyBorder="1" applyAlignment="1" applyProtection="1">
      <alignment horizontal="right" vertical="center"/>
      <protection locked="0"/>
    </xf>
    <xf numFmtId="0" fontId="7" fillId="5" borderId="3" xfId="0" applyFont="1" applyFill="1" applyBorder="1" applyAlignment="1" applyProtection="1">
      <alignment horizontal="left" vertical="top" wrapText="1"/>
      <protection locked="0"/>
    </xf>
    <xf numFmtId="0" fontId="37" fillId="3" borderId="1" xfId="0" applyFont="1" applyFill="1" applyBorder="1" applyAlignment="1">
      <alignment horizontal="right" vertical="center" indent="1"/>
    </xf>
    <xf numFmtId="0" fontId="7" fillId="3" borderId="1" xfId="0" applyFont="1" applyFill="1" applyBorder="1" applyAlignment="1">
      <alignment vertical="center"/>
    </xf>
    <xf numFmtId="166" fontId="37" fillId="3" borderId="1" xfId="0" applyNumberFormat="1" applyFont="1" applyFill="1" applyBorder="1" applyAlignment="1">
      <alignment horizontal="right" vertical="center"/>
    </xf>
    <xf numFmtId="0" fontId="38" fillId="9" borderId="16" xfId="0" applyFont="1" applyFill="1" applyBorder="1" applyAlignment="1">
      <alignment horizontal="left" vertical="center"/>
    </xf>
    <xf numFmtId="0" fontId="39" fillId="6" borderId="17" xfId="0" applyFont="1" applyFill="1" applyBorder="1" applyAlignment="1">
      <alignment horizontal="left" vertical="center"/>
    </xf>
    <xf numFmtId="0" fontId="2" fillId="21" borderId="18" xfId="0" applyFont="1" applyFill="1" applyBorder="1" applyAlignment="1">
      <alignment horizontal="center" vertical="center" wrapText="1"/>
    </xf>
    <xf numFmtId="164" fontId="36" fillId="7" borderId="3" xfId="0" applyNumberFormat="1" applyFont="1" applyFill="1" applyBorder="1" applyAlignment="1">
      <alignment horizontal="center" vertical="center"/>
    </xf>
    <xf numFmtId="0" fontId="5" fillId="4" borderId="0" xfId="0" applyFont="1" applyFill="1" applyAlignment="1">
      <alignment horizontal="left" vertical="center" indent="1"/>
    </xf>
    <xf numFmtId="0" fontId="40" fillId="7" borderId="3" xfId="0" applyFont="1" applyFill="1" applyBorder="1" applyAlignment="1">
      <alignment horizontal="left" vertical="center" indent="1"/>
    </xf>
    <xf numFmtId="169" fontId="9" fillId="5" borderId="3" xfId="0" applyNumberFormat="1" applyFont="1" applyFill="1" applyBorder="1" applyAlignment="1">
      <alignment horizontal="right" vertical="center"/>
    </xf>
    <xf numFmtId="0" fontId="41" fillId="4" borderId="2" xfId="0" applyFont="1" applyFill="1" applyBorder="1" applyAlignment="1">
      <alignment horizontal="left" vertical="center" indent="1"/>
    </xf>
    <xf numFmtId="169" fontId="42" fillId="5" borderId="3" xfId="0" applyNumberFormat="1" applyFont="1" applyFill="1" applyBorder="1" applyAlignment="1">
      <alignment horizontal="right" vertical="center"/>
    </xf>
    <xf numFmtId="0" fontId="43" fillId="3" borderId="0" xfId="0" applyFont="1" applyFill="1" applyAlignment="1">
      <alignment horizontal="center" vertical="center" wrapText="1"/>
    </xf>
    <xf numFmtId="0" fontId="44" fillId="13" borderId="19" xfId="0" applyFont="1" applyFill="1" applyBorder="1" applyAlignment="1">
      <alignment horizontal="left" vertical="center"/>
    </xf>
    <xf numFmtId="0" fontId="45" fillId="7" borderId="3" xfId="0" applyFont="1" applyFill="1" applyBorder="1" applyAlignment="1" applyProtection="1">
      <alignment horizontal="center" vertical="center"/>
      <protection locked="0"/>
    </xf>
    <xf numFmtId="0" fontId="45" fillId="5" borderId="3" xfId="0" applyFont="1" applyFill="1" applyBorder="1" applyAlignment="1" applyProtection="1">
      <alignment horizontal="center" vertical="center"/>
      <protection locked="0"/>
    </xf>
    <xf numFmtId="0" fontId="7" fillId="7" borderId="3" xfId="0" applyFont="1" applyFill="1" applyBorder="1" applyAlignment="1">
      <alignment horizontal="center" vertical="center"/>
    </xf>
    <xf numFmtId="0" fontId="46" fillId="2" borderId="0" xfId="0" applyFont="1" applyFill="1" applyAlignment="1">
      <alignment horizontal="left" vertical="center"/>
    </xf>
    <xf numFmtId="0" fontId="47" fillId="2" borderId="0" xfId="0" applyFont="1" applyFill="1" applyAlignment="1">
      <alignment horizontal="left" vertical="center"/>
    </xf>
    <xf numFmtId="0" fontId="48" fillId="2" borderId="0" xfId="0" applyFont="1" applyFill="1" applyAlignment="1">
      <alignment horizontal="left" vertical="center"/>
    </xf>
    <xf numFmtId="0" fontId="49" fillId="5" borderId="3" xfId="0" applyFont="1" applyFill="1" applyBorder="1" applyAlignment="1" applyProtection="1">
      <alignment horizontal="left" vertical="top" wrapText="1"/>
      <protection locked="0"/>
    </xf>
    <xf numFmtId="0" fontId="50" fillId="4" borderId="2" xfId="0" applyFont="1" applyFill="1" applyBorder="1" applyAlignment="1">
      <alignment horizontal="center" vertical="center"/>
    </xf>
    <xf numFmtId="0" fontId="51" fillId="5" borderId="3" xfId="0" applyFont="1" applyFill="1" applyBorder="1" applyAlignment="1">
      <alignment horizontal="left" vertical="center" indent="1"/>
    </xf>
    <xf numFmtId="0" fontId="52" fillId="5" borderId="3" xfId="0" applyFont="1" applyFill="1" applyBorder="1" applyAlignment="1">
      <alignment horizontal="left" vertical="center" indent="1" wrapText="1"/>
    </xf>
    <xf numFmtId="0" fontId="53" fillId="5" borderId="3" xfId="0" applyFont="1" applyFill="1" applyBorder="1" applyAlignment="1">
      <alignment horizontal="left" vertical="center" indent="1"/>
    </xf>
    <xf numFmtId="0" fontId="54" fillId="5" borderId="3" xfId="0" applyFont="1" applyFill="1" applyBorder="1" applyAlignment="1">
      <alignment horizontal="left" vertical="center" indent="1"/>
    </xf>
    <xf numFmtId="0" fontId="55" fillId="5" borderId="3" xfId="0" applyFont="1" applyFill="1" applyBorder="1" applyAlignment="1">
      <alignment horizontal="left" vertical="center" indent="1"/>
    </xf>
    <xf numFmtId="0" fontId="56" fillId="5" borderId="3" xfId="0" applyFont="1" applyFill="1" applyBorder="1" applyAlignment="1">
      <alignment horizontal="left" vertical="center" indent="1"/>
    </xf>
    <xf numFmtId="0" fontId="57" fillId="5" borderId="3" xfId="0" applyFont="1" applyFill="1" applyBorder="1" applyAlignment="1">
      <alignment horizontal="left" vertical="center" indent="1"/>
    </xf>
    <xf numFmtId="0" fontId="58" fillId="5" borderId="3" xfId="0" applyFont="1" applyFill="1" applyBorder="1" applyAlignment="1">
      <alignment horizontal="left" vertical="center" indent="1"/>
    </xf>
    <xf numFmtId="0" fontId="59" fillId="5" borderId="3" xfId="0" applyFont="1" applyFill="1" applyBorder="1" applyAlignment="1">
      <alignment horizontal="left" vertical="center" indent="1"/>
    </xf>
    <xf numFmtId="0" fontId="7" fillId="5" borderId="3" xfId="0" applyFont="1" applyFill="1" applyBorder="1" applyAlignment="1">
      <alignment vertical="center"/>
    </xf>
  </cellXfs>
  <cellStyles count="1">
    <cellStyle name="Normal" xfId="0" builtinId="0"/>
  </cellStyles>
  <dxfs count="11">
    <dxf>
      <font>
        <b/>
        <color rgb="FFB23A3A"/>
      </font>
      <fill>
        <patternFill>
          <bgColor rgb="FFF8E3E1"/>
        </patternFill>
      </fill>
      <border>
        <left style="thin">
          <color rgb="FFDCE4DA"/>
        </left>
        <right style="thin">
          <color rgb="FFDCE4DA"/>
        </right>
        <top style="thin">
          <color rgb="FFDCE4DA"/>
        </top>
        <bottom style="thin">
          <color rgb="FFDCE4DA"/>
        </bottom>
        <vertical/>
        <horizontal/>
      </border>
    </dxf>
    <dxf>
      <font>
        <b/>
        <color rgb="FFC07C12"/>
      </font>
      <fill>
        <patternFill>
          <bgColor rgb="FFFBF0D8"/>
        </patternFill>
      </fill>
      <border>
        <left style="thin">
          <color rgb="FFDCE4DA"/>
        </left>
        <right style="thin">
          <color rgb="FFDCE4DA"/>
        </right>
        <top style="thin">
          <color rgb="FFDCE4DA"/>
        </top>
        <bottom style="thin">
          <color rgb="FFDCE4DA"/>
        </bottom>
        <vertical/>
        <horizontal/>
      </border>
    </dxf>
    <dxf>
      <font>
        <b/>
        <color rgb="FF3E7C4F"/>
      </font>
      <fill>
        <patternFill>
          <bgColor rgb="FFE0EFE4"/>
        </patternFill>
      </fill>
      <border>
        <left style="thin">
          <color rgb="FFDCE4DA"/>
        </left>
        <right style="thin">
          <color rgb="FFDCE4DA"/>
        </right>
        <top style="thin">
          <color rgb="FFDCE4DA"/>
        </top>
        <bottom style="thin">
          <color rgb="FFDCE4DA"/>
        </bottom>
        <vertical/>
        <horizontal/>
      </border>
    </dxf>
    <dxf>
      <font>
        <b/>
        <color rgb="FF3E6E8E"/>
      </font>
      <fill>
        <patternFill>
          <bgColor rgb="FFE2EDF3"/>
        </patternFill>
      </fill>
    </dxf>
    <dxf>
      <font>
        <b/>
        <color rgb="FF3E6E8E"/>
      </font>
      <fill>
        <patternFill>
          <bgColor rgb="FFE2EDF3"/>
        </patternFill>
      </fill>
      <border>
        <left style="thin">
          <color rgb="FFDCE4DA"/>
        </left>
        <right style="thin">
          <color rgb="FFDCE4DA"/>
        </right>
        <top style="thin">
          <color rgb="FFDCE4DA"/>
        </top>
        <bottom style="thin">
          <color rgb="FFDCE4DA"/>
        </bottom>
        <vertical/>
        <horizontal/>
      </border>
    </dxf>
    <dxf>
      <font>
        <b/>
        <color rgb="FF6C5B94"/>
      </font>
      <fill>
        <patternFill>
          <bgColor rgb="FFEBE7F3"/>
        </patternFill>
      </fill>
      <border>
        <left style="thin">
          <color rgb="FFDCE4DA"/>
        </left>
        <right style="thin">
          <color rgb="FFDCE4DA"/>
        </right>
        <top style="thin">
          <color rgb="FFDCE4DA"/>
        </top>
        <bottom style="thin">
          <color rgb="FFDCE4DA"/>
        </bottom>
        <vertical/>
        <horizontal/>
      </border>
    </dxf>
    <dxf>
      <font>
        <b/>
        <color rgb="FFC99A18"/>
      </font>
      <fill>
        <patternFill>
          <bgColor rgb="FFFAF1D6"/>
        </patternFill>
      </fill>
      <border>
        <left style="thin">
          <color rgb="FFDCE4DA"/>
        </left>
        <right style="thin">
          <color rgb="FFDCE4DA"/>
        </right>
        <top style="thin">
          <color rgb="FFDCE4DA"/>
        </top>
        <bottom style="thin">
          <color rgb="FFDCE4DA"/>
        </bottom>
        <vertical/>
        <horizontal/>
      </border>
    </dxf>
    <dxf>
      <font>
        <b/>
        <color rgb="FFB23A3A"/>
      </font>
      <fill>
        <patternFill>
          <bgColor rgb="FFF8E3E1"/>
        </patternFill>
      </fill>
    </dxf>
    <dxf>
      <font>
        <b/>
        <color rgb="FFC07C12"/>
      </font>
      <fill>
        <patternFill>
          <bgColor rgb="FFFBF0D8"/>
        </patternFill>
      </fill>
    </dxf>
    <dxf>
      <font>
        <b/>
        <color rgb="FF3E7C4F"/>
      </font>
      <fill>
        <patternFill>
          <bgColor rgb="FFE0EFE4"/>
        </patternFill>
      </fill>
      <border>
        <left style="thin">
          <color rgb="FFDCE4DA"/>
        </left>
        <right style="thin">
          <color rgb="FFDCE4DA"/>
        </right>
        <top style="thin">
          <color rgb="FFDCE4DA"/>
        </top>
        <bottom style="thin">
          <color rgb="FFDCE4DA"/>
        </bottom>
        <vertical/>
        <horizontal/>
      </border>
    </dxf>
    <dxf>
      <font>
        <b/>
        <color rgb="FFC99A18"/>
      </font>
      <fill>
        <patternFill>
          <bgColor rgb="FFFAF1D6"/>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Cash in vs cash out, by month</a:t>
            </a:r>
          </a:p>
        </c:rich>
      </c:tx>
      <c:layout/>
    </c:title>
    <c:plotArea>
      <c:layout/>
      <c:barChart>
        <c:barDir val="col"/>
        <c:grouping val="clustered"/>
        <c:ser>
          <c:idx val="0"/>
          <c:order val="0"/>
          <c:tx>
            <c:v>Cash in</c:v>
          </c:tx>
          <c:spPr>
            <a:solidFill>
              <a:srgbClr val="3E7C4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Cash out</c:v>
          </c:tx>
          <c:spPr>
            <a:solidFill>
              <a:srgbClr val="B23A3A"/>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10001"/>
        <c:axId val="50010002"/>
      </c:barChart>
      <c:lineChart>
        <c:grouping val="standard"/>
        <c:ser>
          <c:idx val="2"/>
          <c:order val="2"/>
          <c:tx>
            <c:v>Net</c:v>
          </c:tx>
          <c:spPr>
            <a:ln w="31750">
              <a:solidFill>
                <a:srgbClr val="2F5D46"/>
              </a:solidFill>
            </a:ln>
          </c:spPr>
          <c:marker>
            <c:symbol val="circle"/>
            <c:size val="5"/>
            <c:spPr>
              <a:solidFill>
                <a:srgbClr val="2F5D46"/>
              </a:solidFill>
              <a:ln>
                <a:solidFill>
                  <a:srgbClr val="2F5D4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010001"/>
        <c:axId val="50010002"/>
      </c:lineChart>
      <c:catAx>
        <c:axId val="50010001"/>
        <c:scaling>
          <c:orientation val="minMax"/>
        </c:scaling>
        <c:axPos val="b"/>
        <c:tickLblPos val="nextTo"/>
        <c:txPr>
          <a:bodyPr/>
          <a:lstStyle/>
          <a:p>
            <a:pPr>
              <a:defRPr sz="900" baseline="0">
                <a:solidFill>
                  <a:srgbClr val="7C8A82"/>
                </a:solidFill>
              </a:defRPr>
            </a:pPr>
            <a:endParaRPr lang="en-US"/>
          </a:p>
        </c:txPr>
        <c:crossAx val="50010002"/>
        <c:crosses val="autoZero"/>
        <c:auto val="1"/>
        <c:lblAlgn val="ctr"/>
        <c:lblOffset val="100"/>
      </c:catAx>
      <c:valAx>
        <c:axId val="50010002"/>
        <c:scaling>
          <c:orientation val="minMax"/>
        </c:scaling>
        <c:axPos val="l"/>
        <c:majorGridlines>
          <c:spPr>
            <a:ln w="9525">
              <a:solidFill>
                <a:srgbClr val="DCE4DA"/>
              </a:solidFill>
            </a:ln>
          </c:spPr>
        </c:majorGridlines>
        <c:numFmt formatCode="#,##0" sourceLinked="0"/>
        <c:tickLblPos val="nextTo"/>
        <c:txPr>
          <a:bodyPr/>
          <a:lstStyle/>
          <a:p>
            <a:pPr>
              <a:defRPr sz="900" baseline="0">
                <a:solidFill>
                  <a:srgbClr val="7C8A82"/>
                </a:solidFill>
              </a:defRPr>
            </a:pPr>
            <a:endParaRPr lang="en-US"/>
          </a:p>
        </c:txPr>
        <c:crossAx val="50010001"/>
        <c:crosses val="autoZero"/>
        <c:crossBetween val="between"/>
      </c:valAx>
      <c:spPr>
        <a:solidFill>
          <a:srgbClr val="FFFFFF"/>
        </a:solidFill>
      </c:spPr>
    </c:plotArea>
    <c:legend>
      <c:legendPos val="b"/>
      <c:layout/>
    </c:legend>
  </c:chart>
  <c:spPr>
    <a:solidFill>
      <a:srgbClr val="FFFFFF"/>
    </a:solidFill>
    <a:ln>
      <a:solidFill>
        <a:srgbClr val="DCE4DA"/>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Where the money goes</a:t>
            </a:r>
          </a:p>
        </c:rich>
      </c:tx>
      <c:layout/>
    </c:title>
    <c:plotArea>
      <c:layout/>
      <c:doughnutChart>
        <c:varyColors val="1"/>
        <c:ser>
          <c:idx val="0"/>
          <c:order val="0"/>
          <c:tx>
            <c:v>Where the money goes</c:v>
          </c:tx>
          <c:dPt>
            <c:idx val="0"/>
            <c:spPr>
              <a:solidFill>
                <a:srgbClr val="2F5D46"/>
              </a:solidFill>
              <a:ln>
                <a:solidFill>
                  <a:srgbClr val="FFFFFF"/>
                </a:solidFill>
              </a:ln>
            </c:spPr>
          </c:dPt>
          <c:dPt>
            <c:idx val="1"/>
            <c:spPr>
              <a:solidFill>
                <a:srgbClr val="C4482F"/>
              </a:solidFill>
              <a:ln>
                <a:solidFill>
                  <a:srgbClr val="FFFFFF"/>
                </a:solidFill>
              </a:ln>
            </c:spPr>
          </c:dPt>
          <c:dPt>
            <c:idx val="2"/>
            <c:spPr>
              <a:solidFill>
                <a:srgbClr val="C99A18"/>
              </a:solidFill>
              <a:ln>
                <a:solidFill>
                  <a:srgbClr val="FFFFFF"/>
                </a:solidFill>
              </a:ln>
            </c:spPr>
          </c:dPt>
          <c:dPt>
            <c:idx val="3"/>
            <c:spPr>
              <a:solidFill>
                <a:srgbClr val="3E6E8E"/>
              </a:solidFill>
              <a:ln>
                <a:solidFill>
                  <a:srgbClr val="FFFFFF"/>
                </a:solidFill>
              </a:ln>
            </c:spPr>
          </c:dPt>
          <c:dPt>
            <c:idx val="4"/>
            <c:spPr>
              <a:solidFill>
                <a:srgbClr val="6C5B94"/>
              </a:solidFill>
              <a:ln>
                <a:solidFill>
                  <a:srgbClr val="FFFFFF"/>
                </a:solidFill>
              </a:ln>
            </c:spPr>
          </c:dPt>
          <c:dPt>
            <c:idx val="5"/>
            <c:spPr>
              <a:solidFill>
                <a:srgbClr val="C07C12"/>
              </a:solidFill>
              <a:ln>
                <a:solidFill>
                  <a:srgbClr val="FFFFFF"/>
                </a:solidFill>
              </a:ln>
            </c:spPr>
          </c:dPt>
          <c:dPt>
            <c:idx val="6"/>
            <c:spPr>
              <a:solidFill>
                <a:srgbClr val="3E7C4F"/>
              </a:solidFill>
              <a:ln>
                <a:solidFill>
                  <a:srgbClr val="FFFFFF"/>
                </a:solidFill>
              </a:ln>
            </c:spPr>
          </c:dPt>
          <c:dPt>
            <c:idx val="7"/>
            <c:spPr>
              <a:solidFill>
                <a:srgbClr val="56806A"/>
              </a:solidFill>
              <a:ln>
                <a:solidFill>
                  <a:srgbClr val="FFFFFF"/>
                </a:solidFill>
              </a:ln>
            </c:spPr>
          </c:dPt>
          <c:dPt>
            <c:idx val="8"/>
            <c:spPr>
              <a:solidFill>
                <a:srgbClr val="B23A3A"/>
              </a:solidFill>
              <a:ln>
                <a:solidFill>
                  <a:srgbClr val="FFFFFF"/>
                </a:solidFill>
              </a:ln>
            </c:spPr>
          </c:dPt>
          <c:dPt>
            <c:idx val="9"/>
            <c:spPr>
              <a:solidFill>
                <a:srgbClr val="999999"/>
              </a:solidFill>
              <a:ln>
                <a:solidFill>
                  <a:srgbClr val="FFFFFF"/>
                </a:solidFill>
              </a:ln>
            </c:spPr>
          </c:dPt>
          <c:dPt>
            <c:idx val="10"/>
            <c:spPr>
              <a:solidFill>
                <a:srgbClr val="BBBBBB"/>
              </a:solidFill>
              <a:ln>
                <a:solidFill>
                  <a:srgbClr val="FFFFFF"/>
                </a:solidFill>
              </a:ln>
            </c:spPr>
          </c:dPt>
          <c:dLbls>
            <c:txPr>
              <a:bodyPr/>
              <a:lstStyle/>
              <a:p>
                <a:pPr>
                  <a:defRPr sz="800" baseline="0">
                    <a:solidFill>
                      <a:srgbClr val="FFFFFF"/>
                    </a:solidFill>
                  </a:defRPr>
                </a:pPr>
                <a:endParaRPr lang="en-US"/>
              </a:p>
            </c:txPr>
            <c:showPercent val="1"/>
          </c:dLbls>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DCE4DA"/>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Pipeline status</a:t>
            </a:r>
          </a:p>
        </c:rich>
      </c:tx>
      <c:layout/>
    </c:title>
    <c:plotArea>
      <c:layout/>
      <c:doughnutChart>
        <c:varyColors val="1"/>
        <c:ser>
          <c:idx val="0"/>
          <c:order val="0"/>
          <c:tx>
            <c:v>Pipeline status</c:v>
          </c:tx>
          <c:dPt>
            <c:idx val="0"/>
            <c:spPr>
              <a:solidFill>
                <a:srgbClr val="3E6E8E"/>
              </a:solidFill>
              <a:ln>
                <a:solidFill>
                  <a:srgbClr val="FFFFFF"/>
                </a:solidFill>
              </a:ln>
            </c:spPr>
          </c:dPt>
          <c:dPt>
            <c:idx val="1"/>
            <c:spPr>
              <a:solidFill>
                <a:srgbClr val="6C5B94"/>
              </a:solidFill>
              <a:ln>
                <a:solidFill>
                  <a:srgbClr val="FFFFFF"/>
                </a:solidFill>
              </a:ln>
            </c:spPr>
          </c:dPt>
          <c:dPt>
            <c:idx val="2"/>
            <c:spPr>
              <a:solidFill>
                <a:srgbClr val="C07C12"/>
              </a:solidFill>
              <a:ln>
                <a:solidFill>
                  <a:srgbClr val="FFFFFF"/>
                </a:solidFill>
              </a:ln>
            </c:spPr>
          </c:dPt>
          <c:dPt>
            <c:idx val="3"/>
            <c:spPr>
              <a:solidFill>
                <a:srgbClr val="3E7C4F"/>
              </a:solidFill>
              <a:ln>
                <a:solidFill>
                  <a:srgbClr val="FFFFFF"/>
                </a:solidFill>
              </a:ln>
            </c:spPr>
          </c:dPt>
          <c:dPt>
            <c:idx val="4"/>
            <c:spPr>
              <a:solidFill>
                <a:srgbClr val="C99A18"/>
              </a:solidFill>
              <a:ln>
                <a:solidFill>
                  <a:srgbClr val="FFFFFF"/>
                </a:solidFill>
              </a:ln>
            </c:spPr>
          </c:dPt>
          <c:dPt>
            <c:idx val="5"/>
            <c:spPr>
              <a:solidFill>
                <a:srgbClr val="B23A3A"/>
              </a:solidFill>
              <a:ln>
                <a:solidFill>
                  <a:srgbClr val="FFFFFF"/>
                </a:solidFill>
              </a:ln>
            </c:spPr>
          </c:dPt>
          <c:dLbls>
            <c:txPr>
              <a:bodyPr/>
              <a:lstStyle/>
              <a:p>
                <a:pPr>
                  <a:defRPr sz="800" baseline="0">
                    <a:solidFill>
                      <a:srgbClr val="FFFFFF"/>
                    </a:solidFill>
                  </a:defRPr>
                </a:pPr>
                <a:endParaRPr lang="en-US"/>
              </a:p>
            </c:txPr>
            <c:showPercent val="1"/>
          </c:dLbls>
          <c:cat>
            <c:strRef>
              <c:f>'_Data'!$N$28:$N$33</c:f>
              <c:strCache>
                <c:ptCount val="6"/>
                <c:pt idx="0">
                  <c:v>💬 Inquiry</c:v>
                </c:pt>
                <c:pt idx="1">
                  <c:v>📝 Quote Sent</c:v>
                </c:pt>
                <c:pt idx="2">
                  <c:v>💰 Deposit Paid</c:v>
                </c:pt>
                <c:pt idx="3">
                  <c:v>✅ Confirmed</c:v>
                </c:pt>
                <c:pt idx="4">
                  <c:v>🎉 Completed</c:v>
                </c:pt>
                <c:pt idx="5">
                  <c:v>❌ Cancelled</c:v>
                </c:pt>
              </c:strCache>
            </c:strRef>
          </c:cat>
          <c:val>
            <c:numRef>
              <c:f>'_Data'!$O$28:$O$33</c:f>
              <c:numCache>
                <c:formatCode>General</c:formatCode>
                <c:ptCount val="6"/>
                <c:pt idx="0">
                  <c:v>0</c:v>
                </c:pt>
                <c:pt idx="1">
                  <c:v>0</c:v>
                </c:pt>
                <c:pt idx="2">
                  <c:v>0</c:v>
                </c:pt>
                <c:pt idx="3">
                  <c:v>0</c:v>
                </c:pt>
                <c:pt idx="4">
                  <c:v>0</c:v>
                </c:pt>
                <c:pt idx="5">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DCE4DA"/>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Revenue by event type</a:t>
            </a:r>
          </a:p>
        </c:rich>
      </c:tx>
      <c:layout/>
    </c:title>
    <c:plotArea>
      <c:layout/>
      <c:barChart>
        <c:barDir val="bar"/>
        <c:grouping val="clustered"/>
        <c:ser>
          <c:idx val="0"/>
          <c:order val="0"/>
          <c:tx>
            <c:v>Revenue</c:v>
          </c:tx>
          <c:spPr>
            <a:solidFill>
              <a:srgbClr val="C4482F"/>
            </a:solidFill>
            <a:ln>
              <a:noFill/>
            </a:ln>
          </c:spPr>
          <c:cat>
            <c:strRef>
              <c:f>'_Data'!$N$16:$N$24</c:f>
              <c:strCache>
                <c:ptCount val="9"/>
                <c:pt idx="0">
                  <c:v>Wedding</c:v>
                </c:pt>
                <c:pt idx="1">
                  <c:v>Corporate</c:v>
                </c:pt>
                <c:pt idx="2">
                  <c:v>Birthday</c:v>
                </c:pt>
                <c:pt idx="3">
                  <c:v>Private Party</c:v>
                </c:pt>
                <c:pt idx="4">
                  <c:v>Buffet</c:v>
                </c:pt>
                <c:pt idx="5">
                  <c:v>Cocktail</c:v>
                </c:pt>
                <c:pt idx="6">
                  <c:v>Conference</c:v>
                </c:pt>
                <c:pt idx="7">
                  <c:v>Festival</c:v>
                </c:pt>
                <c:pt idx="8">
                  <c:v>Other</c:v>
                </c:pt>
              </c:strCache>
            </c:strRef>
          </c:cat>
          <c:val>
            <c:numRef>
              <c:f>'_Data'!$O$16:$O$24</c:f>
              <c:numCache>
                <c:formatCode>General</c:formatCode>
                <c:ptCount val="9"/>
                <c:pt idx="0">
                  <c:v>0</c:v>
                </c:pt>
                <c:pt idx="1">
                  <c:v>0</c:v>
                </c:pt>
                <c:pt idx="2">
                  <c:v>0</c:v>
                </c:pt>
                <c:pt idx="3">
                  <c:v>0</c:v>
                </c:pt>
                <c:pt idx="4">
                  <c:v>0</c:v>
                </c:pt>
                <c:pt idx="5">
                  <c:v>0</c:v>
                </c:pt>
                <c:pt idx="6">
                  <c:v>0</c:v>
                </c:pt>
                <c:pt idx="7">
                  <c:v>0</c:v>
                </c:pt>
                <c:pt idx="8">
                  <c:v>0</c:v>
                </c:pt>
              </c:numCache>
            </c:numRef>
          </c:val>
        </c:ser>
        <c:axId val="50040001"/>
        <c:axId val="50040002"/>
      </c:barChart>
      <c:catAx>
        <c:axId val="50040001"/>
        <c:scaling>
          <c:orientation val="maxMin"/>
        </c:scaling>
        <c:axPos val="l"/>
        <c:tickLblPos val="nextTo"/>
        <c:txPr>
          <a:bodyPr/>
          <a:lstStyle/>
          <a:p>
            <a:pPr>
              <a:defRPr sz="900" baseline="0">
                <a:solidFill>
                  <a:srgbClr val="7C8A82"/>
                </a:solidFill>
              </a:defRPr>
            </a:pPr>
            <a:endParaRPr lang="en-US"/>
          </a:p>
        </c:txPr>
        <c:crossAx val="50040002"/>
        <c:crosses val="autoZero"/>
        <c:auto val="1"/>
        <c:lblAlgn val="ctr"/>
        <c:lblOffset val="100"/>
      </c:catAx>
      <c:valAx>
        <c:axId val="50040002"/>
        <c:scaling>
          <c:orientation val="minMax"/>
        </c:scaling>
        <c:axPos val="t"/>
        <c:majorGridlines/>
        <c:numFmt formatCode="#,##0" sourceLinked="0"/>
        <c:tickLblPos val="nextTo"/>
        <c:txPr>
          <a:bodyPr/>
          <a:lstStyle/>
          <a:p>
            <a:pPr>
              <a:defRPr sz="900" baseline="0">
                <a:solidFill>
                  <a:srgbClr val="7C8A82"/>
                </a:solidFill>
              </a:defRPr>
            </a:pPr>
            <a:endParaRPr lang="en-US"/>
          </a:p>
        </c:txPr>
        <c:crossAx val="50040001"/>
        <c:crosses val="autoZero"/>
        <c:crossBetween val="between"/>
      </c:valAx>
    </c:plotArea>
  </c:chart>
  <c:spPr>
    <a:solidFill>
      <a:srgbClr val="FFFFFF"/>
    </a:solidFill>
    <a:ln>
      <a:solidFill>
        <a:srgbClr val="DCE4DA"/>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Cash received, by month</a:t>
            </a:r>
          </a:p>
        </c:rich>
      </c:tx>
      <c:layout/>
    </c:title>
    <c:plotArea>
      <c:layout/>
      <c:barChart>
        <c:barDir val="col"/>
        <c:grouping val="clustered"/>
        <c:ser>
          <c:idx val="0"/>
          <c:order val="0"/>
          <c:tx>
            <c:v>Cash received</c:v>
          </c:tx>
          <c:spPr>
            <a:solidFill>
              <a:srgbClr val="3E7C4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50001"/>
        <c:axId val="50050002"/>
      </c:barChart>
      <c:catAx>
        <c:axId val="50050001"/>
        <c:scaling>
          <c:orientation val="minMax"/>
        </c:scaling>
        <c:axPos val="b"/>
        <c:tickLblPos val="nextTo"/>
        <c:txPr>
          <a:bodyPr/>
          <a:lstStyle/>
          <a:p>
            <a:pPr>
              <a:defRPr sz="900" baseline="0">
                <a:solidFill>
                  <a:srgbClr val="7C8A82"/>
                </a:solidFill>
              </a:defRPr>
            </a:pPr>
            <a:endParaRPr lang="en-US"/>
          </a:p>
        </c:txPr>
        <c:crossAx val="50050002"/>
        <c:crosses val="autoZero"/>
        <c:auto val="1"/>
        <c:lblAlgn val="ctr"/>
        <c:lblOffset val="100"/>
      </c:catAx>
      <c:valAx>
        <c:axId val="50050002"/>
        <c:scaling>
          <c:orientation val="minMax"/>
        </c:scaling>
        <c:axPos val="l"/>
        <c:majorGridlines>
          <c:spPr>
            <a:ln w="9525">
              <a:solidFill>
                <a:srgbClr val="DCE4DA"/>
              </a:solidFill>
            </a:ln>
          </c:spPr>
        </c:majorGridlines>
        <c:numFmt formatCode="#,##0" sourceLinked="0"/>
        <c:tickLblPos val="nextTo"/>
        <c:txPr>
          <a:bodyPr/>
          <a:lstStyle/>
          <a:p>
            <a:pPr>
              <a:defRPr sz="900" baseline="0">
                <a:solidFill>
                  <a:srgbClr val="7C8A82"/>
                </a:solidFill>
              </a:defRPr>
            </a:pPr>
            <a:endParaRPr lang="en-US"/>
          </a:p>
        </c:txPr>
        <c:crossAx val="50050001"/>
        <c:crosses val="autoZero"/>
        <c:crossBetween val="between"/>
      </c:valAx>
    </c:plotArea>
  </c:chart>
  <c:spPr>
    <a:solidFill>
      <a:srgbClr val="FFFFFF"/>
    </a:solidFill>
    <a:ln>
      <a:solidFill>
        <a:srgbClr val="DCE4DA"/>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xdr:colOff>
      <xdr:row>20</xdr:row>
      <xdr:rowOff>38100</xdr:rowOff>
    </xdr:from>
    <xdr:to>
      <xdr:col>7</xdr:col>
      <xdr:colOff>552450</xdr:colOff>
      <xdr:row>32</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20</xdr:row>
      <xdr:rowOff>38100</xdr:rowOff>
    </xdr:from>
    <xdr:to>
      <xdr:col>14</xdr:col>
      <xdr:colOff>514350</xdr:colOff>
      <xdr:row>32</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41</xdr:row>
      <xdr:rowOff>38100</xdr:rowOff>
    </xdr:from>
    <xdr:to>
      <xdr:col>6</xdr:col>
      <xdr:colOff>514350</xdr:colOff>
      <xdr:row>53</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xdr:colOff>
      <xdr:row>41</xdr:row>
      <xdr:rowOff>38100</xdr:rowOff>
    </xdr:from>
    <xdr:to>
      <xdr:col>14</xdr:col>
      <xdr:colOff>514350</xdr:colOff>
      <xdr:row>53</xdr:row>
      <xdr:rowOff>152400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70</xdr:row>
      <xdr:rowOff>38100</xdr:rowOff>
    </xdr:from>
    <xdr:to>
      <xdr:col>10</xdr:col>
      <xdr:colOff>571500</xdr:colOff>
      <xdr:row>85</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180975</xdr:colOff>
      <xdr:row>11</xdr:row>
      <xdr:rowOff>217170</xdr:rowOff>
    </xdr:to>
    <xdr:pic>
      <xdr:nvPicPr>
        <xdr:cNvPr id="2" name="Picture 1" descr="banner_fresh.png"/>
        <xdr:cNvPicPr>
          <a:picLocks noChangeAspect="1"/>
        </xdr:cNvPicPr>
      </xdr:nvPicPr>
      <xdr:blipFill>
        <a:blip xmlns:r="http://schemas.openxmlformats.org/officeDocument/2006/relationships" r:embed="rId1"/>
        <a:stretch>
          <a:fillRect/>
        </a:stretch>
      </xdr:blipFill>
      <xdr:spPr>
        <a:xfrm>
          <a:off x="0" y="0"/>
          <a:ext cx="9448800" cy="37795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sheetPr>
    <tabColor rgb="FF7C8A82"/>
  </sheetPr>
  <dimension ref="A1:AF101"/>
  <sheetViews>
    <sheetView showGridLines="0" zoomScale="90" zoomScaleNormal="90" workbookViewId="0"/>
  </sheetViews>
  <sheetFormatPr defaultRowHeight="15"/>
  <cols>
    <col min="1" max="1" width="60.7109375" customWidth="1"/>
    <col min="8" max="12" width="12.7109375" customWidth="1"/>
    <col min="14" max="21" width="22.7109375" customWidth="1"/>
    <col min="27" max="29" width="24.7109375" customWidth="1"/>
    <col min="31" max="32" width="46.7109375" customWidth="1"/>
  </cols>
  <sheetData>
    <row r="1" spans="1:32">
      <c r="A1" s="1" t="s">
        <v>0</v>
      </c>
      <c r="H1" s="2" t="s">
        <v>13</v>
      </c>
      <c r="I1" s="2" t="s">
        <v>14</v>
      </c>
      <c r="J1" s="2" t="s">
        <v>15</v>
      </c>
      <c r="K1" s="2" t="s">
        <v>16</v>
      </c>
      <c r="L1" s="2" t="s">
        <v>17</v>
      </c>
      <c r="N1" s="2" t="s">
        <v>18</v>
      </c>
      <c r="O1" s="2" t="s">
        <v>19</v>
      </c>
      <c r="AA1" s="2" t="s">
        <v>51</v>
      </c>
      <c r="AB1" s="2" t="s">
        <v>52</v>
      </c>
      <c r="AC1" s="2" t="s">
        <v>42</v>
      </c>
      <c r="AE1" s="2" t="s">
        <v>56</v>
      </c>
      <c r="AF1" s="2" t="s">
        <v>57</v>
      </c>
    </row>
    <row r="2" spans="1:32">
      <c r="H2" s="1" t="s">
        <v>1</v>
      </c>
      <c r="I2" s="1">
        <f>SUMPRODUCT(('💰 Payments'!$E$8:$E$67&lt;&gt;"")*(MONTH('💰 Payments'!$E$8:$E$67)=1)*'💰 Payments'!$J$8:$J$67)</f>
        <v>0</v>
      </c>
      <c r="J2" s="1">
        <f>SUMPRODUCT(('💸 Expenses'!$C$8:$C$67&lt;&gt;"")*(MONTH('💸 Expenses'!$C$8:$C$67)=1)*'💸 Expenses'!$G$8:$G$67)</f>
        <v>0</v>
      </c>
      <c r="K2" s="1">
        <f>I2-J2</f>
        <v>0</v>
      </c>
      <c r="L2" s="1">
        <f>SUMPRODUCT(('📅 Events'!$E$8:$E$47&lt;&gt;"")*(MONTH('📅 Events'!$E$8:$E$47)=1)*1)</f>
        <v>0</v>
      </c>
      <c r="N2" s="1" t="s">
        <v>20</v>
      </c>
      <c r="O2" s="1">
        <f>SUMIF('💸 Expenses'!$E$8:$E$67,$N2,'💸 Expenses'!$G$8:$G$67)</f>
        <v>0</v>
      </c>
      <c r="AA2" s="1">
        <f>IFERROR(AGGREGATE(15,6,'📅 Events'!$E$8:$E$47/('📅 Events'!$E$8:$E$47&gt;=TODAY())*('📅 Events'!$Q$8:$Q$47&lt;&gt;"❌ Cancelled")*('📅 Events'!$Q$8:$Q$47&lt;&gt;"🎉 Completed"),1),"")</f>
        <v/>
      </c>
      <c r="AB2" s="1">
        <f>IF($AA2="","",INDEX('📅 Events'!$D$8:$D$47,MATCH($AA2,'📅 Events'!$E$8:$E$47,0))&amp;" - "&amp;INDEX('📅 Events'!$F$8:$F$47,MATCH($AA2,'📅 Events'!$E$8:$E$47,0)))</f>
        <v/>
      </c>
      <c r="AC2" s="1">
        <f>IF($AA2="","",INDEX('📅 Events'!$Q$8:$Q$47,MATCH($AA2,'📅 Events'!$E$8:$E$47,0)))</f>
        <v/>
      </c>
      <c r="AE2" s="1" t="s">
        <v>58</v>
      </c>
      <c r="AF2" s="1">
        <f>SUM('💰 Payments'!$J$8:$J$67)</f>
        <v>0</v>
      </c>
    </row>
    <row r="3" spans="1:32">
      <c r="H3" s="1" t="s">
        <v>2</v>
      </c>
      <c r="I3" s="1">
        <f>SUMPRODUCT(('💰 Payments'!$E$8:$E$67&lt;&gt;"")*(MONTH('💰 Payments'!$E$8:$E$67)=2)*'💰 Payments'!$J$8:$J$67)</f>
        <v>0</v>
      </c>
      <c r="J3" s="1">
        <f>SUMPRODUCT(('💸 Expenses'!$C$8:$C$67&lt;&gt;"")*(MONTH('💸 Expenses'!$C$8:$C$67)=2)*'💸 Expenses'!$G$8:$G$67)</f>
        <v>0</v>
      </c>
      <c r="K3" s="1">
        <f>I3-J3</f>
        <v>0</v>
      </c>
      <c r="L3" s="1">
        <f>SUMPRODUCT(('📅 Events'!$E$8:$E$47&lt;&gt;"")*(MONTH('📅 Events'!$E$8:$E$47)=2)*1)</f>
        <v>0</v>
      </c>
      <c r="N3" s="1" t="s">
        <v>21</v>
      </c>
      <c r="O3" s="1">
        <f>SUMIF('💸 Expenses'!$E$8:$E$67,$N3,'💸 Expenses'!$G$8:$G$67)</f>
        <v>0</v>
      </c>
      <c r="AA3" s="1">
        <f>IFERROR(AGGREGATE(15,6,'📅 Events'!$E$8:$E$47/('📅 Events'!$E$8:$E$47&gt;=TODAY())*('📅 Events'!$Q$8:$Q$47&lt;&gt;"❌ Cancelled")*('📅 Events'!$Q$8:$Q$47&lt;&gt;"🎉 Completed"),2),"")</f>
        <v/>
      </c>
      <c r="AB3" s="1">
        <f>IF($AA3="","",INDEX('📅 Events'!$D$8:$D$47,MATCH($AA3,'📅 Events'!$E$8:$E$47,0))&amp;" - "&amp;INDEX('📅 Events'!$F$8:$F$47,MATCH($AA3,'📅 Events'!$E$8:$E$47,0)))</f>
        <v/>
      </c>
      <c r="AC3" s="1">
        <f>IF($AA3="","",INDEX('📅 Events'!$Q$8:$Q$47,MATCH($AA3,'📅 Events'!$E$8:$E$47,0)))</f>
        <v/>
      </c>
      <c r="AE3" s="1" t="s">
        <v>59</v>
      </c>
      <c r="AF3" s="1">
        <f>SUM('💸 Expenses'!$G$8:$G$67)</f>
        <v>0</v>
      </c>
    </row>
    <row r="4" spans="1:32">
      <c r="H4" s="1" t="s">
        <v>3</v>
      </c>
      <c r="I4" s="1">
        <f>SUMPRODUCT(('💰 Payments'!$E$8:$E$67&lt;&gt;"")*(MONTH('💰 Payments'!$E$8:$E$67)=3)*'💰 Payments'!$J$8:$J$67)</f>
        <v>0</v>
      </c>
      <c r="J4" s="1">
        <f>SUMPRODUCT(('💸 Expenses'!$C$8:$C$67&lt;&gt;"")*(MONTH('💸 Expenses'!$C$8:$C$67)=3)*'💸 Expenses'!$G$8:$G$67)</f>
        <v>0</v>
      </c>
      <c r="K4" s="1">
        <f>I4-J4</f>
        <v>0</v>
      </c>
      <c r="L4" s="1">
        <f>SUMPRODUCT(('📅 Events'!$E$8:$E$47&lt;&gt;"")*(MONTH('📅 Events'!$E$8:$E$47)=3)*1)</f>
        <v>0</v>
      </c>
      <c r="N4" s="1" t="s">
        <v>22</v>
      </c>
      <c r="O4" s="1">
        <f>SUMIF('💸 Expenses'!$E$8:$E$67,$N4,'💸 Expenses'!$G$8:$G$67)</f>
        <v>0</v>
      </c>
      <c r="AA4" s="1">
        <f>IFERROR(AGGREGATE(15,6,'📅 Events'!$E$8:$E$47/('📅 Events'!$E$8:$E$47&gt;=TODAY())*('📅 Events'!$Q$8:$Q$47&lt;&gt;"❌ Cancelled")*('📅 Events'!$Q$8:$Q$47&lt;&gt;"🎉 Completed"),3),"")</f>
        <v/>
      </c>
      <c r="AB4" s="1">
        <f>IF($AA4="","",INDEX('📅 Events'!$D$8:$D$47,MATCH($AA4,'📅 Events'!$E$8:$E$47,0))&amp;" - "&amp;INDEX('📅 Events'!$F$8:$F$47,MATCH($AA4,'📅 Events'!$E$8:$E$47,0)))</f>
        <v/>
      </c>
      <c r="AC4" s="1">
        <f>IF($AA4="","",INDEX('📅 Events'!$Q$8:$Q$47,MATCH($AA4,'📅 Events'!$E$8:$E$47,0)))</f>
        <v/>
      </c>
      <c r="AE4" s="1" t="s">
        <v>60</v>
      </c>
      <c r="AF4" s="1">
        <f>$AF$2-$AF$3</f>
        <v>0</v>
      </c>
    </row>
    <row r="5" spans="1:32">
      <c r="H5" s="1" t="s">
        <v>4</v>
      </c>
      <c r="I5" s="1">
        <f>SUMPRODUCT(('💰 Payments'!$E$8:$E$67&lt;&gt;"")*(MONTH('💰 Payments'!$E$8:$E$67)=4)*'💰 Payments'!$J$8:$J$67)</f>
        <v>0</v>
      </c>
      <c r="J5" s="1">
        <f>SUMPRODUCT(('💸 Expenses'!$C$8:$C$67&lt;&gt;"")*(MONTH('💸 Expenses'!$C$8:$C$67)=4)*'💸 Expenses'!$G$8:$G$67)</f>
        <v>0</v>
      </c>
      <c r="K5" s="1">
        <f>I5-J5</f>
        <v>0</v>
      </c>
      <c r="L5" s="1">
        <f>SUMPRODUCT(('📅 Events'!$E$8:$E$47&lt;&gt;"")*(MONTH('📅 Events'!$E$8:$E$47)=4)*1)</f>
        <v>0</v>
      </c>
      <c r="N5" s="1" t="s">
        <v>23</v>
      </c>
      <c r="O5" s="1">
        <f>SUMIF('💸 Expenses'!$E$8:$E$67,$N5,'💸 Expenses'!$G$8:$G$67)</f>
        <v>0</v>
      </c>
      <c r="AA5" s="1">
        <f>IFERROR(AGGREGATE(15,6,'📅 Events'!$E$8:$E$47/('📅 Events'!$E$8:$E$47&gt;=TODAY())*('📅 Events'!$Q$8:$Q$47&lt;&gt;"❌ Cancelled")*('📅 Events'!$Q$8:$Q$47&lt;&gt;"🎉 Completed"),4),"")</f>
        <v/>
      </c>
      <c r="AB5" s="1">
        <f>IF($AA5="","",INDEX('📅 Events'!$D$8:$D$47,MATCH($AA5,'📅 Events'!$E$8:$E$47,0))&amp;" - "&amp;INDEX('📅 Events'!$F$8:$F$47,MATCH($AA5,'📅 Events'!$E$8:$E$47,0)))</f>
        <v/>
      </c>
      <c r="AC5" s="1">
        <f>IF($AA5="","",INDEX('📅 Events'!$Q$8:$Q$47,MATCH($AA5,'📅 Events'!$E$8:$E$47,0)))</f>
        <v/>
      </c>
      <c r="AE5" s="1" t="s">
        <v>61</v>
      </c>
      <c r="AF5" s="1">
        <f>IFERROR($AF$4/$AF$2,0)</f>
        <v>0</v>
      </c>
    </row>
    <row r="6" spans="1:32">
      <c r="H6" s="1" t="s">
        <v>5</v>
      </c>
      <c r="I6" s="1">
        <f>SUMPRODUCT(('💰 Payments'!$E$8:$E$67&lt;&gt;"")*(MONTH('💰 Payments'!$E$8:$E$67)=5)*'💰 Payments'!$J$8:$J$67)</f>
        <v>0</v>
      </c>
      <c r="J6" s="1">
        <f>SUMPRODUCT(('💸 Expenses'!$C$8:$C$67&lt;&gt;"")*(MONTH('💸 Expenses'!$C$8:$C$67)=5)*'💸 Expenses'!$G$8:$G$67)</f>
        <v>0</v>
      </c>
      <c r="K6" s="1">
        <f>I6-J6</f>
        <v>0</v>
      </c>
      <c r="L6" s="1">
        <f>SUMPRODUCT(('📅 Events'!$E$8:$E$47&lt;&gt;"")*(MONTH('📅 Events'!$E$8:$E$47)=5)*1)</f>
        <v>0</v>
      </c>
      <c r="N6" s="1" t="s">
        <v>24</v>
      </c>
      <c r="O6" s="1">
        <f>SUMIF('💸 Expenses'!$E$8:$E$67,$N6,'💸 Expenses'!$G$8:$G$67)</f>
        <v>0</v>
      </c>
      <c r="AA6" s="1">
        <f>IFERROR(AGGREGATE(15,6,'📅 Events'!$E$8:$E$47/('📅 Events'!$E$8:$E$47&gt;=TODAY())*('📅 Events'!$Q$8:$Q$47&lt;&gt;"❌ Cancelled")*('📅 Events'!$Q$8:$Q$47&lt;&gt;"🎉 Completed"),5),"")</f>
        <v/>
      </c>
      <c r="AB6" s="1">
        <f>IF($AA6="","",INDEX('📅 Events'!$D$8:$D$47,MATCH($AA6,'📅 Events'!$E$8:$E$47,0))&amp;" - "&amp;INDEX('📅 Events'!$F$8:$F$47,MATCH($AA6,'📅 Events'!$E$8:$E$47,0)))</f>
        <v/>
      </c>
      <c r="AC6" s="1">
        <f>IF($AA6="","",INDEX('📅 Events'!$Q$8:$Q$47,MATCH($AA6,'📅 Events'!$E$8:$E$47,0)))</f>
        <v/>
      </c>
      <c r="AE6" s="1" t="s">
        <v>62</v>
      </c>
      <c r="AF6" s="1">
        <f>COUNTA('📅 Events'!$C$8:$C$47)</f>
        <v>0</v>
      </c>
    </row>
    <row r="7" spans="1:32">
      <c r="H7" s="1" t="s">
        <v>6</v>
      </c>
      <c r="I7" s="1">
        <f>SUMPRODUCT(('💰 Payments'!$E$8:$E$67&lt;&gt;"")*(MONTH('💰 Payments'!$E$8:$E$67)=6)*'💰 Payments'!$J$8:$J$67)</f>
        <v>0</v>
      </c>
      <c r="J7" s="1">
        <f>SUMPRODUCT(('💸 Expenses'!$C$8:$C$67&lt;&gt;"")*(MONTH('💸 Expenses'!$C$8:$C$67)=6)*'💸 Expenses'!$G$8:$G$67)</f>
        <v>0</v>
      </c>
      <c r="K7" s="1">
        <f>I7-J7</f>
        <v>0</v>
      </c>
      <c r="L7" s="1">
        <f>SUMPRODUCT(('📅 Events'!$E$8:$E$47&lt;&gt;"")*(MONTH('📅 Events'!$E$8:$E$47)=6)*1)</f>
        <v>0</v>
      </c>
      <c r="N7" s="1" t="s">
        <v>25</v>
      </c>
      <c r="O7" s="1">
        <f>SUMIF('💸 Expenses'!$E$8:$E$67,$N7,'💸 Expenses'!$G$8:$G$67)</f>
        <v>0</v>
      </c>
      <c r="AA7" s="1">
        <f>IFERROR(AGGREGATE(15,6,'📅 Events'!$E$8:$E$47/('📅 Events'!$E$8:$E$47&gt;=TODAY())*('📅 Events'!$Q$8:$Q$47&lt;&gt;"❌ Cancelled")*('📅 Events'!$Q$8:$Q$47&lt;&gt;"🎉 Completed"),6),"")</f>
        <v/>
      </c>
      <c r="AB7" s="1">
        <f>IF($AA7="","",INDEX('📅 Events'!$D$8:$D$47,MATCH($AA7,'📅 Events'!$E$8:$E$47,0))&amp;" - "&amp;INDEX('📅 Events'!$F$8:$F$47,MATCH($AA7,'📅 Events'!$E$8:$E$47,0)))</f>
        <v/>
      </c>
      <c r="AC7" s="1">
        <f>IF($AA7="","",INDEX('📅 Events'!$Q$8:$Q$47,MATCH($AA7,'📅 Events'!$E$8:$E$47,0)))</f>
        <v/>
      </c>
      <c r="AE7" s="1" t="s">
        <v>63</v>
      </c>
      <c r="AF7" s="1">
        <f>COUNTIF('📅 Events'!$Q$8:$Q$47,"🎉 Completed")</f>
        <v>0</v>
      </c>
    </row>
    <row r="8" spans="1:32">
      <c r="H8" s="1" t="s">
        <v>7</v>
      </c>
      <c r="I8" s="1">
        <f>SUMPRODUCT(('💰 Payments'!$E$8:$E$67&lt;&gt;"")*(MONTH('💰 Payments'!$E$8:$E$67)=7)*'💰 Payments'!$J$8:$J$67)</f>
        <v>0</v>
      </c>
      <c r="J8" s="1">
        <f>SUMPRODUCT(('💸 Expenses'!$C$8:$C$67&lt;&gt;"")*(MONTH('💸 Expenses'!$C$8:$C$67)=7)*'💸 Expenses'!$G$8:$G$67)</f>
        <v>0</v>
      </c>
      <c r="K8" s="1">
        <f>I8-J8</f>
        <v>0</v>
      </c>
      <c r="L8" s="1">
        <f>SUMPRODUCT(('📅 Events'!$E$8:$E$47&lt;&gt;"")*(MONTH('📅 Events'!$E$8:$E$47)=7)*1)</f>
        <v>0</v>
      </c>
      <c r="N8" s="1" t="s">
        <v>26</v>
      </c>
      <c r="O8" s="1">
        <f>SUMIF('💸 Expenses'!$E$8:$E$67,$N8,'💸 Expenses'!$G$8:$G$67)</f>
        <v>0</v>
      </c>
      <c r="AA8" s="1">
        <f>IFERROR(AGGREGATE(15,6,'📅 Events'!$E$8:$E$47/('📅 Events'!$E$8:$E$47&gt;=TODAY())*('📅 Events'!$Q$8:$Q$47&lt;&gt;"❌ Cancelled")*('📅 Events'!$Q$8:$Q$47&lt;&gt;"🎉 Completed"),7),"")</f>
        <v/>
      </c>
      <c r="AB8" s="1">
        <f>IF($AA8="","",INDEX('📅 Events'!$D$8:$D$47,MATCH($AA8,'📅 Events'!$E$8:$E$47,0))&amp;" - "&amp;INDEX('📅 Events'!$F$8:$F$47,MATCH($AA8,'📅 Events'!$E$8:$E$47,0)))</f>
        <v/>
      </c>
      <c r="AC8" s="1">
        <f>IF($AA8="","",INDEX('📅 Events'!$Q$8:$Q$47,MATCH($AA8,'📅 Events'!$E$8:$E$47,0)))</f>
        <v/>
      </c>
      <c r="AE8" s="1" t="s">
        <v>64</v>
      </c>
      <c r="AF8" s="1">
        <f>COUNTIF('📅 Events'!$Q$8:$Q$47,"💰 Deposit Paid")+COUNTIF('📅 Events'!$Q$8:$Q$47,"✅ Confirmed")</f>
        <v>0</v>
      </c>
    </row>
    <row r="9" spans="1:32">
      <c r="H9" s="1" t="s">
        <v>8</v>
      </c>
      <c r="I9" s="1">
        <f>SUMPRODUCT(('💰 Payments'!$E$8:$E$67&lt;&gt;"")*(MONTH('💰 Payments'!$E$8:$E$67)=8)*'💰 Payments'!$J$8:$J$67)</f>
        <v>0</v>
      </c>
      <c r="J9" s="1">
        <f>SUMPRODUCT(('💸 Expenses'!$C$8:$C$67&lt;&gt;"")*(MONTH('💸 Expenses'!$C$8:$C$67)=8)*'💸 Expenses'!$G$8:$G$67)</f>
        <v>0</v>
      </c>
      <c r="K9" s="1">
        <f>I9-J9</f>
        <v>0</v>
      </c>
      <c r="L9" s="1">
        <f>SUMPRODUCT(('📅 Events'!$E$8:$E$47&lt;&gt;"")*(MONTH('📅 Events'!$E$8:$E$47)=8)*1)</f>
        <v>0</v>
      </c>
      <c r="N9" s="1" t="s">
        <v>27</v>
      </c>
      <c r="O9" s="1">
        <f>SUMIF('💸 Expenses'!$E$8:$E$67,$N9,'💸 Expenses'!$G$8:$G$67)</f>
        <v>0</v>
      </c>
      <c r="AA9" s="1">
        <f>IFERROR(AGGREGATE(15,6,'📅 Events'!$E$8:$E$47/('📅 Events'!$E$8:$E$47&gt;=TODAY())*('📅 Events'!$Q$8:$Q$47&lt;&gt;"❌ Cancelled")*('📅 Events'!$Q$8:$Q$47&lt;&gt;"🎉 Completed"),8),"")</f>
        <v/>
      </c>
      <c r="AB9" s="1">
        <f>IF($AA9="","",INDEX('📅 Events'!$D$8:$D$47,MATCH($AA9,'📅 Events'!$E$8:$E$47,0))&amp;" - "&amp;INDEX('📅 Events'!$F$8:$F$47,MATCH($AA9,'📅 Events'!$E$8:$E$47,0)))</f>
        <v/>
      </c>
      <c r="AC9" s="1">
        <f>IF($AA9="","",INDEX('📅 Events'!$Q$8:$Q$47,MATCH($AA9,'📅 Events'!$E$8:$E$47,0)))</f>
        <v/>
      </c>
      <c r="AE9" s="1" t="s">
        <v>65</v>
      </c>
      <c r="AF9" s="1">
        <f>COUNTIF('📅 Events'!$Q$8:$Q$47,"❌ Cancelled")</f>
        <v>0</v>
      </c>
    </row>
    <row r="10" spans="1:32">
      <c r="H10" s="1" t="s">
        <v>9</v>
      </c>
      <c r="I10" s="1">
        <f>SUMPRODUCT(('💰 Payments'!$E$8:$E$67&lt;&gt;"")*(MONTH('💰 Payments'!$E$8:$E$67)=9)*'💰 Payments'!$J$8:$J$67)</f>
        <v>0</v>
      </c>
      <c r="J10" s="1">
        <f>SUMPRODUCT(('💸 Expenses'!$C$8:$C$67&lt;&gt;"")*(MONTH('💸 Expenses'!$C$8:$C$67)=9)*'💸 Expenses'!$G$8:$G$67)</f>
        <v>0</v>
      </c>
      <c r="K10" s="1">
        <f>I10-J10</f>
        <v>0</v>
      </c>
      <c r="L10" s="1">
        <f>SUMPRODUCT(('📅 Events'!$E$8:$E$47&lt;&gt;"")*(MONTH('📅 Events'!$E$8:$E$47)=9)*1)</f>
        <v>0</v>
      </c>
      <c r="N10" s="1" t="s">
        <v>28</v>
      </c>
      <c r="O10" s="1">
        <f>SUMIF('💸 Expenses'!$E$8:$E$67,$N10,'💸 Expenses'!$G$8:$G$67)</f>
        <v>0</v>
      </c>
      <c r="AA10" s="1">
        <f>IFERROR(AGGREGATE(15,6,'📅 Events'!$E$8:$E$47/('📅 Events'!$E$8:$E$47&gt;=TODAY())*('📅 Events'!$Q$8:$Q$47&lt;&gt;"❌ Cancelled")*('📅 Events'!$Q$8:$Q$47&lt;&gt;"🎉 Completed"),9),"")</f>
        <v/>
      </c>
      <c r="AB10" s="1">
        <f>IF($AA10="","",INDEX('📅 Events'!$D$8:$D$47,MATCH($AA10,'📅 Events'!$E$8:$E$47,0))&amp;" - "&amp;INDEX('📅 Events'!$F$8:$F$47,MATCH($AA10,'📅 Events'!$E$8:$E$47,0)))</f>
        <v/>
      </c>
      <c r="AC10" s="1">
        <f>IF($AA10="","",INDEX('📅 Events'!$Q$8:$Q$47,MATCH($AA10,'📅 Events'!$E$8:$E$47,0)))</f>
        <v/>
      </c>
      <c r="AE10" s="1" t="s">
        <v>66</v>
      </c>
      <c r="AF10" s="1">
        <f>IFERROR(AVERAGEIF('📅 Events'!$Q$8:$Q$47,"&lt;&gt;❌ Cancelled",'📅 Events'!$L$8:$L$47),0)</f>
        <v>0</v>
      </c>
    </row>
    <row r="11" spans="1:32">
      <c r="H11" s="1" t="s">
        <v>10</v>
      </c>
      <c r="I11" s="1">
        <f>SUMPRODUCT(('💰 Payments'!$E$8:$E$67&lt;&gt;"")*(MONTH('💰 Payments'!$E$8:$E$67)=10)*'💰 Payments'!$J$8:$J$67)</f>
        <v>0</v>
      </c>
      <c r="J11" s="1">
        <f>SUMPRODUCT(('💸 Expenses'!$C$8:$C$67&lt;&gt;"")*(MONTH('💸 Expenses'!$C$8:$C$67)=10)*'💸 Expenses'!$G$8:$G$67)</f>
        <v>0</v>
      </c>
      <c r="K11" s="1">
        <f>I11-J11</f>
        <v>0</v>
      </c>
      <c r="L11" s="1">
        <f>SUMPRODUCT(('📅 Events'!$E$8:$E$47&lt;&gt;"")*(MONTH('📅 Events'!$E$8:$E$47)=10)*1)</f>
        <v>0</v>
      </c>
      <c r="N11" s="1" t="s">
        <v>29</v>
      </c>
      <c r="O11" s="1">
        <f>SUMIF('💸 Expenses'!$E$8:$E$67,$N11,'💸 Expenses'!$G$8:$G$67)</f>
        <v>0</v>
      </c>
      <c r="AA11" s="1">
        <f>IFERROR(AGGREGATE(15,6,'📅 Events'!$E$8:$E$47/('📅 Events'!$E$8:$E$47&gt;=TODAY())*('📅 Events'!$Q$8:$Q$47&lt;&gt;"❌ Cancelled")*('📅 Events'!$Q$8:$Q$47&lt;&gt;"🎉 Completed"),10),"")</f>
        <v/>
      </c>
      <c r="AB11" s="1">
        <f>IF($AA11="","",INDEX('📅 Events'!$D$8:$D$47,MATCH($AA11,'📅 Events'!$E$8:$E$47,0))&amp;" - "&amp;INDEX('📅 Events'!$F$8:$F$47,MATCH($AA11,'📅 Events'!$E$8:$E$47,0)))</f>
        <v/>
      </c>
      <c r="AC11" s="1">
        <f>IF($AA11="","",INDEX('📅 Events'!$Q$8:$Q$47,MATCH($AA11,'📅 Events'!$E$8:$E$47,0)))</f>
        <v/>
      </c>
      <c r="AE11" s="1" t="s">
        <v>67</v>
      </c>
      <c r="AF11" s="1">
        <f>IFERROR(AVERAGEIF('📅 Events'!$Q$8:$Q$47,"&lt;&gt;❌ Cancelled",'📅 Events'!$G$8:$G$47),0)</f>
        <v>0</v>
      </c>
    </row>
    <row r="12" spans="1:32">
      <c r="H12" s="1" t="s">
        <v>11</v>
      </c>
      <c r="I12" s="1">
        <f>SUMPRODUCT(('💰 Payments'!$E$8:$E$67&lt;&gt;"")*(MONTH('💰 Payments'!$E$8:$E$67)=11)*'💰 Payments'!$J$8:$J$67)</f>
        <v>0</v>
      </c>
      <c r="J12" s="1">
        <f>SUMPRODUCT(('💸 Expenses'!$C$8:$C$67&lt;&gt;"")*(MONTH('💸 Expenses'!$C$8:$C$67)=11)*'💸 Expenses'!$G$8:$G$67)</f>
        <v>0</v>
      </c>
      <c r="K12" s="1">
        <f>I12-J12</f>
        <v>0</v>
      </c>
      <c r="L12" s="1">
        <f>SUMPRODUCT(('📅 Events'!$E$8:$E$47&lt;&gt;"")*(MONTH('📅 Events'!$E$8:$E$47)=11)*1)</f>
        <v>0</v>
      </c>
      <c r="N12" s="1" t="s">
        <v>30</v>
      </c>
      <c r="O12" s="1">
        <f>SUMIF('💸 Expenses'!$E$8:$E$67,$N12,'💸 Expenses'!$G$8:$G$67)</f>
        <v>0</v>
      </c>
      <c r="AA12" s="1">
        <f>IFERROR(AGGREGATE(15,6,'📅 Events'!$E$8:$E$47/('📅 Events'!$E$8:$E$47&gt;=TODAY())*('📅 Events'!$Q$8:$Q$47&lt;&gt;"❌ Cancelled")*('📅 Events'!$Q$8:$Q$47&lt;&gt;"🎉 Completed"),11),"")</f>
        <v/>
      </c>
      <c r="AB12" s="1">
        <f>IF($AA12="","",INDEX('📅 Events'!$D$8:$D$47,MATCH($AA12,'📅 Events'!$E$8:$E$47,0))&amp;" - "&amp;INDEX('📅 Events'!$F$8:$F$47,MATCH($AA12,'📅 Events'!$E$8:$E$47,0)))</f>
        <v/>
      </c>
      <c r="AC12" s="1">
        <f>IF($AA12="","",INDEX('📅 Events'!$Q$8:$Q$47,MATCH($AA12,'📅 Events'!$E$8:$E$47,0)))</f>
        <v/>
      </c>
      <c r="AE12" s="1" t="s">
        <v>68</v>
      </c>
      <c r="AF12" s="1">
        <f>IFERROR(AVERAGEIF('📅 Events'!$Q$8:$Q$47,"&lt;&gt;❌ Cancelled",'📅 Events'!$M$8:$M$47),0)</f>
        <v>0</v>
      </c>
    </row>
    <row r="13" spans="1:32">
      <c r="H13" s="1" t="s">
        <v>12</v>
      </c>
      <c r="I13" s="1">
        <f>SUMPRODUCT(('💰 Payments'!$E$8:$E$67&lt;&gt;"")*(MONTH('💰 Payments'!$E$8:$E$67)=12)*'💰 Payments'!$J$8:$J$67)</f>
        <v>0</v>
      </c>
      <c r="J13" s="1">
        <f>SUMPRODUCT(('💸 Expenses'!$C$8:$C$67&lt;&gt;"")*(MONTH('💸 Expenses'!$C$8:$C$67)=12)*'💸 Expenses'!$G$8:$G$67)</f>
        <v>0</v>
      </c>
      <c r="K13" s="1">
        <f>I13-J13</f>
        <v>0</v>
      </c>
      <c r="L13" s="1">
        <f>SUMPRODUCT(('📅 Events'!$E$8:$E$47&lt;&gt;"")*(MONTH('📅 Events'!$E$8:$E$47)=12)*1)</f>
        <v>0</v>
      </c>
      <c r="AA13" s="1">
        <f>IFERROR(AGGREGATE(15,6,'📅 Events'!$E$8:$E$47/('📅 Events'!$E$8:$E$47&gt;=TODAY())*('📅 Events'!$Q$8:$Q$47&lt;&gt;"❌ Cancelled")*('📅 Events'!$Q$8:$Q$47&lt;&gt;"🎉 Completed"),12),"")</f>
        <v/>
      </c>
      <c r="AB13" s="1">
        <f>IF($AA13="","",INDEX('📅 Events'!$D$8:$D$47,MATCH($AA13,'📅 Events'!$E$8:$E$47,0))&amp;" - "&amp;INDEX('📅 Events'!$F$8:$F$47,MATCH($AA13,'📅 Events'!$E$8:$E$47,0)))</f>
        <v/>
      </c>
      <c r="AC13" s="1">
        <f>IF($AA13="","",INDEX('📅 Events'!$Q$8:$Q$47,MATCH($AA13,'📅 Events'!$E$8:$E$47,0)))</f>
        <v/>
      </c>
      <c r="AE13" s="1" t="s">
        <v>69</v>
      </c>
      <c r="AF13" s="1">
        <f>SUMIF('📅 Events'!$Q$8:$Q$47,"🎉 Completed",'📅 Events'!$G$8:$G$47)</f>
        <v>0</v>
      </c>
    </row>
    <row r="14" spans="1:32">
      <c r="AA14" s="1">
        <f>IFERROR(AGGREGATE(15,6,'📅 Events'!$E$8:$E$47/('📅 Events'!$E$8:$E$47&gt;=TODAY())*('📅 Events'!$Q$8:$Q$47&lt;&gt;"❌ Cancelled")*('📅 Events'!$Q$8:$Q$47&lt;&gt;"🎉 Completed"),13),"")</f>
        <v/>
      </c>
      <c r="AB14" s="1">
        <f>IF($AA14="","",INDEX('📅 Events'!$D$8:$D$47,MATCH($AA14,'📅 Events'!$E$8:$E$47,0))&amp;" - "&amp;INDEX('📅 Events'!$F$8:$F$47,MATCH($AA14,'📅 Events'!$E$8:$E$47,0)))</f>
        <v/>
      </c>
      <c r="AC14" s="1">
        <f>IF($AA14="","",INDEX('📅 Events'!$Q$8:$Q$47,MATCH($AA14,'📅 Events'!$E$8:$E$47,0)))</f>
        <v/>
      </c>
      <c r="AE14" s="1" t="s">
        <v>70</v>
      </c>
      <c r="AF14" s="1">
        <f>SUM('💰 Payments'!$K$8:$K$67)</f>
        <v>0</v>
      </c>
    </row>
    <row r="15" spans="1:32">
      <c r="N15" s="2" t="s">
        <v>31</v>
      </c>
      <c r="O15" s="2" t="s">
        <v>32</v>
      </c>
      <c r="AA15" s="1">
        <f>IFERROR(AGGREGATE(15,6,'📅 Events'!$E$8:$E$47/('📅 Events'!$E$8:$E$47&gt;=TODAY())*('📅 Events'!$Q$8:$Q$47&lt;&gt;"❌ Cancelled")*('📅 Events'!$Q$8:$Q$47&lt;&gt;"🎉 Completed"),14),"")</f>
        <v/>
      </c>
      <c r="AB15" s="1">
        <f>IF($AA15="","",INDEX('📅 Events'!$D$8:$D$47,MATCH($AA15,'📅 Events'!$E$8:$E$47,0))&amp;" - "&amp;INDEX('📅 Events'!$F$8:$F$47,MATCH($AA15,'📅 Events'!$E$8:$E$47,0)))</f>
        <v/>
      </c>
      <c r="AC15" s="1">
        <f>IF($AA15="","",INDEX('📅 Events'!$Q$8:$Q$47,MATCH($AA15,'📅 Events'!$E$8:$E$47,0)))</f>
        <v/>
      </c>
      <c r="AE15" s="1" t="s">
        <v>71</v>
      </c>
      <c r="AF15" s="1">
        <f>SUMPRODUCT(('💰 Payments'!$K$8:$K$67&gt;0)*('💰 Payments'!$L$8:$L$67&lt;&gt;"")*('💰 Payments'!$L$8:$L$67&lt;TODAY()))</f>
        <v>0</v>
      </c>
    </row>
    <row r="16" spans="1:32">
      <c r="N16" s="1" t="s">
        <v>33</v>
      </c>
      <c r="O16" s="1">
        <f>SUMIFS('📅 Events'!$L$8:$L$47,'📅 Events'!$F$8:$F$47,$N16,'📅 Events'!$Q$8:$Q$47,"&lt;&gt;❌ Cancelled")</f>
        <v>0</v>
      </c>
      <c r="AA16" s="1">
        <f>IFERROR(AGGREGATE(15,6,'📅 Events'!$E$8:$E$47/('📅 Events'!$E$8:$E$47&gt;=TODAY())*('📅 Events'!$Q$8:$Q$47&lt;&gt;"❌ Cancelled")*('📅 Events'!$Q$8:$Q$47&lt;&gt;"🎉 Completed"),15),"")</f>
        <v/>
      </c>
      <c r="AB16" s="1">
        <f>IF($AA16="","",INDEX('📅 Events'!$D$8:$D$47,MATCH($AA16,'📅 Events'!$E$8:$E$47,0))&amp;" - "&amp;INDEX('📅 Events'!$F$8:$F$47,MATCH($AA16,'📅 Events'!$E$8:$E$47,0)))</f>
        <v/>
      </c>
      <c r="AC16" s="1">
        <f>IF($AA16="","",INDEX('📅 Events'!$Q$8:$Q$47,MATCH($AA16,'📅 Events'!$E$8:$E$47,0)))</f>
        <v/>
      </c>
      <c r="AE16" s="1" t="s">
        <v>72</v>
      </c>
      <c r="AF16" s="1">
        <f>COUNTIF('💰 Payments'!$K$8:$K$67,"&gt;0")</f>
        <v>0</v>
      </c>
    </row>
    <row r="17" spans="14:32">
      <c r="N17" s="1" t="s">
        <v>34</v>
      </c>
      <c r="O17" s="1">
        <f>SUMIFS('📅 Events'!$L$8:$L$47,'📅 Events'!$F$8:$F$47,$N17,'📅 Events'!$Q$8:$Q$47,"&lt;&gt;❌ Cancelled")</f>
        <v>0</v>
      </c>
      <c r="AA17" s="1">
        <f>IFERROR(AGGREGATE(15,6,'📅 Events'!$E$8:$E$47/('📅 Events'!$E$8:$E$47&gt;=TODAY())*('📅 Events'!$Q$8:$Q$47&lt;&gt;"❌ Cancelled")*('📅 Events'!$Q$8:$Q$47&lt;&gt;"🎉 Completed"),16),"")</f>
        <v/>
      </c>
      <c r="AB17" s="1">
        <f>IF($AA17="","",INDEX('📅 Events'!$D$8:$D$47,MATCH($AA17,'📅 Events'!$E$8:$E$47,0))&amp;" - "&amp;INDEX('📅 Events'!$F$8:$F$47,MATCH($AA17,'📅 Events'!$E$8:$E$47,0)))</f>
        <v/>
      </c>
      <c r="AC17" s="1">
        <f>IF($AA17="","",INDEX('📅 Events'!$Q$8:$Q$47,MATCH($AA17,'📅 Events'!$E$8:$E$47,0)))</f>
        <v/>
      </c>
      <c r="AE17" s="1" t="s">
        <v>73</v>
      </c>
      <c r="AF17" s="1">
        <f>SUMIF('💸 Expenses'!$E$8:$E$67,"Ingredients",'💸 Expenses'!$G$8:$G$67)+SUMIF('💸 Expenses'!$E$8:$E$67,"Packaging",'💸 Expenses'!$G$8:$G$67)</f>
        <v>0</v>
      </c>
    </row>
    <row r="18" spans="14:32">
      <c r="N18" s="1" t="s">
        <v>35</v>
      </c>
      <c r="O18" s="1">
        <f>SUMIFS('📅 Events'!$L$8:$L$47,'📅 Events'!$F$8:$F$47,$N18,'📅 Events'!$Q$8:$Q$47,"&lt;&gt;❌ Cancelled")</f>
        <v>0</v>
      </c>
      <c r="AA18" s="1">
        <f>IFERROR(AGGREGATE(15,6,'📅 Events'!$E$8:$E$47/('📅 Events'!$E$8:$E$47&gt;=TODAY())*('📅 Events'!$Q$8:$Q$47&lt;&gt;"❌ Cancelled")*('📅 Events'!$Q$8:$Q$47&lt;&gt;"🎉 Completed"),17),"")</f>
        <v/>
      </c>
      <c r="AB18" s="1">
        <f>IF($AA18="","",INDEX('📅 Events'!$D$8:$D$47,MATCH($AA18,'📅 Events'!$E$8:$E$47,0))&amp;" - "&amp;INDEX('📅 Events'!$F$8:$F$47,MATCH($AA18,'📅 Events'!$E$8:$E$47,0)))</f>
        <v/>
      </c>
      <c r="AC18" s="1">
        <f>IF($AA18="","",INDEX('📅 Events'!$Q$8:$Q$47,MATCH($AA18,'📅 Events'!$E$8:$E$47,0)))</f>
        <v/>
      </c>
      <c r="AE18" s="1" t="s">
        <v>74</v>
      </c>
      <c r="AF18" s="1">
        <f>SUMIF('💸 Expenses'!$E$8:$E$67,"Staff / Labor",'💸 Expenses'!$G$8:$G$67)</f>
        <v>0</v>
      </c>
    </row>
    <row r="19" spans="14:32">
      <c r="N19" s="1" t="s">
        <v>36</v>
      </c>
      <c r="O19" s="1">
        <f>SUMIFS('📅 Events'!$L$8:$L$47,'📅 Events'!$F$8:$F$47,$N19,'📅 Events'!$Q$8:$Q$47,"&lt;&gt;❌ Cancelled")</f>
        <v>0</v>
      </c>
      <c r="AA19" s="1">
        <f>IFERROR(AGGREGATE(15,6,'📅 Events'!$E$8:$E$47/('📅 Events'!$E$8:$E$47&gt;=TODAY())*('📅 Events'!$Q$8:$Q$47&lt;&gt;"❌ Cancelled")*('📅 Events'!$Q$8:$Q$47&lt;&gt;"🎉 Completed"),18),"")</f>
        <v/>
      </c>
      <c r="AB19" s="1">
        <f>IF($AA19="","",INDEX('📅 Events'!$D$8:$D$47,MATCH($AA19,'📅 Events'!$E$8:$E$47,0))&amp;" - "&amp;INDEX('📅 Events'!$F$8:$F$47,MATCH($AA19,'📅 Events'!$E$8:$E$47,0)))</f>
        <v/>
      </c>
      <c r="AC19" s="1">
        <f>IF($AA19="","",INDEX('📅 Events'!$Q$8:$Q$47,MATCH($AA19,'📅 Events'!$E$8:$E$47,0)))</f>
        <v/>
      </c>
      <c r="AE19" s="1" t="s">
        <v>75</v>
      </c>
      <c r="AF19" s="1">
        <f>IFERROR($AF$17/$AF$2,0)</f>
        <v>0</v>
      </c>
    </row>
    <row r="20" spans="14:32">
      <c r="N20" s="1" t="s">
        <v>37</v>
      </c>
      <c r="O20" s="1">
        <f>SUMIFS('📅 Events'!$L$8:$L$47,'📅 Events'!$F$8:$F$47,$N20,'📅 Events'!$Q$8:$Q$47,"&lt;&gt;❌ Cancelled")</f>
        <v>0</v>
      </c>
      <c r="AA20" s="1">
        <f>IFERROR(AGGREGATE(15,6,'📅 Events'!$E$8:$E$47/('📅 Events'!$E$8:$E$47&gt;=TODAY())*('📅 Events'!$Q$8:$Q$47&lt;&gt;"❌ Cancelled")*('📅 Events'!$Q$8:$Q$47&lt;&gt;"🎉 Completed"),19),"")</f>
        <v/>
      </c>
      <c r="AB20" s="1">
        <f>IF($AA20="","",INDEX('📅 Events'!$D$8:$D$47,MATCH($AA20,'📅 Events'!$E$8:$E$47,0))&amp;" - "&amp;INDEX('📅 Events'!$F$8:$F$47,MATCH($AA20,'📅 Events'!$E$8:$E$47,0)))</f>
        <v/>
      </c>
      <c r="AC20" s="1">
        <f>IF($AA20="","",INDEX('📅 Events'!$Q$8:$Q$47,MATCH($AA20,'📅 Events'!$E$8:$E$47,0)))</f>
        <v/>
      </c>
      <c r="AE20" s="1" t="s">
        <v>76</v>
      </c>
      <c r="AF20" s="1">
        <f>IFERROR($AF$18/$AF$2,0)</f>
        <v>0</v>
      </c>
    </row>
    <row r="21" spans="14:32">
      <c r="N21" s="1" t="s">
        <v>38</v>
      </c>
      <c r="O21" s="1">
        <f>SUMIFS('📅 Events'!$L$8:$L$47,'📅 Events'!$F$8:$F$47,$N21,'📅 Events'!$Q$8:$Q$47,"&lt;&gt;❌ Cancelled")</f>
        <v>0</v>
      </c>
      <c r="AA21" s="1">
        <f>IFERROR(AGGREGATE(15,6,'📅 Events'!$E$8:$E$47/('📅 Events'!$E$8:$E$47&gt;=TODAY())*('📅 Events'!$Q$8:$Q$47&lt;&gt;"❌ Cancelled")*('📅 Events'!$Q$8:$Q$47&lt;&gt;"🎉 Completed"),20),"")</f>
        <v/>
      </c>
      <c r="AB21" s="1">
        <f>IF($AA21="","",INDEX('📅 Events'!$D$8:$D$47,MATCH($AA21,'📅 Events'!$E$8:$E$47,0))&amp;" - "&amp;INDEX('📅 Events'!$F$8:$F$47,MATCH($AA21,'📅 Events'!$E$8:$E$47,0)))</f>
        <v/>
      </c>
      <c r="AC21" s="1">
        <f>IF($AA21="","",INDEX('📅 Events'!$Q$8:$Q$47,MATCH($AA21,'📅 Events'!$E$8:$E$47,0)))</f>
        <v/>
      </c>
      <c r="AE21" s="1" t="s">
        <v>77</v>
      </c>
      <c r="AF21" s="1">
        <f>IFERROR(SUMPRODUCT((COUNTIF('👥 Clients'!$C$8:$C$47,'👥 Clients'!$C$8:$C$47&amp;"")&gt;1)*(('👥 Clients'!$C$8:$C$47&amp;"")&lt;&gt;"")*1)/COUNTA('👥 Clients'!$C$8:$C$47),0)</f>
        <v>0</v>
      </c>
    </row>
    <row r="22" spans="14:32">
      <c r="N22" s="1" t="s">
        <v>39</v>
      </c>
      <c r="O22" s="1">
        <f>SUMIFS('📅 Events'!$L$8:$L$47,'📅 Events'!$F$8:$F$47,$N22,'📅 Events'!$Q$8:$Q$47,"&lt;&gt;❌ Cancelled")</f>
        <v>0</v>
      </c>
      <c r="AA22" s="1">
        <f>IFERROR(AGGREGATE(15,6,'📅 Events'!$E$8:$E$47/('📅 Events'!$E$8:$E$47&gt;=TODAY())*('📅 Events'!$Q$8:$Q$47&lt;&gt;"❌ Cancelled")*('📅 Events'!$Q$8:$Q$47&lt;&gt;"🎉 Completed"),21),"")</f>
        <v/>
      </c>
      <c r="AB22" s="1">
        <f>IF($AA22="","",INDEX('📅 Events'!$D$8:$D$47,MATCH($AA22,'📅 Events'!$E$8:$E$47,0))&amp;" - "&amp;INDEX('📅 Events'!$F$8:$F$47,MATCH($AA22,'📅 Events'!$E$8:$E$47,0)))</f>
        <v/>
      </c>
      <c r="AC22" s="1">
        <f>IF($AA22="","",INDEX('📅 Events'!$Q$8:$Q$47,MATCH($AA22,'📅 Events'!$E$8:$E$47,0)))</f>
        <v/>
      </c>
      <c r="AE22" s="1" t="s">
        <v>78</v>
      </c>
      <c r="AF22" s="1">
        <v>0</v>
      </c>
    </row>
    <row r="23" spans="14:32">
      <c r="N23" s="1" t="s">
        <v>40</v>
      </c>
      <c r="O23" s="1">
        <f>SUMIFS('📅 Events'!$L$8:$L$47,'📅 Events'!$F$8:$F$47,$N23,'📅 Events'!$Q$8:$Q$47,"&lt;&gt;❌ Cancelled")</f>
        <v>0</v>
      </c>
      <c r="AA23" s="1">
        <f>IFERROR(AGGREGATE(15,6,'📅 Events'!$E$8:$E$47/('📅 Events'!$E$8:$E$47&gt;=TODAY())*('📅 Events'!$Q$8:$Q$47&lt;&gt;"❌ Cancelled")*('📅 Events'!$Q$8:$Q$47&lt;&gt;"🎉 Completed"),22),"")</f>
        <v/>
      </c>
      <c r="AB23" s="1">
        <f>IF($AA23="","",INDEX('📅 Events'!$D$8:$D$47,MATCH($AA23,'📅 Events'!$E$8:$E$47,0))&amp;" - "&amp;INDEX('📅 Events'!$F$8:$F$47,MATCH($AA23,'📅 Events'!$E$8:$E$47,0)))</f>
        <v/>
      </c>
      <c r="AC23" s="1">
        <f>IF($AA23="","",INDEX('📅 Events'!$Q$8:$Q$47,MATCH($AA23,'📅 Events'!$E$8:$E$47,0)))</f>
        <v/>
      </c>
      <c r="AE23" s="1" t="s">
        <v>79</v>
      </c>
      <c r="AF23" s="1">
        <v>0</v>
      </c>
    </row>
    <row r="24" spans="14:32">
      <c r="N24" s="1" t="s">
        <v>41</v>
      </c>
      <c r="O24" s="1">
        <f>SUMIFS('📅 Events'!$L$8:$L$47,'📅 Events'!$F$8:$F$47,$N24,'📅 Events'!$Q$8:$Q$47,"&lt;&gt;❌ Cancelled")</f>
        <v>0</v>
      </c>
      <c r="AA24" s="1">
        <f>IFERROR(AGGREGATE(15,6,'📅 Events'!$E$8:$E$47/('📅 Events'!$E$8:$E$47&gt;=TODAY())*('📅 Events'!$Q$8:$Q$47&lt;&gt;"❌ Cancelled")*('📅 Events'!$Q$8:$Q$47&lt;&gt;"🎉 Completed"),23),"")</f>
        <v/>
      </c>
      <c r="AB24" s="1">
        <f>IF($AA24="","",INDEX('📅 Events'!$D$8:$D$47,MATCH($AA24,'📅 Events'!$E$8:$E$47,0))&amp;" - "&amp;INDEX('📅 Events'!$F$8:$F$47,MATCH($AA24,'📅 Events'!$E$8:$E$47,0)))</f>
        <v/>
      </c>
      <c r="AC24" s="1">
        <f>IF($AA24="","",INDEX('📅 Events'!$Q$8:$Q$47,MATCH($AA24,'📅 Events'!$E$8:$E$47,0)))</f>
        <v/>
      </c>
      <c r="AE24" s="1" t="s">
        <v>80</v>
      </c>
      <c r="AF24" s="1">
        <v>0</v>
      </c>
    </row>
    <row r="25" spans="14:32">
      <c r="Q25" s="2" t="s">
        <v>49</v>
      </c>
      <c r="R25" s="2" t="s">
        <v>50</v>
      </c>
      <c r="AA25" s="1">
        <f>IFERROR(AGGREGATE(15,6,'📅 Events'!$E$8:$E$47/('📅 Events'!$E$8:$E$47&gt;=TODAY())*('📅 Events'!$Q$8:$Q$47&lt;&gt;"❌ Cancelled")*('📅 Events'!$Q$8:$Q$47&lt;&gt;"🎉 Completed"),24),"")</f>
        <v/>
      </c>
      <c r="AB25" s="1">
        <f>IF($AA25="","",INDEX('📅 Events'!$D$8:$D$47,MATCH($AA25,'📅 Events'!$E$8:$E$47,0))&amp;" - "&amp;INDEX('📅 Events'!$F$8:$F$47,MATCH($AA25,'📅 Events'!$E$8:$E$47,0)))</f>
        <v/>
      </c>
      <c r="AC25" s="1">
        <f>IF($AA25="","",INDEX('📅 Events'!$Q$8:$Q$47,MATCH($AA25,'📅 Events'!$E$8:$E$47,0)))</f>
        <v/>
      </c>
      <c r="AE25" s="1" t="s">
        <v>81</v>
      </c>
      <c r="AF25" s="1">
        <v>0</v>
      </c>
    </row>
    <row r="26" spans="14:32">
      <c r="Q26" s="1">
        <f>IF('👥 Clients'!$C$8="","",'👥 Clients'!$C$8)</f>
        <v>0</v>
      </c>
      <c r="R26" s="1">
        <f>IF($Q26="","",SUMIF('💰 Payments'!$D$8:$D$67,$Q26,'💰 Payments'!$J$8:$J$67))</f>
        <v>0</v>
      </c>
      <c r="AA26" s="1">
        <f>IFERROR(AGGREGATE(15,6,'📅 Events'!$E$8:$E$47/('📅 Events'!$E$8:$E$47&gt;=TODAY())*('📅 Events'!$Q$8:$Q$47&lt;&gt;"❌ Cancelled")*('📅 Events'!$Q$8:$Q$47&lt;&gt;"🎉 Completed"),25),"")</f>
        <v/>
      </c>
      <c r="AB26" s="1">
        <f>IF($AA26="","",INDEX('📅 Events'!$D$8:$D$47,MATCH($AA26,'📅 Events'!$E$8:$E$47,0))&amp;" - "&amp;INDEX('📅 Events'!$F$8:$F$47,MATCH($AA26,'📅 Events'!$E$8:$E$47,0)))</f>
        <v/>
      </c>
      <c r="AC26" s="1">
        <f>IF($AA26="","",INDEX('📅 Events'!$Q$8:$Q$47,MATCH($AA26,'📅 Events'!$E$8:$E$47,0)))</f>
        <v/>
      </c>
      <c r="AE26" s="1" t="s">
        <v>82</v>
      </c>
      <c r="AF26" s="1">
        <v>0</v>
      </c>
    </row>
    <row r="27" spans="14:32">
      <c r="N27" s="2" t="s">
        <v>42</v>
      </c>
      <c r="O27" s="2" t="s">
        <v>17</v>
      </c>
      <c r="Q27" s="1">
        <f>IF('👥 Clients'!$C$9="","",'👥 Clients'!$C$9)</f>
        <v>0</v>
      </c>
      <c r="R27" s="1">
        <f>IF($Q27="","",SUMIF('💰 Payments'!$D$8:$D$67,$Q27,'💰 Payments'!$J$8:$J$67))</f>
        <v>0</v>
      </c>
      <c r="AA27" s="1">
        <f>IFERROR(AGGREGATE(15,6,'📅 Events'!$E$8:$E$47/('📅 Events'!$E$8:$E$47&gt;=TODAY())*('📅 Events'!$Q$8:$Q$47&lt;&gt;"❌ Cancelled")*('📅 Events'!$Q$8:$Q$47&lt;&gt;"🎉 Completed"),26),"")</f>
        <v/>
      </c>
      <c r="AB27" s="1">
        <f>IF($AA27="","",INDEX('📅 Events'!$D$8:$D$47,MATCH($AA27,'📅 Events'!$E$8:$E$47,0))&amp;" - "&amp;INDEX('📅 Events'!$F$8:$F$47,MATCH($AA27,'📅 Events'!$E$8:$E$47,0)))</f>
        <v/>
      </c>
      <c r="AC27" s="1">
        <f>IF($AA27="","",INDEX('📅 Events'!$Q$8:$Q$47,MATCH($AA27,'📅 Events'!$E$8:$E$47,0)))</f>
        <v/>
      </c>
      <c r="AE27" s="1" t="s">
        <v>83</v>
      </c>
      <c r="AF27" s="1">
        <v>0</v>
      </c>
    </row>
    <row r="28" spans="14:32">
      <c r="N28" s="1" t="s">
        <v>43</v>
      </c>
      <c r="O28" s="1">
        <f>COUNTIF('📅 Events'!$Q$8:$Q$47,$N28)</f>
        <v>0</v>
      </c>
      <c r="Q28" s="1">
        <f>IF('👥 Clients'!$C$10="","",'👥 Clients'!$C$10)</f>
        <v>0</v>
      </c>
      <c r="R28" s="1">
        <f>IF($Q28="","",SUMIF('💰 Payments'!$D$8:$D$67,$Q28,'💰 Payments'!$J$8:$J$67))</f>
        <v>0</v>
      </c>
      <c r="AA28" s="1">
        <f>IFERROR(AGGREGATE(15,6,'📅 Events'!$E$8:$E$47/('📅 Events'!$E$8:$E$47&gt;=TODAY())*('📅 Events'!$Q$8:$Q$47&lt;&gt;"❌ Cancelled")*('📅 Events'!$Q$8:$Q$47&lt;&gt;"🎉 Completed"),27),"")</f>
        <v/>
      </c>
      <c r="AB28" s="1">
        <f>IF($AA28="","",INDEX('📅 Events'!$D$8:$D$47,MATCH($AA28,'📅 Events'!$E$8:$E$47,0))&amp;" - "&amp;INDEX('📅 Events'!$F$8:$F$47,MATCH($AA28,'📅 Events'!$E$8:$E$47,0)))</f>
        <v/>
      </c>
      <c r="AC28" s="1">
        <f>IF($AA28="","",INDEX('📅 Events'!$Q$8:$Q$47,MATCH($AA28,'📅 Events'!$E$8:$E$47,0)))</f>
        <v/>
      </c>
      <c r="AE28" s="1" t="s">
        <v>84</v>
      </c>
      <c r="AF28" s="1">
        <v>0</v>
      </c>
    </row>
    <row r="29" spans="14:32">
      <c r="N29" s="1" t="s">
        <v>44</v>
      </c>
      <c r="O29" s="1">
        <f>COUNTIF('📅 Events'!$Q$8:$Q$47,$N29)</f>
        <v>0</v>
      </c>
      <c r="Q29" s="1">
        <f>IF('👥 Clients'!$C$11="","",'👥 Clients'!$C$11)</f>
        <v>0</v>
      </c>
      <c r="R29" s="1">
        <f>IF($Q29="","",SUMIF('💰 Payments'!$D$8:$D$67,$Q29,'💰 Payments'!$J$8:$J$67))</f>
        <v>0</v>
      </c>
      <c r="AA29" s="1">
        <f>IFERROR(AGGREGATE(15,6,'📅 Events'!$E$8:$E$47/('📅 Events'!$E$8:$E$47&gt;=TODAY())*('📅 Events'!$Q$8:$Q$47&lt;&gt;"❌ Cancelled")*('📅 Events'!$Q$8:$Q$47&lt;&gt;"🎉 Completed"),28),"")</f>
        <v/>
      </c>
      <c r="AB29" s="1">
        <f>IF($AA29="","",INDEX('📅 Events'!$D$8:$D$47,MATCH($AA29,'📅 Events'!$E$8:$E$47,0))&amp;" - "&amp;INDEX('📅 Events'!$F$8:$F$47,MATCH($AA29,'📅 Events'!$E$8:$E$47,0)))</f>
        <v/>
      </c>
      <c r="AC29" s="1">
        <f>IF($AA29="","",INDEX('📅 Events'!$Q$8:$Q$47,MATCH($AA29,'📅 Events'!$E$8:$E$47,0)))</f>
        <v/>
      </c>
      <c r="AE29" s="1" t="s">
        <v>85</v>
      </c>
      <c r="AF29" s="1">
        <v>0</v>
      </c>
    </row>
    <row r="30" spans="14:32">
      <c r="N30" s="1" t="s">
        <v>45</v>
      </c>
      <c r="O30" s="1">
        <f>COUNTIF('📅 Events'!$Q$8:$Q$47,$N30)</f>
        <v>0</v>
      </c>
      <c r="Q30" s="1">
        <f>IF('👥 Clients'!$C$12="","",'👥 Clients'!$C$12)</f>
        <v>0</v>
      </c>
      <c r="R30" s="1">
        <f>IF($Q30="","",SUMIF('💰 Payments'!$D$8:$D$67,$Q30,'💰 Payments'!$J$8:$J$67))</f>
        <v>0</v>
      </c>
      <c r="AA30" s="1">
        <f>IFERROR(AGGREGATE(15,6,'📅 Events'!$E$8:$E$47/('📅 Events'!$E$8:$E$47&gt;=TODAY())*('📅 Events'!$Q$8:$Q$47&lt;&gt;"❌ Cancelled")*('📅 Events'!$Q$8:$Q$47&lt;&gt;"🎉 Completed"),29),"")</f>
        <v/>
      </c>
      <c r="AB30" s="1">
        <f>IF($AA30="","",INDEX('📅 Events'!$D$8:$D$47,MATCH($AA30,'📅 Events'!$E$8:$E$47,0))&amp;" - "&amp;INDEX('📅 Events'!$F$8:$F$47,MATCH($AA30,'📅 Events'!$E$8:$E$47,0)))</f>
        <v/>
      </c>
      <c r="AC30" s="1">
        <f>IF($AA30="","",INDEX('📅 Events'!$Q$8:$Q$47,MATCH($AA30,'📅 Events'!$E$8:$E$47,0)))</f>
        <v/>
      </c>
      <c r="AE30" s="1" t="s">
        <v>86</v>
      </c>
      <c r="AF30" s="1">
        <v>0</v>
      </c>
    </row>
    <row r="31" spans="14:32">
      <c r="N31" s="1" t="s">
        <v>46</v>
      </c>
      <c r="O31" s="1">
        <f>COUNTIF('📅 Events'!$Q$8:$Q$47,$N31)</f>
        <v>0</v>
      </c>
      <c r="Q31" s="1">
        <f>IF('👥 Clients'!$C$13="","",'👥 Clients'!$C$13)</f>
        <v>0</v>
      </c>
      <c r="R31" s="1">
        <f>IF($Q31="","",SUMIF('💰 Payments'!$D$8:$D$67,$Q31,'💰 Payments'!$J$8:$J$67))</f>
        <v>0</v>
      </c>
      <c r="AA31" s="1">
        <f>IFERROR(AGGREGATE(15,6,'📅 Events'!$E$8:$E$47/('📅 Events'!$E$8:$E$47&gt;=TODAY())*('📅 Events'!$Q$8:$Q$47&lt;&gt;"❌ Cancelled")*('📅 Events'!$Q$8:$Q$47&lt;&gt;"🎉 Completed"),30),"")</f>
        <v/>
      </c>
      <c r="AB31" s="1">
        <f>IF($AA31="","",INDEX('📅 Events'!$D$8:$D$47,MATCH($AA31,'📅 Events'!$E$8:$E$47,0))&amp;" - "&amp;INDEX('📅 Events'!$F$8:$F$47,MATCH($AA31,'📅 Events'!$E$8:$E$47,0)))</f>
        <v/>
      </c>
      <c r="AC31" s="1">
        <f>IF($AA31="","",INDEX('📅 Events'!$Q$8:$Q$47,MATCH($AA31,'📅 Events'!$E$8:$E$47,0)))</f>
        <v/>
      </c>
      <c r="AE31" s="1" t="s">
        <v>87</v>
      </c>
      <c r="AF31" s="1">
        <f>'🧮 Quote Calculator'!$E$16</f>
        <v>0</v>
      </c>
    </row>
    <row r="32" spans="14:32">
      <c r="N32" s="1" t="s">
        <v>47</v>
      </c>
      <c r="O32" s="1">
        <f>COUNTIF('📅 Events'!$Q$8:$Q$47,$N32)</f>
        <v>0</v>
      </c>
      <c r="Q32" s="1">
        <f>IF('👥 Clients'!$C$14="","",'👥 Clients'!$C$14)</f>
        <v>0</v>
      </c>
      <c r="R32" s="1">
        <f>IF($Q32="","",SUMIF('💰 Payments'!$D$8:$D$67,$Q32,'💰 Payments'!$J$8:$J$67))</f>
        <v>0</v>
      </c>
      <c r="AA32" s="1">
        <f>IFERROR(AGGREGATE(15,6,'📅 Events'!$E$8:$E$47/('📅 Events'!$E$8:$E$47&gt;=TODAY())*('📅 Events'!$Q$8:$Q$47&lt;&gt;"❌ Cancelled")*('📅 Events'!$Q$8:$Q$47&lt;&gt;"🎉 Completed"),31),"")</f>
        <v/>
      </c>
      <c r="AB32" s="1">
        <f>IF($AA32="","",INDEX('📅 Events'!$D$8:$D$47,MATCH($AA32,'📅 Events'!$E$8:$E$47,0))&amp;" - "&amp;INDEX('📅 Events'!$F$8:$F$47,MATCH($AA32,'📅 Events'!$E$8:$E$47,0)))</f>
        <v/>
      </c>
      <c r="AC32" s="1">
        <f>IF($AA32="","",INDEX('📅 Events'!$Q$8:$Q$47,MATCH($AA32,'📅 Events'!$E$8:$E$47,0)))</f>
        <v/>
      </c>
      <c r="AE32" s="1" t="s">
        <v>88</v>
      </c>
      <c r="AF32" s="1">
        <f>'🧮 Quote Calculator'!$E$17</f>
        <v>0</v>
      </c>
    </row>
    <row r="33" spans="14:32">
      <c r="N33" s="1" t="s">
        <v>48</v>
      </c>
      <c r="O33" s="1">
        <f>COUNTIF('📅 Events'!$Q$8:$Q$47,$N33)</f>
        <v>0</v>
      </c>
      <c r="Q33" s="1">
        <f>IF('👥 Clients'!$C$15="","",'👥 Clients'!$C$15)</f>
        <v>0</v>
      </c>
      <c r="R33" s="1">
        <f>IF($Q33="","",SUMIF('💰 Payments'!$D$8:$D$67,$Q33,'💰 Payments'!$J$8:$J$67))</f>
        <v>0</v>
      </c>
      <c r="AA33" s="1">
        <f>IFERROR(AGGREGATE(15,6,'📅 Events'!$E$8:$E$47/('📅 Events'!$E$8:$E$47&gt;=TODAY())*('📅 Events'!$Q$8:$Q$47&lt;&gt;"❌ Cancelled")*('📅 Events'!$Q$8:$Q$47&lt;&gt;"🎉 Completed"),32),"")</f>
        <v/>
      </c>
      <c r="AB33" s="1">
        <f>IF($AA33="","",INDEX('📅 Events'!$D$8:$D$47,MATCH($AA33,'📅 Events'!$E$8:$E$47,0))&amp;" - "&amp;INDEX('📅 Events'!$F$8:$F$47,MATCH($AA33,'📅 Events'!$E$8:$E$47,0)))</f>
        <v/>
      </c>
      <c r="AC33" s="1">
        <f>IF($AA33="","",INDEX('📅 Events'!$Q$8:$Q$47,MATCH($AA33,'📅 Events'!$E$8:$E$47,0)))</f>
        <v/>
      </c>
      <c r="AE33" s="1" t="s">
        <v>89</v>
      </c>
      <c r="AF33" s="1">
        <v>0</v>
      </c>
    </row>
    <row r="34" spans="14:32">
      <c r="Q34" s="1">
        <f>IF('👥 Clients'!$C$16="","",'👥 Clients'!$C$16)</f>
        <v>0</v>
      </c>
      <c r="R34" s="1">
        <f>IF($Q34="","",SUMIF('💰 Payments'!$D$8:$D$67,$Q34,'💰 Payments'!$J$8:$J$67))</f>
        <v>0</v>
      </c>
      <c r="AA34" s="1">
        <f>IFERROR(AGGREGATE(15,6,'📅 Events'!$E$8:$E$47/('📅 Events'!$E$8:$E$47&gt;=TODAY())*('📅 Events'!$Q$8:$Q$47&lt;&gt;"❌ Cancelled")*('📅 Events'!$Q$8:$Q$47&lt;&gt;"🎉 Completed"),33),"")</f>
        <v/>
      </c>
      <c r="AB34" s="1">
        <f>IF($AA34="","",INDEX('📅 Events'!$D$8:$D$47,MATCH($AA34,'📅 Events'!$E$8:$E$47,0))&amp;" - "&amp;INDEX('📅 Events'!$F$8:$F$47,MATCH($AA34,'📅 Events'!$E$8:$E$47,0)))</f>
        <v/>
      </c>
      <c r="AC34" s="1">
        <f>IF($AA34="","",INDEX('📅 Events'!$Q$8:$Q$47,MATCH($AA34,'📅 Events'!$E$8:$E$47,0)))</f>
        <v/>
      </c>
      <c r="AE34" s="1" t="s">
        <v>90</v>
      </c>
      <c r="AF34" s="1">
        <v>0</v>
      </c>
    </row>
    <row r="35" spans="14:32">
      <c r="Q35" s="1">
        <f>IF('👥 Clients'!$C$17="","",'👥 Clients'!$C$17)</f>
        <v>0</v>
      </c>
      <c r="R35" s="1">
        <f>IF($Q35="","",SUMIF('💰 Payments'!$D$8:$D$67,$Q35,'💰 Payments'!$J$8:$J$67))</f>
        <v>0</v>
      </c>
      <c r="AA35" s="1">
        <f>IFERROR(AGGREGATE(15,6,'📅 Events'!$E$8:$E$47/('📅 Events'!$E$8:$E$47&gt;=TODAY())*('📅 Events'!$Q$8:$Q$47&lt;&gt;"❌ Cancelled")*('📅 Events'!$Q$8:$Q$47&lt;&gt;"🎉 Completed"),34),"")</f>
        <v/>
      </c>
      <c r="AB35" s="1">
        <f>IF($AA35="","",INDEX('📅 Events'!$D$8:$D$47,MATCH($AA35,'📅 Events'!$E$8:$E$47,0))&amp;" - "&amp;INDEX('📅 Events'!$F$8:$F$47,MATCH($AA35,'📅 Events'!$E$8:$E$47,0)))</f>
        <v/>
      </c>
      <c r="AC35" s="1">
        <f>IF($AA35="","",INDEX('📅 Events'!$Q$8:$Q$47,MATCH($AA35,'📅 Events'!$E$8:$E$47,0)))</f>
        <v/>
      </c>
      <c r="AE35" s="1" t="s">
        <v>91</v>
      </c>
      <c r="AF35" s="1">
        <f>IF(MAX($O$16:$O$24)=0,"-",INDEX($N$16:$N$24,MATCH(MAX($O$16:$O$24),$O$16:$O$24,0)))</f>
        <v>0</v>
      </c>
    </row>
    <row r="36" spans="14:32">
      <c r="Q36" s="1">
        <f>IF('👥 Clients'!$C$18="","",'👥 Clients'!$C$18)</f>
        <v>0</v>
      </c>
      <c r="R36" s="1">
        <f>IF($Q36="","",SUMIF('💰 Payments'!$D$8:$D$67,$Q36,'💰 Payments'!$J$8:$J$67))</f>
        <v>0</v>
      </c>
      <c r="AA36" s="1">
        <f>IFERROR(AGGREGATE(15,6,'📅 Events'!$E$8:$E$47/('📅 Events'!$E$8:$E$47&gt;=TODAY())*('📅 Events'!$Q$8:$Q$47&lt;&gt;"❌ Cancelled")*('📅 Events'!$Q$8:$Q$47&lt;&gt;"🎉 Completed"),35),"")</f>
        <v/>
      </c>
      <c r="AB36" s="1">
        <f>IF($AA36="","",INDEX('📅 Events'!$D$8:$D$47,MATCH($AA36,'📅 Events'!$E$8:$E$47,0))&amp;" - "&amp;INDEX('📅 Events'!$F$8:$F$47,MATCH($AA36,'📅 Events'!$E$8:$E$47,0)))</f>
        <v/>
      </c>
      <c r="AC36" s="1">
        <f>IF($AA36="","",INDEX('📅 Events'!$Q$8:$Q$47,MATCH($AA36,'📅 Events'!$E$8:$E$47,0)))</f>
        <v/>
      </c>
      <c r="AE36" s="1" t="s">
        <v>92</v>
      </c>
      <c r="AF36" s="1">
        <f>IF(MAX($R$26:$R$40)=0,"-",INDEX($Q$26:$Q$40,MATCH(MAX($R$26:$R$40),$R$26:$R$40,0)))</f>
        <v>0</v>
      </c>
    </row>
    <row r="37" spans="14:32">
      <c r="Q37" s="1">
        <f>IF('👥 Clients'!$C$19="","",'👥 Clients'!$C$19)</f>
        <v>0</v>
      </c>
      <c r="R37" s="1">
        <f>IF($Q37="","",SUMIF('💰 Payments'!$D$8:$D$67,$Q37,'💰 Payments'!$J$8:$J$67))</f>
        <v>0</v>
      </c>
      <c r="AA37" s="1">
        <f>IFERROR(AGGREGATE(15,6,'📅 Events'!$E$8:$E$47/('📅 Events'!$E$8:$E$47&gt;=TODAY())*('📅 Events'!$Q$8:$Q$47&lt;&gt;"❌ Cancelled")*('📅 Events'!$Q$8:$Q$47&lt;&gt;"🎉 Completed"),36),"")</f>
        <v/>
      </c>
      <c r="AB37" s="1">
        <f>IF($AA37="","",INDEX('📅 Events'!$D$8:$D$47,MATCH($AA37,'📅 Events'!$E$8:$E$47,0))&amp;" - "&amp;INDEX('📅 Events'!$F$8:$F$47,MATCH($AA37,'📅 Events'!$E$8:$E$47,0)))</f>
        <v/>
      </c>
      <c r="AC37" s="1">
        <f>IF($AA37="","",INDEX('📅 Events'!$Q$8:$Q$47,MATCH($AA37,'📅 Events'!$E$8:$E$47,0)))</f>
        <v/>
      </c>
    </row>
    <row r="38" spans="14:32">
      <c r="Q38" s="1">
        <f>IF('👥 Clients'!$C$20="","",'👥 Clients'!$C$20)</f>
        <v>0</v>
      </c>
      <c r="R38" s="1">
        <f>IF($Q38="","",SUMIF('💰 Payments'!$D$8:$D$67,$Q38,'💰 Payments'!$J$8:$J$67))</f>
        <v>0</v>
      </c>
      <c r="AA38" s="1">
        <f>IFERROR(AGGREGATE(15,6,'📅 Events'!$E$8:$E$47/('📅 Events'!$E$8:$E$47&gt;=TODAY())*('📅 Events'!$Q$8:$Q$47&lt;&gt;"❌ Cancelled")*('📅 Events'!$Q$8:$Q$47&lt;&gt;"🎉 Completed"),37),"")</f>
        <v/>
      </c>
      <c r="AB38" s="1">
        <f>IF($AA38="","",INDEX('📅 Events'!$D$8:$D$47,MATCH($AA38,'📅 Events'!$E$8:$E$47,0))&amp;" - "&amp;INDEX('📅 Events'!$F$8:$F$47,MATCH($AA38,'📅 Events'!$E$8:$E$47,0)))</f>
        <v/>
      </c>
      <c r="AC38" s="1">
        <f>IF($AA38="","",INDEX('📅 Events'!$Q$8:$Q$47,MATCH($AA38,'📅 Events'!$E$8:$E$47,0)))</f>
        <v/>
      </c>
    </row>
    <row r="39" spans="14:32">
      <c r="Q39" s="1">
        <f>IF('👥 Clients'!$C$21="","",'👥 Clients'!$C$21)</f>
        <v>0</v>
      </c>
      <c r="R39" s="1">
        <f>IF($Q39="","",SUMIF('💰 Payments'!$D$8:$D$67,$Q39,'💰 Payments'!$J$8:$J$67))</f>
        <v>0</v>
      </c>
      <c r="AA39" s="1">
        <f>IFERROR(AGGREGATE(15,6,'📅 Events'!$E$8:$E$47/('📅 Events'!$E$8:$E$47&gt;=TODAY())*('📅 Events'!$Q$8:$Q$47&lt;&gt;"❌ Cancelled")*('📅 Events'!$Q$8:$Q$47&lt;&gt;"🎉 Completed"),38),"")</f>
        <v/>
      </c>
      <c r="AB39" s="1">
        <f>IF($AA39="","",INDEX('📅 Events'!$D$8:$D$47,MATCH($AA39,'📅 Events'!$E$8:$E$47,0))&amp;" - "&amp;INDEX('📅 Events'!$F$8:$F$47,MATCH($AA39,'📅 Events'!$E$8:$E$47,0)))</f>
        <v/>
      </c>
      <c r="AC39" s="1">
        <f>IF($AA39="","",INDEX('📅 Events'!$Q$8:$Q$47,MATCH($AA39,'📅 Events'!$E$8:$E$47,0)))</f>
        <v/>
      </c>
    </row>
    <row r="40" spans="14:32">
      <c r="Q40" s="1">
        <f>IF('👥 Clients'!$C$22="","",'👥 Clients'!$C$22)</f>
        <v>0</v>
      </c>
      <c r="R40" s="1">
        <f>IF($Q40="","",SUMIF('💰 Payments'!$D$8:$D$67,$Q40,'💰 Payments'!$J$8:$J$67))</f>
        <v>0</v>
      </c>
      <c r="AA40" s="1">
        <f>IFERROR(AGGREGATE(15,6,'📅 Events'!$E$8:$E$47/('📅 Events'!$E$8:$E$47&gt;=TODAY())*('📅 Events'!$Q$8:$Q$47&lt;&gt;"❌ Cancelled")*('📅 Events'!$Q$8:$Q$47&lt;&gt;"🎉 Completed"),39),"")</f>
        <v/>
      </c>
      <c r="AB40" s="1">
        <f>IF($AA40="","",INDEX('📅 Events'!$D$8:$D$47,MATCH($AA40,'📅 Events'!$E$8:$E$47,0))&amp;" - "&amp;INDEX('📅 Events'!$F$8:$F$47,MATCH($AA40,'📅 Events'!$E$8:$E$47,0)))</f>
        <v/>
      </c>
      <c r="AC40" s="1">
        <f>IF($AA40="","",INDEX('📅 Events'!$Q$8:$Q$47,MATCH($AA40,'📅 Events'!$E$8:$E$47,0)))</f>
        <v/>
      </c>
    </row>
    <row r="41" spans="14:32">
      <c r="AA41" s="2" t="s">
        <v>53</v>
      </c>
      <c r="AB41" s="2" t="s">
        <v>54</v>
      </c>
      <c r="AC41" s="2" t="s">
        <v>55</v>
      </c>
    </row>
    <row r="42" spans="14:32">
      <c r="AA42" s="1">
        <f>IFERROR(AGGREGATE(15,6,'💰 Payments'!$L$8:$L$67/('💰 Payments'!$K$8:$K$67&gt;0),1),"")</f>
        <v/>
      </c>
      <c r="AB42" s="1">
        <f>IF($AA42="","",INDEX('💰 Payments'!$D$8:$D$67,MATCH($AA42,'💰 Payments'!$L$8:$L$67,0))&amp;" ("&amp;INDEX('💰 Payments'!$C$8:$C$67,MATCH($AA42,'💰 Payments'!$L$8:$L$67,0))&amp;")")</f>
        <v/>
      </c>
      <c r="AC42" s="1">
        <f>IF($AA42="","",INDEX('💰 Payments'!$K$8:$K$67,MATCH($AA42,'💰 Payments'!$L$8:$L$67,0)))</f>
        <v>0</v>
      </c>
    </row>
    <row r="43" spans="14:32">
      <c r="AA43" s="1">
        <f>IFERROR(AGGREGATE(15,6,'💰 Payments'!$L$8:$L$67/('💰 Payments'!$K$8:$K$67&gt;0),2),"")</f>
        <v/>
      </c>
      <c r="AB43" s="1">
        <f>IF($AA43="","",INDEX('💰 Payments'!$D$8:$D$67,MATCH($AA43,'💰 Payments'!$L$8:$L$67,0))&amp;" ("&amp;INDEX('💰 Payments'!$C$8:$C$67,MATCH($AA43,'💰 Payments'!$L$8:$L$67,0))&amp;")")</f>
        <v/>
      </c>
      <c r="AC43" s="1">
        <f>IF($AA43="","",INDEX('💰 Payments'!$K$8:$K$67,MATCH($AA43,'💰 Payments'!$L$8:$L$67,0)))</f>
        <v>0</v>
      </c>
    </row>
    <row r="44" spans="14:32">
      <c r="AA44" s="1">
        <f>IFERROR(AGGREGATE(15,6,'💰 Payments'!$L$8:$L$67/('💰 Payments'!$K$8:$K$67&gt;0),3),"")</f>
        <v/>
      </c>
      <c r="AB44" s="1">
        <f>IF($AA44="","",INDEX('💰 Payments'!$D$8:$D$67,MATCH($AA44,'💰 Payments'!$L$8:$L$67,0))&amp;" ("&amp;INDEX('💰 Payments'!$C$8:$C$67,MATCH($AA44,'💰 Payments'!$L$8:$L$67,0))&amp;")")</f>
        <v/>
      </c>
      <c r="AC44" s="1">
        <f>IF($AA44="","",INDEX('💰 Payments'!$K$8:$K$67,MATCH($AA44,'💰 Payments'!$L$8:$L$67,0)))</f>
        <v>0</v>
      </c>
    </row>
    <row r="45" spans="14:32">
      <c r="AA45" s="1">
        <f>IFERROR(AGGREGATE(15,6,'💰 Payments'!$L$8:$L$67/('💰 Payments'!$K$8:$K$67&gt;0),4),"")</f>
        <v/>
      </c>
      <c r="AB45" s="1">
        <f>IF($AA45="","",INDEX('💰 Payments'!$D$8:$D$67,MATCH($AA45,'💰 Payments'!$L$8:$L$67,0))&amp;" ("&amp;INDEX('💰 Payments'!$C$8:$C$67,MATCH($AA45,'💰 Payments'!$L$8:$L$67,0))&amp;")")</f>
        <v/>
      </c>
      <c r="AC45" s="1">
        <f>IF($AA45="","",INDEX('💰 Payments'!$K$8:$K$67,MATCH($AA45,'💰 Payments'!$L$8:$L$67,0)))</f>
        <v>0</v>
      </c>
    </row>
    <row r="46" spans="14:32">
      <c r="AA46" s="1">
        <f>IFERROR(AGGREGATE(15,6,'💰 Payments'!$L$8:$L$67/('💰 Payments'!$K$8:$K$67&gt;0),5),"")</f>
        <v/>
      </c>
      <c r="AB46" s="1">
        <f>IF($AA46="","",INDEX('💰 Payments'!$D$8:$D$67,MATCH($AA46,'💰 Payments'!$L$8:$L$67,0))&amp;" ("&amp;INDEX('💰 Payments'!$C$8:$C$67,MATCH($AA46,'💰 Payments'!$L$8:$L$67,0))&amp;")")</f>
        <v/>
      </c>
      <c r="AC46" s="1">
        <f>IF($AA46="","",INDEX('💰 Payments'!$K$8:$K$67,MATCH($AA46,'💰 Payments'!$L$8:$L$67,0)))</f>
        <v>0</v>
      </c>
    </row>
    <row r="47" spans="14:32">
      <c r="AA47" s="1">
        <f>IFERROR(AGGREGATE(15,6,'💰 Payments'!$L$8:$L$67/('💰 Payments'!$K$8:$K$67&gt;0),6),"")</f>
        <v/>
      </c>
      <c r="AB47" s="1">
        <f>IF($AA47="","",INDEX('💰 Payments'!$D$8:$D$67,MATCH($AA47,'💰 Payments'!$L$8:$L$67,0))&amp;" ("&amp;INDEX('💰 Payments'!$C$8:$C$67,MATCH($AA47,'💰 Payments'!$L$8:$L$67,0))&amp;")")</f>
        <v/>
      </c>
      <c r="AC47" s="1">
        <f>IF($AA47="","",INDEX('💰 Payments'!$K$8:$K$67,MATCH($AA47,'💰 Payments'!$L$8:$L$67,0)))</f>
        <v>0</v>
      </c>
    </row>
    <row r="48" spans="14:32">
      <c r="AA48" s="1">
        <f>IFERROR(AGGREGATE(15,6,'💰 Payments'!$L$8:$L$67/('💰 Payments'!$K$8:$K$67&gt;0),7),"")</f>
        <v/>
      </c>
      <c r="AB48" s="1">
        <f>IF($AA48="","",INDEX('💰 Payments'!$D$8:$D$67,MATCH($AA48,'💰 Payments'!$L$8:$L$67,0))&amp;" ("&amp;INDEX('💰 Payments'!$C$8:$C$67,MATCH($AA48,'💰 Payments'!$L$8:$L$67,0))&amp;")")</f>
        <v/>
      </c>
      <c r="AC48" s="1">
        <f>IF($AA48="","",INDEX('💰 Payments'!$K$8:$K$67,MATCH($AA48,'💰 Payments'!$L$8:$L$67,0)))</f>
        <v>0</v>
      </c>
    </row>
    <row r="49" spans="27:29">
      <c r="AA49" s="1">
        <f>IFERROR(AGGREGATE(15,6,'💰 Payments'!$L$8:$L$67/('💰 Payments'!$K$8:$K$67&gt;0),8),"")</f>
        <v/>
      </c>
      <c r="AB49" s="1">
        <f>IF($AA49="","",INDEX('💰 Payments'!$D$8:$D$67,MATCH($AA49,'💰 Payments'!$L$8:$L$67,0))&amp;" ("&amp;INDEX('💰 Payments'!$C$8:$C$67,MATCH($AA49,'💰 Payments'!$L$8:$L$67,0))&amp;")")</f>
        <v/>
      </c>
      <c r="AC49" s="1">
        <f>IF($AA49="","",INDEX('💰 Payments'!$K$8:$K$67,MATCH($AA49,'💰 Payments'!$L$8:$L$67,0)))</f>
        <v>0</v>
      </c>
    </row>
    <row r="50" spans="27:29">
      <c r="AA50" s="1">
        <f>IFERROR(AGGREGATE(15,6,'💰 Payments'!$L$8:$L$67/('💰 Payments'!$K$8:$K$67&gt;0),9),"")</f>
        <v/>
      </c>
      <c r="AB50" s="1">
        <f>IF($AA50="","",INDEX('💰 Payments'!$D$8:$D$67,MATCH($AA50,'💰 Payments'!$L$8:$L$67,0))&amp;" ("&amp;INDEX('💰 Payments'!$C$8:$C$67,MATCH($AA50,'💰 Payments'!$L$8:$L$67,0))&amp;")")</f>
        <v/>
      </c>
      <c r="AC50" s="1">
        <f>IF($AA50="","",INDEX('💰 Payments'!$K$8:$K$67,MATCH($AA50,'💰 Payments'!$L$8:$L$67,0)))</f>
        <v>0</v>
      </c>
    </row>
    <row r="51" spans="27:29">
      <c r="AA51" s="1">
        <f>IFERROR(AGGREGATE(15,6,'💰 Payments'!$L$8:$L$67/('💰 Payments'!$K$8:$K$67&gt;0),10),"")</f>
        <v/>
      </c>
      <c r="AB51" s="1">
        <f>IF($AA51="","",INDEX('💰 Payments'!$D$8:$D$67,MATCH($AA51,'💰 Payments'!$L$8:$L$67,0))&amp;" ("&amp;INDEX('💰 Payments'!$C$8:$C$67,MATCH($AA51,'💰 Payments'!$L$8:$L$67,0))&amp;")")</f>
        <v/>
      </c>
      <c r="AC51" s="1">
        <f>IF($AA51="","",INDEX('💰 Payments'!$K$8:$K$67,MATCH($AA51,'💰 Payments'!$L$8:$L$67,0)))</f>
        <v>0</v>
      </c>
    </row>
    <row r="52" spans="27:29">
      <c r="AA52" s="1">
        <f>IFERROR(AGGREGATE(15,6,'💰 Payments'!$L$8:$L$67/('💰 Payments'!$K$8:$K$67&gt;0),11),"")</f>
        <v/>
      </c>
      <c r="AB52" s="1">
        <f>IF($AA52="","",INDEX('💰 Payments'!$D$8:$D$67,MATCH($AA52,'💰 Payments'!$L$8:$L$67,0))&amp;" ("&amp;INDEX('💰 Payments'!$C$8:$C$67,MATCH($AA52,'💰 Payments'!$L$8:$L$67,0))&amp;")")</f>
        <v/>
      </c>
      <c r="AC52" s="1">
        <f>IF($AA52="","",INDEX('💰 Payments'!$K$8:$K$67,MATCH($AA52,'💰 Payments'!$L$8:$L$67,0)))</f>
        <v>0</v>
      </c>
    </row>
    <row r="53" spans="27:29">
      <c r="AA53" s="1">
        <f>IFERROR(AGGREGATE(15,6,'💰 Payments'!$L$8:$L$67/('💰 Payments'!$K$8:$K$67&gt;0),12),"")</f>
        <v/>
      </c>
      <c r="AB53" s="1">
        <f>IF($AA53="","",INDEX('💰 Payments'!$D$8:$D$67,MATCH($AA53,'💰 Payments'!$L$8:$L$67,0))&amp;" ("&amp;INDEX('💰 Payments'!$C$8:$C$67,MATCH($AA53,'💰 Payments'!$L$8:$L$67,0))&amp;")")</f>
        <v/>
      </c>
      <c r="AC53" s="1">
        <f>IF($AA53="","",INDEX('💰 Payments'!$K$8:$K$67,MATCH($AA53,'💰 Payments'!$L$8:$L$67,0)))</f>
        <v>0</v>
      </c>
    </row>
    <row r="54" spans="27:29">
      <c r="AA54" s="1">
        <f>IFERROR(AGGREGATE(15,6,'💰 Payments'!$L$8:$L$67/('💰 Payments'!$K$8:$K$67&gt;0),13),"")</f>
        <v/>
      </c>
      <c r="AB54" s="1">
        <f>IF($AA54="","",INDEX('💰 Payments'!$D$8:$D$67,MATCH($AA54,'💰 Payments'!$L$8:$L$67,0))&amp;" ("&amp;INDEX('💰 Payments'!$C$8:$C$67,MATCH($AA54,'💰 Payments'!$L$8:$L$67,0))&amp;")")</f>
        <v/>
      </c>
      <c r="AC54" s="1">
        <f>IF($AA54="","",INDEX('💰 Payments'!$K$8:$K$67,MATCH($AA54,'💰 Payments'!$L$8:$L$67,0)))</f>
        <v>0</v>
      </c>
    </row>
    <row r="55" spans="27:29">
      <c r="AA55" s="1">
        <f>IFERROR(AGGREGATE(15,6,'💰 Payments'!$L$8:$L$67/('💰 Payments'!$K$8:$K$67&gt;0),14),"")</f>
        <v/>
      </c>
      <c r="AB55" s="1">
        <f>IF($AA55="","",INDEX('💰 Payments'!$D$8:$D$67,MATCH($AA55,'💰 Payments'!$L$8:$L$67,0))&amp;" ("&amp;INDEX('💰 Payments'!$C$8:$C$67,MATCH($AA55,'💰 Payments'!$L$8:$L$67,0))&amp;")")</f>
        <v/>
      </c>
      <c r="AC55" s="1">
        <f>IF($AA55="","",INDEX('💰 Payments'!$K$8:$K$67,MATCH($AA55,'💰 Payments'!$L$8:$L$67,0)))</f>
        <v>0</v>
      </c>
    </row>
    <row r="56" spans="27:29">
      <c r="AA56" s="1">
        <f>IFERROR(AGGREGATE(15,6,'💰 Payments'!$L$8:$L$67/('💰 Payments'!$K$8:$K$67&gt;0),15),"")</f>
        <v/>
      </c>
      <c r="AB56" s="1">
        <f>IF($AA56="","",INDEX('💰 Payments'!$D$8:$D$67,MATCH($AA56,'💰 Payments'!$L$8:$L$67,0))&amp;" ("&amp;INDEX('💰 Payments'!$C$8:$C$67,MATCH($AA56,'💰 Payments'!$L$8:$L$67,0))&amp;")")</f>
        <v/>
      </c>
      <c r="AC56" s="1">
        <f>IF($AA56="","",INDEX('💰 Payments'!$K$8:$K$67,MATCH($AA56,'💰 Payments'!$L$8:$L$67,0)))</f>
        <v>0</v>
      </c>
    </row>
    <row r="57" spans="27:29">
      <c r="AA57" s="1">
        <f>IFERROR(AGGREGATE(15,6,'💰 Payments'!$L$8:$L$67/('💰 Payments'!$K$8:$K$67&gt;0),16),"")</f>
        <v/>
      </c>
      <c r="AB57" s="1">
        <f>IF($AA57="","",INDEX('💰 Payments'!$D$8:$D$67,MATCH($AA57,'💰 Payments'!$L$8:$L$67,0))&amp;" ("&amp;INDEX('💰 Payments'!$C$8:$C$67,MATCH($AA57,'💰 Payments'!$L$8:$L$67,0))&amp;")")</f>
        <v/>
      </c>
      <c r="AC57" s="1">
        <f>IF($AA57="","",INDEX('💰 Payments'!$K$8:$K$67,MATCH($AA57,'💰 Payments'!$L$8:$L$67,0)))</f>
        <v>0</v>
      </c>
    </row>
    <row r="58" spans="27:29">
      <c r="AA58" s="1">
        <f>IFERROR(AGGREGATE(15,6,'💰 Payments'!$L$8:$L$67/('💰 Payments'!$K$8:$K$67&gt;0),17),"")</f>
        <v/>
      </c>
      <c r="AB58" s="1">
        <f>IF($AA58="","",INDEX('💰 Payments'!$D$8:$D$67,MATCH($AA58,'💰 Payments'!$L$8:$L$67,0))&amp;" ("&amp;INDEX('💰 Payments'!$C$8:$C$67,MATCH($AA58,'💰 Payments'!$L$8:$L$67,0))&amp;")")</f>
        <v/>
      </c>
      <c r="AC58" s="1">
        <f>IF($AA58="","",INDEX('💰 Payments'!$K$8:$K$67,MATCH($AA58,'💰 Payments'!$L$8:$L$67,0)))</f>
        <v>0</v>
      </c>
    </row>
    <row r="59" spans="27:29">
      <c r="AA59" s="1">
        <f>IFERROR(AGGREGATE(15,6,'💰 Payments'!$L$8:$L$67/('💰 Payments'!$K$8:$K$67&gt;0),18),"")</f>
        <v/>
      </c>
      <c r="AB59" s="1">
        <f>IF($AA59="","",INDEX('💰 Payments'!$D$8:$D$67,MATCH($AA59,'💰 Payments'!$L$8:$L$67,0))&amp;" ("&amp;INDEX('💰 Payments'!$C$8:$C$67,MATCH($AA59,'💰 Payments'!$L$8:$L$67,0))&amp;")")</f>
        <v/>
      </c>
      <c r="AC59" s="1">
        <f>IF($AA59="","",INDEX('💰 Payments'!$K$8:$K$67,MATCH($AA59,'💰 Payments'!$L$8:$L$67,0)))</f>
        <v>0</v>
      </c>
    </row>
    <row r="60" spans="27:29">
      <c r="AA60" s="1">
        <f>IFERROR(AGGREGATE(15,6,'💰 Payments'!$L$8:$L$67/('💰 Payments'!$K$8:$K$67&gt;0),19),"")</f>
        <v/>
      </c>
      <c r="AB60" s="1">
        <f>IF($AA60="","",INDEX('💰 Payments'!$D$8:$D$67,MATCH($AA60,'💰 Payments'!$L$8:$L$67,0))&amp;" ("&amp;INDEX('💰 Payments'!$C$8:$C$67,MATCH($AA60,'💰 Payments'!$L$8:$L$67,0))&amp;")")</f>
        <v/>
      </c>
      <c r="AC60" s="1">
        <f>IF($AA60="","",INDEX('💰 Payments'!$K$8:$K$67,MATCH($AA60,'💰 Payments'!$L$8:$L$67,0)))</f>
        <v>0</v>
      </c>
    </row>
    <row r="61" spans="27:29">
      <c r="AA61" s="1">
        <f>IFERROR(AGGREGATE(15,6,'💰 Payments'!$L$8:$L$67/('💰 Payments'!$K$8:$K$67&gt;0),20),"")</f>
        <v/>
      </c>
      <c r="AB61" s="1">
        <f>IF($AA61="","",INDEX('💰 Payments'!$D$8:$D$67,MATCH($AA61,'💰 Payments'!$L$8:$L$67,0))&amp;" ("&amp;INDEX('💰 Payments'!$C$8:$C$67,MATCH($AA61,'💰 Payments'!$L$8:$L$67,0))&amp;")")</f>
        <v/>
      </c>
      <c r="AC61" s="1">
        <f>IF($AA61="","",INDEX('💰 Payments'!$K$8:$K$67,MATCH($AA61,'💰 Payments'!$L$8:$L$67,0)))</f>
        <v>0</v>
      </c>
    </row>
    <row r="62" spans="27:29">
      <c r="AA62" s="1">
        <f>IFERROR(AGGREGATE(15,6,'💰 Payments'!$L$8:$L$67/('💰 Payments'!$K$8:$K$67&gt;0),21),"")</f>
        <v/>
      </c>
      <c r="AB62" s="1">
        <f>IF($AA62="","",INDEX('💰 Payments'!$D$8:$D$67,MATCH($AA62,'💰 Payments'!$L$8:$L$67,0))&amp;" ("&amp;INDEX('💰 Payments'!$C$8:$C$67,MATCH($AA62,'💰 Payments'!$L$8:$L$67,0))&amp;")")</f>
        <v/>
      </c>
      <c r="AC62" s="1">
        <f>IF($AA62="","",INDEX('💰 Payments'!$K$8:$K$67,MATCH($AA62,'💰 Payments'!$L$8:$L$67,0)))</f>
        <v>0</v>
      </c>
    </row>
    <row r="63" spans="27:29">
      <c r="AA63" s="1">
        <f>IFERROR(AGGREGATE(15,6,'💰 Payments'!$L$8:$L$67/('💰 Payments'!$K$8:$K$67&gt;0),22),"")</f>
        <v/>
      </c>
      <c r="AB63" s="1">
        <f>IF($AA63="","",INDEX('💰 Payments'!$D$8:$D$67,MATCH($AA63,'💰 Payments'!$L$8:$L$67,0))&amp;" ("&amp;INDEX('💰 Payments'!$C$8:$C$67,MATCH($AA63,'💰 Payments'!$L$8:$L$67,0))&amp;")")</f>
        <v/>
      </c>
      <c r="AC63" s="1">
        <f>IF($AA63="","",INDEX('💰 Payments'!$K$8:$K$67,MATCH($AA63,'💰 Payments'!$L$8:$L$67,0)))</f>
        <v>0</v>
      </c>
    </row>
    <row r="64" spans="27:29">
      <c r="AA64" s="1">
        <f>IFERROR(AGGREGATE(15,6,'💰 Payments'!$L$8:$L$67/('💰 Payments'!$K$8:$K$67&gt;0),23),"")</f>
        <v/>
      </c>
      <c r="AB64" s="1">
        <f>IF($AA64="","",INDEX('💰 Payments'!$D$8:$D$67,MATCH($AA64,'💰 Payments'!$L$8:$L$67,0))&amp;" ("&amp;INDEX('💰 Payments'!$C$8:$C$67,MATCH($AA64,'💰 Payments'!$L$8:$L$67,0))&amp;")")</f>
        <v/>
      </c>
      <c r="AC64" s="1">
        <f>IF($AA64="","",INDEX('💰 Payments'!$K$8:$K$67,MATCH($AA64,'💰 Payments'!$L$8:$L$67,0)))</f>
        <v>0</v>
      </c>
    </row>
    <row r="65" spans="27:29">
      <c r="AA65" s="1">
        <f>IFERROR(AGGREGATE(15,6,'💰 Payments'!$L$8:$L$67/('💰 Payments'!$K$8:$K$67&gt;0),24),"")</f>
        <v/>
      </c>
      <c r="AB65" s="1">
        <f>IF($AA65="","",INDEX('💰 Payments'!$D$8:$D$67,MATCH($AA65,'💰 Payments'!$L$8:$L$67,0))&amp;" ("&amp;INDEX('💰 Payments'!$C$8:$C$67,MATCH($AA65,'💰 Payments'!$L$8:$L$67,0))&amp;")")</f>
        <v/>
      </c>
      <c r="AC65" s="1">
        <f>IF($AA65="","",INDEX('💰 Payments'!$K$8:$K$67,MATCH($AA65,'💰 Payments'!$L$8:$L$67,0)))</f>
        <v>0</v>
      </c>
    </row>
    <row r="66" spans="27:29">
      <c r="AA66" s="1">
        <f>IFERROR(AGGREGATE(15,6,'💰 Payments'!$L$8:$L$67/('💰 Payments'!$K$8:$K$67&gt;0),25),"")</f>
        <v/>
      </c>
      <c r="AB66" s="1">
        <f>IF($AA66="","",INDEX('💰 Payments'!$D$8:$D$67,MATCH($AA66,'💰 Payments'!$L$8:$L$67,0))&amp;" ("&amp;INDEX('💰 Payments'!$C$8:$C$67,MATCH($AA66,'💰 Payments'!$L$8:$L$67,0))&amp;")")</f>
        <v/>
      </c>
      <c r="AC66" s="1">
        <f>IF($AA66="","",INDEX('💰 Payments'!$K$8:$K$67,MATCH($AA66,'💰 Payments'!$L$8:$L$67,0)))</f>
        <v>0</v>
      </c>
    </row>
    <row r="67" spans="27:29">
      <c r="AA67" s="1">
        <f>IFERROR(AGGREGATE(15,6,'💰 Payments'!$L$8:$L$67/('💰 Payments'!$K$8:$K$67&gt;0),26),"")</f>
        <v/>
      </c>
      <c r="AB67" s="1">
        <f>IF($AA67="","",INDEX('💰 Payments'!$D$8:$D$67,MATCH($AA67,'💰 Payments'!$L$8:$L$67,0))&amp;" ("&amp;INDEX('💰 Payments'!$C$8:$C$67,MATCH($AA67,'💰 Payments'!$L$8:$L$67,0))&amp;")")</f>
        <v/>
      </c>
      <c r="AC67" s="1">
        <f>IF($AA67="","",INDEX('💰 Payments'!$K$8:$K$67,MATCH($AA67,'💰 Payments'!$L$8:$L$67,0)))</f>
        <v>0</v>
      </c>
    </row>
    <row r="68" spans="27:29">
      <c r="AA68" s="1">
        <f>IFERROR(AGGREGATE(15,6,'💰 Payments'!$L$8:$L$67/('💰 Payments'!$K$8:$K$67&gt;0),27),"")</f>
        <v/>
      </c>
      <c r="AB68" s="1">
        <f>IF($AA68="","",INDEX('💰 Payments'!$D$8:$D$67,MATCH($AA68,'💰 Payments'!$L$8:$L$67,0))&amp;" ("&amp;INDEX('💰 Payments'!$C$8:$C$67,MATCH($AA68,'💰 Payments'!$L$8:$L$67,0))&amp;")")</f>
        <v/>
      </c>
      <c r="AC68" s="1">
        <f>IF($AA68="","",INDEX('💰 Payments'!$K$8:$K$67,MATCH($AA68,'💰 Payments'!$L$8:$L$67,0)))</f>
        <v>0</v>
      </c>
    </row>
    <row r="69" spans="27:29">
      <c r="AA69" s="1">
        <f>IFERROR(AGGREGATE(15,6,'💰 Payments'!$L$8:$L$67/('💰 Payments'!$K$8:$K$67&gt;0),28),"")</f>
        <v/>
      </c>
      <c r="AB69" s="1">
        <f>IF($AA69="","",INDEX('💰 Payments'!$D$8:$D$67,MATCH($AA69,'💰 Payments'!$L$8:$L$67,0))&amp;" ("&amp;INDEX('💰 Payments'!$C$8:$C$67,MATCH($AA69,'💰 Payments'!$L$8:$L$67,0))&amp;")")</f>
        <v/>
      </c>
      <c r="AC69" s="1">
        <f>IF($AA69="","",INDEX('💰 Payments'!$K$8:$K$67,MATCH($AA69,'💰 Payments'!$L$8:$L$67,0)))</f>
        <v>0</v>
      </c>
    </row>
    <row r="70" spans="27:29">
      <c r="AA70" s="1">
        <f>IFERROR(AGGREGATE(15,6,'💰 Payments'!$L$8:$L$67/('💰 Payments'!$K$8:$K$67&gt;0),29),"")</f>
        <v/>
      </c>
      <c r="AB70" s="1">
        <f>IF($AA70="","",INDEX('💰 Payments'!$D$8:$D$67,MATCH($AA70,'💰 Payments'!$L$8:$L$67,0))&amp;" ("&amp;INDEX('💰 Payments'!$C$8:$C$67,MATCH($AA70,'💰 Payments'!$L$8:$L$67,0))&amp;")")</f>
        <v/>
      </c>
      <c r="AC70" s="1">
        <f>IF($AA70="","",INDEX('💰 Payments'!$K$8:$K$67,MATCH($AA70,'💰 Payments'!$L$8:$L$67,0)))</f>
        <v>0</v>
      </c>
    </row>
    <row r="71" spans="27:29">
      <c r="AA71" s="1">
        <f>IFERROR(AGGREGATE(15,6,'💰 Payments'!$L$8:$L$67/('💰 Payments'!$K$8:$K$67&gt;0),30),"")</f>
        <v/>
      </c>
      <c r="AB71" s="1">
        <f>IF($AA71="","",INDEX('💰 Payments'!$D$8:$D$67,MATCH($AA71,'💰 Payments'!$L$8:$L$67,0))&amp;" ("&amp;INDEX('💰 Payments'!$C$8:$C$67,MATCH($AA71,'💰 Payments'!$L$8:$L$67,0))&amp;")")</f>
        <v/>
      </c>
      <c r="AC71" s="1">
        <f>IF($AA71="","",INDEX('💰 Payments'!$K$8:$K$67,MATCH($AA71,'💰 Payments'!$L$8:$L$67,0)))</f>
        <v>0</v>
      </c>
    </row>
    <row r="72" spans="27:29">
      <c r="AA72" s="1">
        <f>IFERROR(AGGREGATE(15,6,'💰 Payments'!$L$8:$L$67/('💰 Payments'!$K$8:$K$67&gt;0),31),"")</f>
        <v/>
      </c>
      <c r="AB72" s="1">
        <f>IF($AA72="","",INDEX('💰 Payments'!$D$8:$D$67,MATCH($AA72,'💰 Payments'!$L$8:$L$67,0))&amp;" ("&amp;INDEX('💰 Payments'!$C$8:$C$67,MATCH($AA72,'💰 Payments'!$L$8:$L$67,0))&amp;")")</f>
        <v/>
      </c>
      <c r="AC72" s="1">
        <f>IF($AA72="","",INDEX('💰 Payments'!$K$8:$K$67,MATCH($AA72,'💰 Payments'!$L$8:$L$67,0)))</f>
        <v>0</v>
      </c>
    </row>
    <row r="73" spans="27:29">
      <c r="AA73" s="1">
        <f>IFERROR(AGGREGATE(15,6,'💰 Payments'!$L$8:$L$67/('💰 Payments'!$K$8:$K$67&gt;0),32),"")</f>
        <v/>
      </c>
      <c r="AB73" s="1">
        <f>IF($AA73="","",INDEX('💰 Payments'!$D$8:$D$67,MATCH($AA73,'💰 Payments'!$L$8:$L$67,0))&amp;" ("&amp;INDEX('💰 Payments'!$C$8:$C$67,MATCH($AA73,'💰 Payments'!$L$8:$L$67,0))&amp;")")</f>
        <v/>
      </c>
      <c r="AC73" s="1">
        <f>IF($AA73="","",INDEX('💰 Payments'!$K$8:$K$67,MATCH($AA73,'💰 Payments'!$L$8:$L$67,0)))</f>
        <v>0</v>
      </c>
    </row>
    <row r="74" spans="27:29">
      <c r="AA74" s="1">
        <f>IFERROR(AGGREGATE(15,6,'💰 Payments'!$L$8:$L$67/('💰 Payments'!$K$8:$K$67&gt;0),33),"")</f>
        <v/>
      </c>
      <c r="AB74" s="1">
        <f>IF($AA74="","",INDEX('💰 Payments'!$D$8:$D$67,MATCH($AA74,'💰 Payments'!$L$8:$L$67,0))&amp;" ("&amp;INDEX('💰 Payments'!$C$8:$C$67,MATCH($AA74,'💰 Payments'!$L$8:$L$67,0))&amp;")")</f>
        <v/>
      </c>
      <c r="AC74" s="1">
        <f>IF($AA74="","",INDEX('💰 Payments'!$K$8:$K$67,MATCH($AA74,'💰 Payments'!$L$8:$L$67,0)))</f>
        <v>0</v>
      </c>
    </row>
    <row r="75" spans="27:29">
      <c r="AA75" s="1">
        <f>IFERROR(AGGREGATE(15,6,'💰 Payments'!$L$8:$L$67/('💰 Payments'!$K$8:$K$67&gt;0),34),"")</f>
        <v/>
      </c>
      <c r="AB75" s="1">
        <f>IF($AA75="","",INDEX('💰 Payments'!$D$8:$D$67,MATCH($AA75,'💰 Payments'!$L$8:$L$67,0))&amp;" ("&amp;INDEX('💰 Payments'!$C$8:$C$67,MATCH($AA75,'💰 Payments'!$L$8:$L$67,0))&amp;")")</f>
        <v/>
      </c>
      <c r="AC75" s="1">
        <f>IF($AA75="","",INDEX('💰 Payments'!$K$8:$K$67,MATCH($AA75,'💰 Payments'!$L$8:$L$67,0)))</f>
        <v>0</v>
      </c>
    </row>
    <row r="76" spans="27:29">
      <c r="AA76" s="1">
        <f>IFERROR(AGGREGATE(15,6,'💰 Payments'!$L$8:$L$67/('💰 Payments'!$K$8:$K$67&gt;0),35),"")</f>
        <v/>
      </c>
      <c r="AB76" s="1">
        <f>IF($AA76="","",INDEX('💰 Payments'!$D$8:$D$67,MATCH($AA76,'💰 Payments'!$L$8:$L$67,0))&amp;" ("&amp;INDEX('💰 Payments'!$C$8:$C$67,MATCH($AA76,'💰 Payments'!$L$8:$L$67,0))&amp;")")</f>
        <v/>
      </c>
      <c r="AC76" s="1">
        <f>IF($AA76="","",INDEX('💰 Payments'!$K$8:$K$67,MATCH($AA76,'💰 Payments'!$L$8:$L$67,0)))</f>
        <v>0</v>
      </c>
    </row>
    <row r="77" spans="27:29">
      <c r="AA77" s="1">
        <f>IFERROR(AGGREGATE(15,6,'💰 Payments'!$L$8:$L$67/('💰 Payments'!$K$8:$K$67&gt;0),36),"")</f>
        <v/>
      </c>
      <c r="AB77" s="1">
        <f>IF($AA77="","",INDEX('💰 Payments'!$D$8:$D$67,MATCH($AA77,'💰 Payments'!$L$8:$L$67,0))&amp;" ("&amp;INDEX('💰 Payments'!$C$8:$C$67,MATCH($AA77,'💰 Payments'!$L$8:$L$67,0))&amp;")")</f>
        <v/>
      </c>
      <c r="AC77" s="1">
        <f>IF($AA77="","",INDEX('💰 Payments'!$K$8:$K$67,MATCH($AA77,'💰 Payments'!$L$8:$L$67,0)))</f>
        <v>0</v>
      </c>
    </row>
    <row r="78" spans="27:29">
      <c r="AA78" s="1">
        <f>IFERROR(AGGREGATE(15,6,'💰 Payments'!$L$8:$L$67/('💰 Payments'!$K$8:$K$67&gt;0),37),"")</f>
        <v/>
      </c>
      <c r="AB78" s="1">
        <f>IF($AA78="","",INDEX('💰 Payments'!$D$8:$D$67,MATCH($AA78,'💰 Payments'!$L$8:$L$67,0))&amp;" ("&amp;INDEX('💰 Payments'!$C$8:$C$67,MATCH($AA78,'💰 Payments'!$L$8:$L$67,0))&amp;")")</f>
        <v/>
      </c>
      <c r="AC78" s="1">
        <f>IF($AA78="","",INDEX('💰 Payments'!$K$8:$K$67,MATCH($AA78,'💰 Payments'!$L$8:$L$67,0)))</f>
        <v>0</v>
      </c>
    </row>
    <row r="79" spans="27:29">
      <c r="AA79" s="1">
        <f>IFERROR(AGGREGATE(15,6,'💰 Payments'!$L$8:$L$67/('💰 Payments'!$K$8:$K$67&gt;0),38),"")</f>
        <v/>
      </c>
      <c r="AB79" s="1">
        <f>IF($AA79="","",INDEX('💰 Payments'!$D$8:$D$67,MATCH($AA79,'💰 Payments'!$L$8:$L$67,0))&amp;" ("&amp;INDEX('💰 Payments'!$C$8:$C$67,MATCH($AA79,'💰 Payments'!$L$8:$L$67,0))&amp;")")</f>
        <v/>
      </c>
      <c r="AC79" s="1">
        <f>IF($AA79="","",INDEX('💰 Payments'!$K$8:$K$67,MATCH($AA79,'💰 Payments'!$L$8:$L$67,0)))</f>
        <v>0</v>
      </c>
    </row>
    <row r="80" spans="27:29">
      <c r="AA80" s="1">
        <f>IFERROR(AGGREGATE(15,6,'💰 Payments'!$L$8:$L$67/('💰 Payments'!$K$8:$K$67&gt;0),39),"")</f>
        <v/>
      </c>
      <c r="AB80" s="1">
        <f>IF($AA80="","",INDEX('💰 Payments'!$D$8:$D$67,MATCH($AA80,'💰 Payments'!$L$8:$L$67,0))&amp;" ("&amp;INDEX('💰 Payments'!$C$8:$C$67,MATCH($AA80,'💰 Payments'!$L$8:$L$67,0))&amp;")")</f>
        <v/>
      </c>
      <c r="AC80" s="1">
        <f>IF($AA80="","",INDEX('💰 Payments'!$K$8:$K$67,MATCH($AA80,'💰 Payments'!$L$8:$L$67,0)))</f>
        <v>0</v>
      </c>
    </row>
    <row r="81" spans="27:29">
      <c r="AA81" s="1">
        <f>IFERROR(AGGREGATE(15,6,'💰 Payments'!$L$8:$L$67/('💰 Payments'!$K$8:$K$67&gt;0),40),"")</f>
        <v/>
      </c>
      <c r="AB81" s="1">
        <f>IF($AA81="","",INDEX('💰 Payments'!$D$8:$D$67,MATCH($AA81,'💰 Payments'!$L$8:$L$67,0))&amp;" ("&amp;INDEX('💰 Payments'!$C$8:$C$67,MATCH($AA81,'💰 Payments'!$L$8:$L$67,0))&amp;")")</f>
        <v/>
      </c>
      <c r="AC81" s="1">
        <f>IF($AA81="","",INDEX('💰 Payments'!$K$8:$K$67,MATCH($AA81,'💰 Payments'!$L$8:$L$67,0)))</f>
        <v>0</v>
      </c>
    </row>
    <row r="82" spans="27:29">
      <c r="AA82" s="1">
        <f>IFERROR(AGGREGATE(15,6,'💰 Payments'!$L$8:$L$67/('💰 Payments'!$K$8:$K$67&gt;0),41),"")</f>
        <v/>
      </c>
      <c r="AB82" s="1">
        <f>IF($AA82="","",INDEX('💰 Payments'!$D$8:$D$67,MATCH($AA82,'💰 Payments'!$L$8:$L$67,0))&amp;" ("&amp;INDEX('💰 Payments'!$C$8:$C$67,MATCH($AA82,'💰 Payments'!$L$8:$L$67,0))&amp;")")</f>
        <v/>
      </c>
      <c r="AC82" s="1">
        <f>IF($AA82="","",INDEX('💰 Payments'!$K$8:$K$67,MATCH($AA82,'💰 Payments'!$L$8:$L$67,0)))</f>
        <v>0</v>
      </c>
    </row>
    <row r="83" spans="27:29">
      <c r="AA83" s="1">
        <f>IFERROR(AGGREGATE(15,6,'💰 Payments'!$L$8:$L$67/('💰 Payments'!$K$8:$K$67&gt;0),42),"")</f>
        <v/>
      </c>
      <c r="AB83" s="1">
        <f>IF($AA83="","",INDEX('💰 Payments'!$D$8:$D$67,MATCH($AA83,'💰 Payments'!$L$8:$L$67,0))&amp;" ("&amp;INDEX('💰 Payments'!$C$8:$C$67,MATCH($AA83,'💰 Payments'!$L$8:$L$67,0))&amp;")")</f>
        <v/>
      </c>
      <c r="AC83" s="1">
        <f>IF($AA83="","",INDEX('💰 Payments'!$K$8:$K$67,MATCH($AA83,'💰 Payments'!$L$8:$L$67,0)))</f>
        <v>0</v>
      </c>
    </row>
    <row r="84" spans="27:29">
      <c r="AA84" s="1">
        <f>IFERROR(AGGREGATE(15,6,'💰 Payments'!$L$8:$L$67/('💰 Payments'!$K$8:$K$67&gt;0),43),"")</f>
        <v/>
      </c>
      <c r="AB84" s="1">
        <f>IF($AA84="","",INDEX('💰 Payments'!$D$8:$D$67,MATCH($AA84,'💰 Payments'!$L$8:$L$67,0))&amp;" ("&amp;INDEX('💰 Payments'!$C$8:$C$67,MATCH($AA84,'💰 Payments'!$L$8:$L$67,0))&amp;")")</f>
        <v/>
      </c>
      <c r="AC84" s="1">
        <f>IF($AA84="","",INDEX('💰 Payments'!$K$8:$K$67,MATCH($AA84,'💰 Payments'!$L$8:$L$67,0)))</f>
        <v>0</v>
      </c>
    </row>
    <row r="85" spans="27:29">
      <c r="AA85" s="1">
        <f>IFERROR(AGGREGATE(15,6,'💰 Payments'!$L$8:$L$67/('💰 Payments'!$K$8:$K$67&gt;0),44),"")</f>
        <v/>
      </c>
      <c r="AB85" s="1">
        <f>IF($AA85="","",INDEX('💰 Payments'!$D$8:$D$67,MATCH($AA85,'💰 Payments'!$L$8:$L$67,0))&amp;" ("&amp;INDEX('💰 Payments'!$C$8:$C$67,MATCH($AA85,'💰 Payments'!$L$8:$L$67,0))&amp;")")</f>
        <v/>
      </c>
      <c r="AC85" s="1">
        <f>IF($AA85="","",INDEX('💰 Payments'!$K$8:$K$67,MATCH($AA85,'💰 Payments'!$L$8:$L$67,0)))</f>
        <v>0</v>
      </c>
    </row>
    <row r="86" spans="27:29">
      <c r="AA86" s="1">
        <f>IFERROR(AGGREGATE(15,6,'💰 Payments'!$L$8:$L$67/('💰 Payments'!$K$8:$K$67&gt;0),45),"")</f>
        <v/>
      </c>
      <c r="AB86" s="1">
        <f>IF($AA86="","",INDEX('💰 Payments'!$D$8:$D$67,MATCH($AA86,'💰 Payments'!$L$8:$L$67,0))&amp;" ("&amp;INDEX('💰 Payments'!$C$8:$C$67,MATCH($AA86,'💰 Payments'!$L$8:$L$67,0))&amp;")")</f>
        <v/>
      </c>
      <c r="AC86" s="1">
        <f>IF($AA86="","",INDEX('💰 Payments'!$K$8:$K$67,MATCH($AA86,'💰 Payments'!$L$8:$L$67,0)))</f>
        <v>0</v>
      </c>
    </row>
    <row r="87" spans="27:29">
      <c r="AA87" s="1">
        <f>IFERROR(AGGREGATE(15,6,'💰 Payments'!$L$8:$L$67/('💰 Payments'!$K$8:$K$67&gt;0),46),"")</f>
        <v/>
      </c>
      <c r="AB87" s="1">
        <f>IF($AA87="","",INDEX('💰 Payments'!$D$8:$D$67,MATCH($AA87,'💰 Payments'!$L$8:$L$67,0))&amp;" ("&amp;INDEX('💰 Payments'!$C$8:$C$67,MATCH($AA87,'💰 Payments'!$L$8:$L$67,0))&amp;")")</f>
        <v/>
      </c>
      <c r="AC87" s="1">
        <f>IF($AA87="","",INDEX('💰 Payments'!$K$8:$K$67,MATCH($AA87,'💰 Payments'!$L$8:$L$67,0)))</f>
        <v>0</v>
      </c>
    </row>
    <row r="88" spans="27:29">
      <c r="AA88" s="1">
        <f>IFERROR(AGGREGATE(15,6,'💰 Payments'!$L$8:$L$67/('💰 Payments'!$K$8:$K$67&gt;0),47),"")</f>
        <v/>
      </c>
      <c r="AB88" s="1">
        <f>IF($AA88="","",INDEX('💰 Payments'!$D$8:$D$67,MATCH($AA88,'💰 Payments'!$L$8:$L$67,0))&amp;" ("&amp;INDEX('💰 Payments'!$C$8:$C$67,MATCH($AA88,'💰 Payments'!$L$8:$L$67,0))&amp;")")</f>
        <v/>
      </c>
      <c r="AC88" s="1">
        <f>IF($AA88="","",INDEX('💰 Payments'!$K$8:$K$67,MATCH($AA88,'💰 Payments'!$L$8:$L$67,0)))</f>
        <v>0</v>
      </c>
    </row>
    <row r="89" spans="27:29">
      <c r="AA89" s="1">
        <f>IFERROR(AGGREGATE(15,6,'💰 Payments'!$L$8:$L$67/('💰 Payments'!$K$8:$K$67&gt;0),48),"")</f>
        <v/>
      </c>
      <c r="AB89" s="1">
        <f>IF($AA89="","",INDEX('💰 Payments'!$D$8:$D$67,MATCH($AA89,'💰 Payments'!$L$8:$L$67,0))&amp;" ("&amp;INDEX('💰 Payments'!$C$8:$C$67,MATCH($AA89,'💰 Payments'!$L$8:$L$67,0))&amp;")")</f>
        <v/>
      </c>
      <c r="AC89" s="1">
        <f>IF($AA89="","",INDEX('💰 Payments'!$K$8:$K$67,MATCH($AA89,'💰 Payments'!$L$8:$L$67,0)))</f>
        <v>0</v>
      </c>
    </row>
    <row r="90" spans="27:29">
      <c r="AA90" s="1">
        <f>IFERROR(AGGREGATE(15,6,'💰 Payments'!$L$8:$L$67/('💰 Payments'!$K$8:$K$67&gt;0),49),"")</f>
        <v/>
      </c>
      <c r="AB90" s="1">
        <f>IF($AA90="","",INDEX('💰 Payments'!$D$8:$D$67,MATCH($AA90,'💰 Payments'!$L$8:$L$67,0))&amp;" ("&amp;INDEX('💰 Payments'!$C$8:$C$67,MATCH($AA90,'💰 Payments'!$L$8:$L$67,0))&amp;")")</f>
        <v/>
      </c>
      <c r="AC90" s="1">
        <f>IF($AA90="","",INDEX('💰 Payments'!$K$8:$K$67,MATCH($AA90,'💰 Payments'!$L$8:$L$67,0)))</f>
        <v>0</v>
      </c>
    </row>
    <row r="91" spans="27:29">
      <c r="AA91" s="1">
        <f>IFERROR(AGGREGATE(15,6,'💰 Payments'!$L$8:$L$67/('💰 Payments'!$K$8:$K$67&gt;0),50),"")</f>
        <v/>
      </c>
      <c r="AB91" s="1">
        <f>IF($AA91="","",INDEX('💰 Payments'!$D$8:$D$67,MATCH($AA91,'💰 Payments'!$L$8:$L$67,0))&amp;" ("&amp;INDEX('💰 Payments'!$C$8:$C$67,MATCH($AA91,'💰 Payments'!$L$8:$L$67,0))&amp;")")</f>
        <v/>
      </c>
      <c r="AC91" s="1">
        <f>IF($AA91="","",INDEX('💰 Payments'!$K$8:$K$67,MATCH($AA91,'💰 Payments'!$L$8:$L$67,0)))</f>
        <v>0</v>
      </c>
    </row>
    <row r="92" spans="27:29">
      <c r="AA92" s="1">
        <f>IFERROR(AGGREGATE(15,6,'💰 Payments'!$L$8:$L$67/('💰 Payments'!$K$8:$K$67&gt;0),51),"")</f>
        <v/>
      </c>
      <c r="AB92" s="1">
        <f>IF($AA92="","",INDEX('💰 Payments'!$D$8:$D$67,MATCH($AA92,'💰 Payments'!$L$8:$L$67,0))&amp;" ("&amp;INDEX('💰 Payments'!$C$8:$C$67,MATCH($AA92,'💰 Payments'!$L$8:$L$67,0))&amp;")")</f>
        <v/>
      </c>
      <c r="AC92" s="1">
        <f>IF($AA92="","",INDEX('💰 Payments'!$K$8:$K$67,MATCH($AA92,'💰 Payments'!$L$8:$L$67,0)))</f>
        <v>0</v>
      </c>
    </row>
    <row r="93" spans="27:29">
      <c r="AA93" s="1">
        <f>IFERROR(AGGREGATE(15,6,'💰 Payments'!$L$8:$L$67/('💰 Payments'!$K$8:$K$67&gt;0),52),"")</f>
        <v/>
      </c>
      <c r="AB93" s="1">
        <f>IF($AA93="","",INDEX('💰 Payments'!$D$8:$D$67,MATCH($AA93,'💰 Payments'!$L$8:$L$67,0))&amp;" ("&amp;INDEX('💰 Payments'!$C$8:$C$67,MATCH($AA93,'💰 Payments'!$L$8:$L$67,0))&amp;")")</f>
        <v/>
      </c>
      <c r="AC93" s="1">
        <f>IF($AA93="","",INDEX('💰 Payments'!$K$8:$K$67,MATCH($AA93,'💰 Payments'!$L$8:$L$67,0)))</f>
        <v>0</v>
      </c>
    </row>
    <row r="94" spans="27:29">
      <c r="AA94" s="1">
        <f>IFERROR(AGGREGATE(15,6,'💰 Payments'!$L$8:$L$67/('💰 Payments'!$K$8:$K$67&gt;0),53),"")</f>
        <v/>
      </c>
      <c r="AB94" s="1">
        <f>IF($AA94="","",INDEX('💰 Payments'!$D$8:$D$67,MATCH($AA94,'💰 Payments'!$L$8:$L$67,0))&amp;" ("&amp;INDEX('💰 Payments'!$C$8:$C$67,MATCH($AA94,'💰 Payments'!$L$8:$L$67,0))&amp;")")</f>
        <v/>
      </c>
      <c r="AC94" s="1">
        <f>IF($AA94="","",INDEX('💰 Payments'!$K$8:$K$67,MATCH($AA94,'💰 Payments'!$L$8:$L$67,0)))</f>
        <v>0</v>
      </c>
    </row>
    <row r="95" spans="27:29">
      <c r="AA95" s="1">
        <f>IFERROR(AGGREGATE(15,6,'💰 Payments'!$L$8:$L$67/('💰 Payments'!$K$8:$K$67&gt;0),54),"")</f>
        <v/>
      </c>
      <c r="AB95" s="1">
        <f>IF($AA95="","",INDEX('💰 Payments'!$D$8:$D$67,MATCH($AA95,'💰 Payments'!$L$8:$L$67,0))&amp;" ("&amp;INDEX('💰 Payments'!$C$8:$C$67,MATCH($AA95,'💰 Payments'!$L$8:$L$67,0))&amp;")")</f>
        <v/>
      </c>
      <c r="AC95" s="1">
        <f>IF($AA95="","",INDEX('💰 Payments'!$K$8:$K$67,MATCH($AA95,'💰 Payments'!$L$8:$L$67,0)))</f>
        <v>0</v>
      </c>
    </row>
    <row r="96" spans="27:29">
      <c r="AA96" s="1">
        <f>IFERROR(AGGREGATE(15,6,'💰 Payments'!$L$8:$L$67/('💰 Payments'!$K$8:$K$67&gt;0),55),"")</f>
        <v/>
      </c>
      <c r="AB96" s="1">
        <f>IF($AA96="","",INDEX('💰 Payments'!$D$8:$D$67,MATCH($AA96,'💰 Payments'!$L$8:$L$67,0))&amp;" ("&amp;INDEX('💰 Payments'!$C$8:$C$67,MATCH($AA96,'💰 Payments'!$L$8:$L$67,0))&amp;")")</f>
        <v/>
      </c>
      <c r="AC96" s="1">
        <f>IF($AA96="","",INDEX('💰 Payments'!$K$8:$K$67,MATCH($AA96,'💰 Payments'!$L$8:$L$67,0)))</f>
        <v>0</v>
      </c>
    </row>
    <row r="97" spans="27:29">
      <c r="AA97" s="1">
        <f>IFERROR(AGGREGATE(15,6,'💰 Payments'!$L$8:$L$67/('💰 Payments'!$K$8:$K$67&gt;0),56),"")</f>
        <v/>
      </c>
      <c r="AB97" s="1">
        <f>IF($AA97="","",INDEX('💰 Payments'!$D$8:$D$67,MATCH($AA97,'💰 Payments'!$L$8:$L$67,0))&amp;" ("&amp;INDEX('💰 Payments'!$C$8:$C$67,MATCH($AA97,'💰 Payments'!$L$8:$L$67,0))&amp;")")</f>
        <v/>
      </c>
      <c r="AC97" s="1">
        <f>IF($AA97="","",INDEX('💰 Payments'!$K$8:$K$67,MATCH($AA97,'💰 Payments'!$L$8:$L$67,0)))</f>
        <v>0</v>
      </c>
    </row>
    <row r="98" spans="27:29">
      <c r="AA98" s="1">
        <f>IFERROR(AGGREGATE(15,6,'💰 Payments'!$L$8:$L$67/('💰 Payments'!$K$8:$K$67&gt;0),57),"")</f>
        <v/>
      </c>
      <c r="AB98" s="1">
        <f>IF($AA98="","",INDEX('💰 Payments'!$D$8:$D$67,MATCH($AA98,'💰 Payments'!$L$8:$L$67,0))&amp;" ("&amp;INDEX('💰 Payments'!$C$8:$C$67,MATCH($AA98,'💰 Payments'!$L$8:$L$67,0))&amp;")")</f>
        <v/>
      </c>
      <c r="AC98" s="1">
        <f>IF($AA98="","",INDEX('💰 Payments'!$K$8:$K$67,MATCH($AA98,'💰 Payments'!$L$8:$L$67,0)))</f>
        <v>0</v>
      </c>
    </row>
    <row r="99" spans="27:29">
      <c r="AA99" s="1">
        <f>IFERROR(AGGREGATE(15,6,'💰 Payments'!$L$8:$L$67/('💰 Payments'!$K$8:$K$67&gt;0),58),"")</f>
        <v/>
      </c>
      <c r="AB99" s="1">
        <f>IF($AA99="","",INDEX('💰 Payments'!$D$8:$D$67,MATCH($AA99,'💰 Payments'!$L$8:$L$67,0))&amp;" ("&amp;INDEX('💰 Payments'!$C$8:$C$67,MATCH($AA99,'💰 Payments'!$L$8:$L$67,0))&amp;")")</f>
        <v/>
      </c>
      <c r="AC99" s="1">
        <f>IF($AA99="","",INDEX('💰 Payments'!$K$8:$K$67,MATCH($AA99,'💰 Payments'!$L$8:$L$67,0)))</f>
        <v>0</v>
      </c>
    </row>
    <row r="100" spans="27:29">
      <c r="AA100" s="1">
        <f>IFERROR(AGGREGATE(15,6,'💰 Payments'!$L$8:$L$67/('💰 Payments'!$K$8:$K$67&gt;0),59),"")</f>
        <v/>
      </c>
      <c r="AB100" s="1">
        <f>IF($AA100="","",INDEX('💰 Payments'!$D$8:$D$67,MATCH($AA100,'💰 Payments'!$L$8:$L$67,0))&amp;" ("&amp;INDEX('💰 Payments'!$C$8:$C$67,MATCH($AA100,'💰 Payments'!$L$8:$L$67,0))&amp;")")</f>
        <v/>
      </c>
      <c r="AC100" s="1">
        <f>IF($AA100="","",INDEX('💰 Payments'!$K$8:$K$67,MATCH($AA100,'💰 Payments'!$L$8:$L$67,0)))</f>
        <v>0</v>
      </c>
    </row>
    <row r="101" spans="27:29">
      <c r="AA101" s="1">
        <f>IFERROR(AGGREGATE(15,6,'💰 Payments'!$L$8:$L$67/('💰 Payments'!$K$8:$K$67&gt;0),60),"")</f>
        <v/>
      </c>
      <c r="AB101" s="1">
        <f>IF($AA101="","",INDEX('💰 Payments'!$D$8:$D$67,MATCH($AA101,'💰 Payments'!$L$8:$L$67,0))&amp;" ("&amp;INDEX('💰 Payments'!$C$8:$C$67,MATCH($AA101,'💰 Payments'!$L$8:$L$67,0))&amp;")")</f>
        <v/>
      </c>
      <c r="AC101" s="1">
        <f>IF($AA101="","",INDEX('💰 Payments'!$K$8:$K$67,MATCH($AA101,'💰 Payments'!$L$8:$L$67,0)))</f>
        <v>0</v>
      </c>
    </row>
  </sheetData>
  <sheetProtection password="EC7C" sheet="1" formatCells="0" formatColumns="0" formatRows="0" insertColumns="0" insertRows="0" insertHyperlinks="0" deleteColumns="0" deleteRows="0" sort="0" autoFilter="0"/>
  <pageMargins left="0.4" right="0.4" top="0.5" bottom="0.5" header="0.3" footer="0.3"/>
  <pageSetup paperSize="9"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xml><?xml version="1.0" encoding="utf-8"?>
<worksheet xmlns="http://schemas.openxmlformats.org/spreadsheetml/2006/main" xmlns:r="http://schemas.openxmlformats.org/officeDocument/2006/relationships">
  <sheetPr>
    <tabColor rgb="FF56806A"/>
    <pageSetUpPr fitToPage="1"/>
  </sheetPr>
  <dimension ref="A1:H59"/>
  <sheetViews>
    <sheetView showGridLines="0" workbookViewId="0"/>
  </sheetViews>
  <sheetFormatPr defaultRowHeight="15"/>
  <cols>
    <col min="1" max="1" width="2.85546875" customWidth="1"/>
    <col min="2" max="2" width="22.7109375" customWidth="1"/>
    <col min="3" max="4" width="13.7109375" customWidth="1"/>
    <col min="5" max="7" width="15.7109375" customWidth="1"/>
    <col min="8" max="8" width="46.7109375" customWidth="1"/>
    <col min="9" max="9" width="4.7109375" customWidth="1"/>
  </cols>
  <sheetData>
    <row r="1" spans="2:8" ht="20" customHeight="1"/>
    <row r="2" spans="2:8" ht="30" customHeight="1">
      <c r="B2" s="3" t="s">
        <v>93</v>
      </c>
      <c r="C2" s="3"/>
      <c r="D2" s="3"/>
      <c r="E2" s="3"/>
      <c r="F2" s="3"/>
      <c r="G2" s="4"/>
      <c r="H2" s="4"/>
    </row>
    <row r="3" spans="2:8" ht="18" customHeight="1">
      <c r="B3" s="5" t="s">
        <v>94</v>
      </c>
      <c r="C3" s="5"/>
      <c r="D3" s="5"/>
      <c r="E3" s="5"/>
      <c r="F3" s="5"/>
      <c r="G3" s="6" t="s">
        <v>95</v>
      </c>
      <c r="H3" s="6"/>
    </row>
    <row r="4" spans="2:8" ht="20" customHeight="1"/>
    <row r="5" spans="2:8" ht="20" customHeight="1">
      <c r="B5" s="7" t="s">
        <v>96</v>
      </c>
      <c r="C5" s="7"/>
      <c r="D5" s="7"/>
      <c r="E5" s="7"/>
      <c r="F5" s="7"/>
      <c r="G5" s="7"/>
      <c r="H5" s="7"/>
    </row>
    <row r="6" spans="2:8" ht="20" customHeight="1">
      <c r="B6" s="8" t="s">
        <v>97</v>
      </c>
      <c r="C6" s="9"/>
      <c r="D6" s="9"/>
      <c r="E6" s="9"/>
      <c r="H6" s="1" t="s">
        <v>98</v>
      </c>
    </row>
    <row r="7" spans="2:8" ht="20" customHeight="1">
      <c r="B7" s="8" t="s">
        <v>99</v>
      </c>
      <c r="C7" s="9"/>
      <c r="D7" s="9"/>
      <c r="E7" s="9"/>
      <c r="H7" s="1" t="s">
        <v>100</v>
      </c>
    </row>
    <row r="8" spans="2:8" ht="20" customHeight="1"/>
    <row r="9" spans="2:8" ht="20" customHeight="1">
      <c r="B9" s="7" t="s">
        <v>101</v>
      </c>
      <c r="C9" s="7"/>
      <c r="D9" s="7"/>
      <c r="E9" s="7"/>
      <c r="F9" s="7"/>
      <c r="G9" s="7"/>
      <c r="H9" s="7"/>
    </row>
    <row r="10" spans="2:8" ht="20" customHeight="1">
      <c r="B10" s="8" t="s">
        <v>102</v>
      </c>
      <c r="C10" s="10" t="s">
        <v>103</v>
      </c>
      <c r="D10" s="10"/>
      <c r="H10" s="1" t="s">
        <v>104</v>
      </c>
    </row>
    <row r="11" spans="2:8" ht="20" customHeight="1">
      <c r="B11" s="8" t="s">
        <v>105</v>
      </c>
      <c r="C11" s="11">
        <v>0</v>
      </c>
      <c r="D11" s="11"/>
      <c r="H11" s="1" t="s">
        <v>106</v>
      </c>
    </row>
    <row r="12" spans="2:8" ht="20" customHeight="1">
      <c r="B12" s="8" t="s">
        <v>107</v>
      </c>
      <c r="C12" s="11">
        <v>0.35</v>
      </c>
      <c r="D12" s="11"/>
      <c r="H12" s="1" t="s">
        <v>108</v>
      </c>
    </row>
    <row r="13" spans="2:8" ht="20" customHeight="1">
      <c r="B13" s="8" t="s">
        <v>109</v>
      </c>
      <c r="C13" s="11">
        <v>0.4</v>
      </c>
      <c r="D13" s="11"/>
      <c r="H13" s="1" t="s">
        <v>110</v>
      </c>
    </row>
    <row r="14" spans="2:8" ht="20" customHeight="1">
      <c r="B14" s="8" t="s">
        <v>111</v>
      </c>
      <c r="C14" s="10">
        <v>7</v>
      </c>
      <c r="D14" s="10"/>
      <c r="H14" s="1" t="s">
        <v>112</v>
      </c>
    </row>
    <row r="15" spans="2:8" ht="20" customHeight="1">
      <c r="B15" s="8" t="s">
        <v>113</v>
      </c>
      <c r="C15" s="10">
        <v>2026</v>
      </c>
      <c r="D15" s="10"/>
      <c r="H15" s="1" t="s">
        <v>114</v>
      </c>
    </row>
    <row r="16" spans="2:8" ht="20" customHeight="1"/>
    <row r="17" spans="1:8" ht="20" customHeight="1">
      <c r="B17" s="7" t="s">
        <v>115</v>
      </c>
      <c r="C17" s="7"/>
      <c r="D17" s="7"/>
      <c r="E17" s="7"/>
      <c r="F17" s="7"/>
      <c r="G17" s="7"/>
      <c r="H17" s="7"/>
    </row>
    <row r="18" spans="1:8" ht="20" customHeight="1">
      <c r="B18" s="8" t="s">
        <v>116</v>
      </c>
      <c r="C18" s="12">
        <v>9</v>
      </c>
      <c r="D18" s="12"/>
      <c r="H18" s="1" t="s">
        <v>118</v>
      </c>
    </row>
    <row r="19" spans="1:8" ht="20" customHeight="1">
      <c r="B19" s="8" t="s">
        <v>117</v>
      </c>
      <c r="C19" s="10">
        <v>2026</v>
      </c>
      <c r="D19" s="10"/>
    </row>
    <row r="20" spans="1:8" ht="20" customHeight="1"/>
    <row r="21" spans="1:8" ht="20" customHeight="1">
      <c r="B21" s="13" t="s">
        <v>119</v>
      </c>
      <c r="C21" s="13"/>
      <c r="D21" s="13"/>
      <c r="E21" s="13"/>
      <c r="F21" s="13"/>
      <c r="G21" s="13"/>
      <c r="H21" s="13"/>
    </row>
    <row r="22" spans="1:8" ht="20" customHeight="1">
      <c r="A22" s="2" t="s">
        <v>120</v>
      </c>
      <c r="B22" s="2" t="s">
        <v>121</v>
      </c>
      <c r="C22" s="2" t="s">
        <v>124</v>
      </c>
      <c r="D22" s="2" t="s">
        <v>125</v>
      </c>
      <c r="E22" s="2" t="s">
        <v>123</v>
      </c>
      <c r="F22" s="2" t="s">
        <v>122</v>
      </c>
    </row>
    <row r="23" spans="1:8" ht="20" customHeight="1">
      <c r="A23" s="9" t="s">
        <v>33</v>
      </c>
      <c r="B23" s="9" t="s">
        <v>20</v>
      </c>
      <c r="C23" s="9" t="s">
        <v>138</v>
      </c>
      <c r="D23" s="9" t="s">
        <v>143</v>
      </c>
      <c r="E23" s="9" t="s">
        <v>132</v>
      </c>
      <c r="F23" s="9" t="s">
        <v>126</v>
      </c>
    </row>
    <row r="24" spans="1:8" ht="20" customHeight="1">
      <c r="A24" s="14" t="s">
        <v>34</v>
      </c>
      <c r="B24" s="14" t="s">
        <v>21</v>
      </c>
      <c r="C24" s="14" t="s">
        <v>139</v>
      </c>
      <c r="D24" s="14" t="s">
        <v>144</v>
      </c>
      <c r="E24" s="14" t="s">
        <v>133</v>
      </c>
      <c r="F24" s="14" t="s">
        <v>127</v>
      </c>
    </row>
    <row r="25" spans="1:8" ht="20" customHeight="1">
      <c r="A25" s="9" t="s">
        <v>35</v>
      </c>
      <c r="B25" s="9" t="s">
        <v>22</v>
      </c>
      <c r="C25" s="9" t="s">
        <v>140</v>
      </c>
      <c r="D25" s="9" t="s">
        <v>145</v>
      </c>
      <c r="E25" s="9" t="s">
        <v>134</v>
      </c>
      <c r="F25" s="9" t="s">
        <v>128</v>
      </c>
    </row>
    <row r="26" spans="1:8" ht="20" customHeight="1">
      <c r="A26" s="14" t="s">
        <v>36</v>
      </c>
      <c r="B26" s="14" t="s">
        <v>23</v>
      </c>
      <c r="C26" s="14" t="s">
        <v>141</v>
      </c>
      <c r="D26" s="14" t="s">
        <v>146</v>
      </c>
      <c r="E26" s="14" t="s">
        <v>135</v>
      </c>
      <c r="F26" s="14" t="s">
        <v>129</v>
      </c>
    </row>
    <row r="27" spans="1:8" ht="20" customHeight="1">
      <c r="A27" s="9" t="s">
        <v>37</v>
      </c>
      <c r="B27" s="9" t="s">
        <v>24</v>
      </c>
      <c r="C27" s="9" t="s">
        <v>142</v>
      </c>
      <c r="D27" s="9" t="s">
        <v>147</v>
      </c>
      <c r="E27" s="9" t="s">
        <v>136</v>
      </c>
      <c r="F27" s="9" t="s">
        <v>130</v>
      </c>
    </row>
    <row r="28" spans="1:8" ht="20" customHeight="1">
      <c r="A28" s="14" t="s">
        <v>38</v>
      </c>
      <c r="B28" s="14" t="s">
        <v>25</v>
      </c>
      <c r="C28" s="14" t="s">
        <v>41</v>
      </c>
      <c r="D28" s="14" t="s">
        <v>148</v>
      </c>
      <c r="E28" s="14" t="s">
        <v>137</v>
      </c>
      <c r="F28" s="14" t="s">
        <v>131</v>
      </c>
    </row>
    <row r="29" spans="1:8" ht="20" customHeight="1">
      <c r="A29" s="9" t="s">
        <v>39</v>
      </c>
      <c r="B29" s="9" t="s">
        <v>26</v>
      </c>
      <c r="C29" s="9"/>
      <c r="D29" s="9" t="s">
        <v>149</v>
      </c>
      <c r="E29" s="9" t="s">
        <v>41</v>
      </c>
      <c r="F29" s="9" t="s">
        <v>21</v>
      </c>
    </row>
    <row r="30" spans="1:8" ht="20" customHeight="1">
      <c r="A30" s="14" t="s">
        <v>40</v>
      </c>
      <c r="B30" s="14" t="s">
        <v>27</v>
      </c>
      <c r="C30" s="14"/>
      <c r="D30" s="14" t="s">
        <v>150</v>
      </c>
      <c r="E30" s="14"/>
      <c r="F30" s="14" t="s">
        <v>41</v>
      </c>
    </row>
    <row r="31" spans="1:8" ht="20" customHeight="1">
      <c r="A31" s="9" t="s">
        <v>41</v>
      </c>
      <c r="B31" s="9" t="s">
        <v>28</v>
      </c>
      <c r="C31" s="9"/>
      <c r="D31" s="9" t="s">
        <v>151</v>
      </c>
      <c r="E31" s="9"/>
      <c r="F31" s="9"/>
    </row>
    <row r="32" spans="1:8" ht="20" customHeight="1">
      <c r="A32" s="14"/>
      <c r="B32" s="14" t="s">
        <v>29</v>
      </c>
      <c r="C32" s="14"/>
      <c r="D32" s="14" t="s">
        <v>41</v>
      </c>
      <c r="E32" s="14"/>
      <c r="F32" s="14"/>
    </row>
    <row r="33" spans="1:8" ht="20" customHeight="1">
      <c r="A33" s="9"/>
      <c r="B33" s="9" t="s">
        <v>30</v>
      </c>
      <c r="C33" s="9"/>
      <c r="D33" s="9"/>
      <c r="E33" s="9"/>
      <c r="F33" s="9"/>
    </row>
    <row r="34" spans="1:8" ht="20" customHeight="1">
      <c r="A34" s="14"/>
      <c r="B34" s="14"/>
      <c r="C34" s="14"/>
      <c r="D34" s="14"/>
      <c r="E34" s="14"/>
      <c r="F34" s="14"/>
    </row>
    <row r="35" spans="1:8" ht="20" customHeight="1">
      <c r="A35" s="9"/>
      <c r="B35" s="9"/>
      <c r="C35" s="9"/>
      <c r="D35" s="9"/>
      <c r="E35" s="9"/>
      <c r="F35" s="9"/>
    </row>
    <row r="36" spans="1:8" ht="20" customHeight="1">
      <c r="A36" s="14"/>
      <c r="B36" s="14"/>
      <c r="C36" s="14"/>
      <c r="D36" s="14"/>
      <c r="E36" s="14"/>
      <c r="F36" s="14"/>
    </row>
    <row r="37" spans="1:8" ht="20" customHeight="1">
      <c r="A37" s="9"/>
      <c r="B37" s="9"/>
      <c r="C37" s="9"/>
      <c r="D37" s="9"/>
      <c r="E37" s="9"/>
      <c r="F37" s="9"/>
    </row>
    <row r="38" spans="1:8" ht="20" customHeight="1">
      <c r="A38" s="14"/>
      <c r="B38" s="14"/>
      <c r="C38" s="14"/>
      <c r="D38" s="14"/>
      <c r="E38" s="14"/>
      <c r="F38" s="14"/>
    </row>
    <row r="39" spans="1:8" ht="20" customHeight="1">
      <c r="A39" s="9"/>
      <c r="B39" s="9"/>
      <c r="C39" s="9"/>
      <c r="D39" s="9"/>
      <c r="E39" s="9"/>
      <c r="F39" s="9"/>
    </row>
    <row r="40" spans="1:8" ht="20" customHeight="1">
      <c r="A40" s="14"/>
      <c r="B40" s="14"/>
      <c r="C40" s="14"/>
      <c r="D40" s="14"/>
      <c r="E40" s="14"/>
      <c r="F40" s="14"/>
    </row>
    <row r="41" spans="1:8" ht="20" customHeight="1">
      <c r="A41" s="9"/>
      <c r="B41" s="9"/>
      <c r="C41" s="9"/>
      <c r="D41" s="9"/>
      <c r="E41" s="9"/>
      <c r="F41" s="9"/>
    </row>
    <row r="42" spans="1:8" ht="20" customHeight="1">
      <c r="A42" s="14"/>
      <c r="B42" s="14"/>
      <c r="C42" s="14"/>
      <c r="D42" s="14"/>
      <c r="E42" s="14"/>
      <c r="F42" s="14"/>
    </row>
    <row r="43" spans="1:8" ht="20" customHeight="1"/>
    <row r="44" spans="1:8" ht="20" customHeight="1">
      <c r="B44" s="15" t="s">
        <v>152</v>
      </c>
      <c r="C44" s="15"/>
      <c r="D44" s="15"/>
      <c r="E44" s="15"/>
      <c r="F44" s="15"/>
      <c r="G44" s="15"/>
      <c r="H44" s="15"/>
    </row>
    <row r="45" spans="1:8" ht="20" customHeight="1"/>
    <row r="46" spans="1:8" ht="20" customHeight="1">
      <c r="B46" s="2" t="s">
        <v>153</v>
      </c>
      <c r="C46" s="2" t="s">
        <v>154</v>
      </c>
      <c r="D46" s="2" t="s">
        <v>158</v>
      </c>
    </row>
    <row r="47" spans="1:8" ht="20" customHeight="1">
      <c r="B47" s="16" t="s">
        <v>43</v>
      </c>
      <c r="C47" s="10" t="s">
        <v>155</v>
      </c>
      <c r="D47" s="10" t="s">
        <v>159</v>
      </c>
    </row>
    <row r="48" spans="1:8" ht="20" customHeight="1">
      <c r="B48" s="17" t="s">
        <v>44</v>
      </c>
      <c r="C48" s="10" t="s">
        <v>156</v>
      </c>
    </row>
    <row r="49" spans="1:8" ht="20" customHeight="1">
      <c r="B49" s="18" t="s">
        <v>45</v>
      </c>
      <c r="C49" s="10" t="s">
        <v>157</v>
      </c>
    </row>
    <row r="50" spans="1:8" ht="20" customHeight="1">
      <c r="B50" s="19" t="s">
        <v>46</v>
      </c>
    </row>
    <row r="51" spans="1:8" ht="20" customHeight="1">
      <c r="B51" s="20" t="s">
        <v>47</v>
      </c>
    </row>
    <row r="52" spans="1:8" ht="20" customHeight="1">
      <c r="B52" s="21" t="s">
        <v>48</v>
      </c>
    </row>
    <row r="53" spans="1:8" ht="20" customHeight="1"/>
    <row r="54" spans="1:8" ht="20" customHeight="1"/>
    <row r="55" spans="1:8" ht="8" customHeight="1">
      <c r="A55" s="4"/>
      <c r="B55" s="4"/>
      <c r="C55" s="4"/>
      <c r="D55" s="4"/>
      <c r="E55" s="4"/>
      <c r="F55" s="4"/>
      <c r="G55" s="4"/>
      <c r="H55" s="4"/>
    </row>
    <row r="56" spans="1:8" ht="30" customHeight="1">
      <c r="B56" s="22" t="s">
        <v>160</v>
      </c>
      <c r="C56" s="22"/>
      <c r="D56" s="22"/>
      <c r="E56" s="22"/>
      <c r="F56" s="22"/>
      <c r="G56" s="22"/>
      <c r="H56" s="22"/>
    </row>
    <row r="57" spans="1:8" ht="20" customHeight="1"/>
    <row r="58" spans="1:8" ht="20" customHeight="1">
      <c r="B58" s="23" t="s">
        <v>161</v>
      </c>
      <c r="C58" s="24" t="s">
        <v>162</v>
      </c>
      <c r="D58" s="25" t="s">
        <v>163</v>
      </c>
      <c r="E58" s="26" t="s">
        <v>17</v>
      </c>
      <c r="F58" s="27" t="s">
        <v>164</v>
      </c>
      <c r="G58" s="28" t="s">
        <v>165</v>
      </c>
      <c r="H58" s="29" t="s">
        <v>166</v>
      </c>
    </row>
    <row r="59" spans="1:8" ht="24" customHeight="1">
      <c r="B59" s="30" t="s">
        <v>167</v>
      </c>
    </row>
  </sheetData>
  <sheetProtection password="EC7C" sheet="1" formatCells="0" formatColumns="0" formatRows="0" insertColumns="0" insertRows="0" insertHyperlinks="0" deleteColumns="0" deleteRows="0" sort="0" autoFilter="0"/>
  <mergeCells count="20">
    <mergeCell ref="B2:F2"/>
    <mergeCell ref="G2:H2"/>
    <mergeCell ref="B3:F3"/>
    <mergeCell ref="G3:H3"/>
    <mergeCell ref="B5:H5"/>
    <mergeCell ref="C6:E6"/>
    <mergeCell ref="C7:E7"/>
    <mergeCell ref="B9:H9"/>
    <mergeCell ref="C10:D10"/>
    <mergeCell ref="C11:D11"/>
    <mergeCell ref="C12:D12"/>
    <mergeCell ref="C13:D13"/>
    <mergeCell ref="C14:D14"/>
    <mergeCell ref="C15:D15"/>
    <mergeCell ref="B17:H17"/>
    <mergeCell ref="C18:D18"/>
    <mergeCell ref="C19:D19"/>
    <mergeCell ref="B21:H21"/>
    <mergeCell ref="B44:H44"/>
    <mergeCell ref="B56:H56"/>
  </mergeCells>
  <dataValidations count="8">
    <dataValidation type="list" allowBlank="1" showInputMessage="1" promptTitle="Currency symbol" prompt="Pick a symbol, or type your own (e.g. Rs)." sqref="C9:D9">
      <formula1>$,€,£,¥,₨,₹,A$,C$,R,kr,CHF</formula1>
    </dataValidation>
    <dataValidation type="decimal" errorStyle="warning" allowBlank="1" showInputMessage="1" showErrorMessage="1" errorTitle="Pick a percentage" error="Enter a share of the price between 0% and 50%." sqref="C11:D11">
      <formula1>0</formula1>
      <formula2>0.5</formula2>
    </dataValidation>
    <dataValidation type="decimal" errorStyle="warning" allowBlank="1" showInputMessage="1" showErrorMessage="1" errorTitle="Pick a percentage" error="Enter a share of the price between 0% and 90%." sqref="C12:D12">
      <formula1>0</formula1>
      <formula2>0.9</formula2>
    </dataValidation>
    <dataValidation type="decimal" errorStyle="warning" allowBlank="1" showInputMessage="1" showErrorMessage="1" errorTitle="Pick a percentage" error="Enter a share of the price between 0% and 100%." sqref="C13:D13">
      <formula1>0</formula1>
      <formula2>1</formula2>
    </dataValidation>
    <dataValidation type="whole" errorStyle="warning" allowBlank="1" showInputMessage="1" showErrorMessage="1" errorTitle="1 - 90 days" error="Pick a window between 1 and 90 days." sqref="C14:D14">
      <formula1>1</formula1>
      <formula2>90</formula2>
    </dataValidation>
    <dataValidation type="whole" errorStyle="warning" allowBlank="1" showInputMessage="1" showErrorMessage="1" errorTitle="Year" error="Enter a 4-digit year." sqref="C15:D15">
      <formula1>2000</formula1>
      <formula2>2100</formula2>
    </dataValidation>
    <dataValidation type="whole" allowBlank="1" showInputMessage="1" showErrorMessage="1" promptTitle="Month" prompt="1 = January ... 12 = December.  The cell shows the month name." sqref="C18:D18">
      <formula1>1</formula1>
      <formula2>12</formula2>
    </dataValidation>
    <dataValidation type="whole" errorStyle="warning" allowBlank="1" showInputMessage="1" showErrorMessage="1" errorTitle="Year" error="Enter a 4-digit year." sqref="C19:D19">
      <formula1>2000</formula1>
      <formula2>2100</formula2>
    </dataValidation>
  </dataValidations>
  <hyperlinks>
    <hyperlink ref="G3" location="'📊 Dashboard'!A1" display="🏠  Back to Dashboard"/>
    <hyperlink ref="B58" location="'⚙️ Setup'!A1" display="▶ Setup"/>
    <hyperlink ref="C58" location="'📊 Dashboard'!A1" display="🏠 Home"/>
    <hyperlink ref="D58" location="'👥 Clients'!A1" display="Clients"/>
    <hyperlink ref="E58" location="'📅 Events'!A1" display="Events"/>
    <hyperlink ref="F58" location="'🧮 Quote Calculator'!A1" display="Quote"/>
    <hyperlink ref="G58" location="'💸 Expenses'!A1" display="Expenses"/>
    <hyperlink ref="H58" location="'💰 Payments'!A1" display="Payments"/>
    <hyperlink ref="B59"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3.xml><?xml version="1.0" encoding="utf-8"?>
<worksheet xmlns="http://schemas.openxmlformats.org/spreadsheetml/2006/main" xmlns:r="http://schemas.openxmlformats.org/officeDocument/2006/relationships">
  <sheetPr>
    <tabColor rgb="FF2F5D46"/>
    <pageSetUpPr fitToPage="1"/>
  </sheetPr>
  <dimension ref="A1:P90"/>
  <sheetViews>
    <sheetView showGridLines="0" tabSelected="1" zoomScale="90" zoomScaleNormal="90" workbookViewId="0"/>
  </sheetViews>
  <sheetFormatPr defaultRowHeight="15"/>
  <cols>
    <col min="1" max="1" width="2.85546875" customWidth="1"/>
    <col min="2" max="4" width="13.7109375" customWidth="1"/>
    <col min="5" max="5" width="3.7109375" customWidth="1"/>
    <col min="6" max="8" width="13.7109375" customWidth="1"/>
    <col min="9" max="9" width="3.7109375" customWidth="1"/>
    <col min="10" max="12" width="13.7109375" customWidth="1"/>
    <col min="13" max="13" width="3.7109375" customWidth="1"/>
    <col min="14" max="16" width="13.7109375" customWidth="1"/>
    <col min="17" max="17" width="3.7109375" customWidth="1"/>
  </cols>
  <sheetData>
    <row r="1" spans="2:16" ht="18" customHeight="1"/>
    <row r="2" spans="2:16" ht="34" customHeight="1">
      <c r="B2" s="31" t="str">
        <f>IF(BusinessName="","Your Catering Business",BusinessName)</f>
        <v>Your Catering Business</v>
      </c>
      <c r="C2" s="31"/>
      <c r="D2" s="31"/>
      <c r="E2" s="31"/>
      <c r="F2" s="31"/>
      <c r="G2" s="31"/>
      <c r="H2" s="31"/>
      <c r="I2" s="31"/>
      <c r="J2" s="31"/>
      <c r="K2" s="32" t="str">
        <f>"Cash in  "&amp;Currency&amp;TEXT('_Data'!$AF$2,"#,##0")</f>
        <v>Cash in  0</v>
      </c>
      <c r="L2" s="32"/>
      <c r="M2" s="32"/>
      <c r="N2" s="32"/>
      <c r="O2" s="32"/>
      <c r="P2" s="32"/>
    </row>
    <row r="3" spans="2:16" ht="22" customHeight="1">
      <c r="B3" s="33" t="str">
        <f>IF('⚙️ Setup'!$C$7="","Events • Clients • Quotes • Food Cost • Profit",'⚙️ Setup'!$C$7)</f>
        <v>Events • Clients • Quotes • Food Cost • Profit</v>
      </c>
      <c r="C3" s="33"/>
      <c r="D3" s="33"/>
      <c r="E3" s="33"/>
      <c r="F3" s="33"/>
      <c r="G3" s="33"/>
      <c r="H3" s="33"/>
      <c r="I3" s="33"/>
      <c r="J3" s="33"/>
      <c r="K3" s="33"/>
      <c r="L3" s="33"/>
      <c r="M3" s="33"/>
      <c r="N3" s="33"/>
      <c r="O3" s="33"/>
      <c r="P3" s="33"/>
    </row>
    <row r="4" spans="2:16" ht="18" customHeight="1"/>
    <row r="5" spans="2:16" ht="20" customHeight="1">
      <c r="B5" s="34" t="s">
        <v>168</v>
      </c>
      <c r="C5" s="34"/>
      <c r="D5" s="34"/>
      <c r="F5" s="34" t="s">
        <v>169</v>
      </c>
      <c r="G5" s="34"/>
      <c r="H5" s="34"/>
      <c r="J5" s="34" t="s">
        <v>170</v>
      </c>
      <c r="K5" s="34"/>
      <c r="L5" s="34"/>
      <c r="N5" s="34" t="s">
        <v>171</v>
      </c>
      <c r="O5" s="34"/>
      <c r="P5" s="34"/>
    </row>
    <row r="6" spans="2:16" ht="40" customHeight="1">
      <c r="B6" s="35">
        <f>'_Data'!$AF$2</f>
        <v>0</v>
      </c>
      <c r="C6" s="35"/>
      <c r="D6" s="35"/>
      <c r="F6" s="36">
        <f>'_Data'!$AF$3</f>
        <v>0</v>
      </c>
      <c r="G6" s="36"/>
      <c r="H6" s="36"/>
      <c r="J6" s="37">
        <f>'_Data'!$AF$4</f>
        <v>0</v>
      </c>
      <c r="K6" s="37"/>
      <c r="L6" s="37"/>
      <c r="N6" s="38">
        <f>'_Data'!$AF$5</f>
        <v>0</v>
      </c>
      <c r="O6" s="38"/>
      <c r="P6" s="38"/>
    </row>
    <row r="7" spans="2:16" ht="8" customHeight="1"/>
    <row r="8" spans="2:16" ht="20" customHeight="1">
      <c r="B8" s="39" t="s">
        <v>172</v>
      </c>
      <c r="C8" s="39"/>
      <c r="D8" s="39"/>
      <c r="F8" s="39" t="s">
        <v>173</v>
      </c>
      <c r="G8" s="39"/>
      <c r="H8" s="39"/>
      <c r="J8" s="39" t="s">
        <v>174</v>
      </c>
      <c r="K8" s="39"/>
      <c r="L8" s="39"/>
      <c r="N8" s="39" t="s">
        <v>175</v>
      </c>
      <c r="O8" s="39"/>
      <c r="P8" s="39"/>
    </row>
    <row r="9" spans="2:16" ht="30" customHeight="1">
      <c r="B9" s="40">
        <f>COUNTIF('📅 Events'!$Q$8:$Q$47,"&lt;&gt;❌ Cancelled")+COUNTIF('📅 Events'!$Q$8:$Q$47,"❌ Cancelled")</f>
        <v>0</v>
      </c>
      <c r="C9" s="40"/>
      <c r="D9" s="40"/>
      <c r="F9" s="40">
        <f>'_Data'!$AF$8</f>
        <v>0</v>
      </c>
      <c r="G9" s="40"/>
      <c r="H9" s="40"/>
      <c r="J9" s="41">
        <f>'_Data'!$AF$14</f>
        <v>0</v>
      </c>
      <c r="K9" s="41"/>
      <c r="L9" s="41"/>
      <c r="N9" s="40">
        <f>'_Data'!$AF$15</f>
        <v>0</v>
      </c>
      <c r="O9" s="40"/>
      <c r="P9" s="40"/>
    </row>
    <row r="10" spans="2:16" ht="8" customHeight="1"/>
    <row r="11" spans="2:16" ht="20" customHeight="1">
      <c r="B11" s="39" t="s">
        <v>176</v>
      </c>
      <c r="C11" s="39"/>
      <c r="D11" s="39"/>
      <c r="F11" s="39" t="s">
        <v>177</v>
      </c>
      <c r="G11" s="39"/>
      <c r="H11" s="39"/>
      <c r="J11" s="39" t="s">
        <v>178</v>
      </c>
      <c r="K11" s="39"/>
      <c r="L11" s="39"/>
      <c r="N11" s="39" t="s">
        <v>179</v>
      </c>
      <c r="O11" s="39"/>
      <c r="P11" s="39"/>
    </row>
    <row r="12" spans="2:16" ht="30" customHeight="1">
      <c r="B12" s="42">
        <f>'_Data'!$AF$19</f>
        <v>0</v>
      </c>
      <c r="C12" s="42"/>
      <c r="D12" s="42"/>
      <c r="F12" s="42">
        <f>'_Data'!$AF$20</f>
        <v>0</v>
      </c>
      <c r="G12" s="42"/>
      <c r="H12" s="42"/>
      <c r="J12" s="41">
        <f>'_Data'!$AF$10</f>
        <v>0</v>
      </c>
      <c r="K12" s="41"/>
      <c r="L12" s="41"/>
      <c r="N12" s="43">
        <f>'_Data'!$AF$13</f>
        <v>0</v>
      </c>
      <c r="O12" s="43"/>
      <c r="P12" s="43"/>
    </row>
    <row r="13" spans="2:16" ht="8" customHeight="1"/>
    <row r="14" spans="2:16" ht="18" customHeight="1"/>
    <row r="15" spans="2:16" ht="18" customHeight="1">
      <c r="B15" s="7" t="s">
        <v>180</v>
      </c>
      <c r="C15" s="7"/>
      <c r="D15" s="7"/>
      <c r="E15" s="7"/>
      <c r="F15" s="7"/>
      <c r="G15" s="7"/>
      <c r="H15" s="7"/>
      <c r="I15" s="7"/>
      <c r="J15" s="7"/>
      <c r="K15" s="7"/>
      <c r="L15" s="7"/>
      <c r="M15" s="7"/>
      <c r="N15" s="7"/>
      <c r="O15" s="7"/>
      <c r="P15" s="7"/>
    </row>
    <row r="16" spans="2:16" ht="18" customHeight="1">
      <c r="B16" s="44" t="s">
        <v>181</v>
      </c>
      <c r="C16" s="44"/>
      <c r="D16" s="44"/>
      <c r="E16" s="45" t="str">
        <f>IFERROR(REPT("█",ROUND(MIN(1,IFERROR(('_Data'!$AF$2)/(SUM('💰 Payments'!$F$8:$F$67)),0))*18,0))&amp;REPT("░",18-ROUND(MIN(1,IFERROR(('_Data'!$AF$2)/(SUM('💰 Payments'!$F$8:$F$67)),0))*18,0)),"░░░░░░░░░░░░░░░░░░")</f>
        <v>░░░░░░░░░░░░░░░░░░</v>
      </c>
      <c r="F16" s="45"/>
      <c r="G16" s="45"/>
      <c r="H16" s="45"/>
      <c r="I16" s="45"/>
      <c r="J16" s="45"/>
      <c r="K16" s="45"/>
      <c r="L16" s="45"/>
      <c r="M16" s="46" t="str">
        <f>IFERROR(TEXT(MIN(1,'_Data'!$AF$2/(SUM('💰 Payments'!$F$8:$F$67))),"0%"),"0%")</f>
        <v>0%</v>
      </c>
      <c r="N16" s="46"/>
      <c r="O16" s="4"/>
      <c r="P16" s="4"/>
    </row>
    <row r="17" spans="2:16" ht="18" customHeight="1">
      <c r="B17" s="44" t="s">
        <v>182</v>
      </c>
      <c r="C17" s="44"/>
      <c r="D17" s="44"/>
      <c r="E17" s="45" t="str">
        <f>IFERROR(REPT("█",ROUND(MIN(1,IFERROR((SUM('💸 Expenses'!$G$8:$G$67))/('_Data'!$AF$2),0))*18,0))&amp;REPT("░",18-ROUND(MIN(1,IFERROR((SUM('💸 Expenses'!$G$8:$G$67))/('_Data'!$AF$2),0))*18,0)),"░░░░░░░░░░░░░░░░░░")</f>
        <v>░░░░░░░░░░░░░░░░░░</v>
      </c>
      <c r="F17" s="45"/>
      <c r="G17" s="45"/>
      <c r="H17" s="45"/>
      <c r="I17" s="45"/>
      <c r="J17" s="45"/>
      <c r="K17" s="45"/>
      <c r="L17" s="45"/>
      <c r="M17" s="46" t="str">
        <f>IFERROR(TEXT(MIN(1,SUM('💸 Expenses'!$G$8:$G$67)/('_Data'!$AF$2)),"0%"),"0%")</f>
        <v>0%</v>
      </c>
      <c r="N17" s="46"/>
      <c r="O17" s="4"/>
      <c r="P17" s="4"/>
    </row>
    <row r="18" spans="2:16" ht="18" customHeight="1"/>
    <row r="19" spans="2:16" ht="18" customHeight="1"/>
    <row r="20" spans="2:16" ht="18" customHeight="1">
      <c r="B20" s="7" t="s">
        <v>183</v>
      </c>
      <c r="C20" s="7"/>
      <c r="D20" s="7"/>
      <c r="E20" s="7"/>
      <c r="F20" s="7"/>
      <c r="G20" s="7"/>
      <c r="H20" s="7"/>
      <c r="I20" s="7"/>
      <c r="J20" s="7"/>
      <c r="K20" s="7"/>
      <c r="L20" s="7"/>
      <c r="M20" s="7"/>
      <c r="N20" s="7"/>
      <c r="O20" s="7"/>
      <c r="P20" s="7"/>
    </row>
    <row r="21" spans="2:16" ht="18" customHeight="1"/>
    <row r="22" spans="2:16" ht="18" customHeight="1"/>
    <row r="23" spans="2:16" ht="18" customHeight="1"/>
    <row r="24" spans="2:16" ht="18" customHeight="1"/>
    <row r="25" spans="2:16" ht="18" customHeight="1"/>
    <row r="26" spans="2:16" ht="18" customHeight="1"/>
    <row r="27" spans="2:16" ht="18" customHeight="1"/>
    <row r="28" spans="2:16" ht="18" customHeight="1"/>
    <row r="29" spans="2:16" ht="18" customHeight="1"/>
    <row r="30" spans="2:16" ht="18" customHeight="1"/>
    <row r="31" spans="2:16" ht="18" customHeight="1"/>
    <row r="32" spans="2:16"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spans="2:16" ht="18" customHeight="1"/>
    <row r="50" spans="2:16" ht="18" customHeight="1"/>
    <row r="51" spans="2:16" ht="18" customHeight="1"/>
    <row r="52" spans="2:16" ht="18" customHeight="1"/>
    <row r="53" spans="2:16" ht="18" customHeight="1"/>
    <row r="54" spans="2:16" ht="18" customHeight="1"/>
    <row r="55" spans="2:16" ht="18" customHeight="1"/>
    <row r="56" spans="2:16" ht="18" customHeight="1"/>
    <row r="57" spans="2:16" ht="18" customHeight="1"/>
    <row r="58" spans="2:16" ht="18" customHeight="1"/>
    <row r="59" spans="2:16" ht="18" customHeight="1"/>
    <row r="60" spans="2:16" ht="18" customHeight="1"/>
    <row r="61" spans="2:16" ht="18" customHeight="1"/>
    <row r="62" spans="2:16" ht="18" customHeight="1"/>
    <row r="63" spans="2:16" ht="18" customHeight="1"/>
    <row r="64" spans="2:16" ht="18" customHeight="1">
      <c r="B64" s="47" t="s">
        <v>184</v>
      </c>
      <c r="C64" s="47"/>
      <c r="D64" s="47"/>
      <c r="E64" s="47"/>
      <c r="F64" s="47"/>
      <c r="G64" s="47"/>
      <c r="H64" s="47"/>
      <c r="I64" s="47"/>
      <c r="J64" s="47"/>
      <c r="K64" s="47"/>
      <c r="L64" s="47"/>
      <c r="M64" s="47"/>
      <c r="N64" s="47"/>
      <c r="O64" s="47"/>
      <c r="P64" s="47"/>
    </row>
    <row r="65" spans="2:16" ht="18" customHeight="1"/>
    <row r="66" spans="2:16" ht="18" customHeight="1">
      <c r="B66" s="23" t="s">
        <v>185</v>
      </c>
      <c r="C66" s="23"/>
      <c r="D66" s="23"/>
      <c r="E66" s="24" t="s">
        <v>186</v>
      </c>
      <c r="F66" s="24"/>
      <c r="G66" s="24"/>
      <c r="H66" s="25" t="s">
        <v>163</v>
      </c>
      <c r="I66" s="25"/>
      <c r="J66" s="25"/>
      <c r="K66" s="26" t="s">
        <v>17</v>
      </c>
      <c r="L66" s="26"/>
      <c r="M66" s="26"/>
      <c r="N66" s="27" t="s">
        <v>164</v>
      </c>
      <c r="O66" s="27"/>
      <c r="P66" s="27"/>
    </row>
    <row r="67" spans="2:16" ht="24" customHeight="1">
      <c r="B67" s="28" t="s">
        <v>165</v>
      </c>
      <c r="C67" s="28"/>
      <c r="D67" s="28"/>
      <c r="E67" s="29" t="s">
        <v>166</v>
      </c>
      <c r="F67" s="29"/>
      <c r="G67" s="29"/>
      <c r="H67" s="30" t="s">
        <v>167</v>
      </c>
      <c r="I67" s="30"/>
      <c r="J67" s="30"/>
    </row>
    <row r="68" spans="2:16" ht="18" customHeight="1"/>
    <row r="69" spans="2:16" ht="18" customHeight="1"/>
    <row r="70" spans="2:16" ht="18" customHeight="1"/>
    <row r="71" spans="2:16" ht="18" customHeight="1"/>
    <row r="72" spans="2:16" ht="18" customHeight="1"/>
    <row r="73" spans="2:16" ht="18" customHeight="1"/>
    <row r="74" spans="2:16" ht="18" customHeight="1"/>
    <row r="75" spans="2:16" ht="18" customHeight="1"/>
    <row r="76" spans="2:16" ht="18" customHeight="1"/>
    <row r="77" spans="2:16" ht="18" customHeight="1"/>
    <row r="78" spans="2:16" ht="18" customHeight="1"/>
    <row r="79" spans="2:16" ht="18" customHeight="1"/>
    <row r="80" spans="2:16"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sheetData>
  <sheetProtection password="EC7C" sheet="1" formatCells="0" formatColumns="0" formatRows="0" insertColumns="0" insertRows="0" insertHyperlinks="0" deleteColumns="0" deleteRows="0" sort="0" autoFilter="0"/>
  <mergeCells count="46">
    <mergeCell ref="B2:J2"/>
    <mergeCell ref="K2:P2"/>
    <mergeCell ref="B3:P3"/>
    <mergeCell ref="B5:D5"/>
    <mergeCell ref="B6:D6"/>
    <mergeCell ref="F5:H5"/>
    <mergeCell ref="F6:H6"/>
    <mergeCell ref="J5:L5"/>
    <mergeCell ref="J6:L6"/>
    <mergeCell ref="N5:P5"/>
    <mergeCell ref="N6:P6"/>
    <mergeCell ref="B8:D8"/>
    <mergeCell ref="B9:D9"/>
    <mergeCell ref="F8:H8"/>
    <mergeCell ref="F9:H9"/>
    <mergeCell ref="J8:L8"/>
    <mergeCell ref="J9:L9"/>
    <mergeCell ref="N8:P8"/>
    <mergeCell ref="N9:P9"/>
    <mergeCell ref="B11:D11"/>
    <mergeCell ref="B12:D12"/>
    <mergeCell ref="F11:H11"/>
    <mergeCell ref="F12:H12"/>
    <mergeCell ref="J11:L11"/>
    <mergeCell ref="J12:L12"/>
    <mergeCell ref="N11:P11"/>
    <mergeCell ref="N12:P12"/>
    <mergeCell ref="B15:P15"/>
    <mergeCell ref="B16:D16"/>
    <mergeCell ref="E16:L16"/>
    <mergeCell ref="M16:N16"/>
    <mergeCell ref="O16:P16"/>
    <mergeCell ref="B17:D17"/>
    <mergeCell ref="E17:L17"/>
    <mergeCell ref="M17:N17"/>
    <mergeCell ref="O17:P17"/>
    <mergeCell ref="B20:P20"/>
    <mergeCell ref="B64:P64"/>
    <mergeCell ref="B66:D66"/>
    <mergeCell ref="E66:G66"/>
    <mergeCell ref="H66:J66"/>
    <mergeCell ref="K66:M66"/>
    <mergeCell ref="N66:P66"/>
    <mergeCell ref="B67:D67"/>
    <mergeCell ref="E67:G67"/>
    <mergeCell ref="H67:J67"/>
  </mergeCells>
  <hyperlinks>
    <hyperlink ref="B66" location="'⚙️ Setup'!A1" display="Setup"/>
    <hyperlink ref="E66" location="'📊 Dashboard'!A1" display="▶ 🏠 Home"/>
    <hyperlink ref="H66" location="'👥 Clients'!A1" display="Clients"/>
    <hyperlink ref="K66" location="'📅 Events'!A1" display="Events"/>
    <hyperlink ref="N66" location="'🧮 Quote Calculator'!A1" display="Quote"/>
    <hyperlink ref="B67" location="'💸 Expenses'!A1" display="Expenses"/>
    <hyperlink ref="E67" location="'💰 Payments'!A1" display="Payments"/>
    <hyperlink ref="H6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4.xml><?xml version="1.0" encoding="utf-8"?>
<worksheet xmlns="http://schemas.openxmlformats.org/spreadsheetml/2006/main" xmlns:r="http://schemas.openxmlformats.org/officeDocument/2006/relationships">
  <sheetPr>
    <tabColor rgb="FFC4482F"/>
    <pageSetUpPr fitToPage="1"/>
  </sheetPr>
  <dimension ref="A1:O5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0.7109375" customWidth="1"/>
    <col min="4" max="4" width="14.7109375" customWidth="1"/>
    <col min="5" max="5" width="30.7109375" customWidth="1"/>
    <col min="6" max="6" width="12.7109375" customWidth="1"/>
    <col min="7" max="7" width="13.7109375" customWidth="1"/>
    <col min="8" max="8" width="8.7109375" customWidth="1"/>
    <col min="9" max="9" width="26.7109375" customWidth="1"/>
    <col min="10" max="10" width="16.7109375" customWidth="1"/>
    <col min="11" max="13" width="11.7109375" customWidth="1"/>
    <col min="14" max="14" width="15.7109375" customWidth="1"/>
    <col min="15" max="15" width="26.7109375" customWidth="1"/>
  </cols>
  <sheetData>
    <row r="1" spans="2:15" ht="7" customHeight="1"/>
    <row r="2" spans="2:15" ht="30" customHeight="1">
      <c r="B2" s="3" t="s">
        <v>163</v>
      </c>
      <c r="C2" s="3"/>
      <c r="D2" s="3"/>
      <c r="E2" s="3"/>
      <c r="F2" s="3"/>
      <c r="G2" s="3"/>
      <c r="H2" s="3"/>
      <c r="I2" s="3"/>
      <c r="J2" s="3"/>
      <c r="K2" s="3"/>
      <c r="L2" s="3"/>
      <c r="M2" s="4"/>
      <c r="N2" s="4"/>
      <c r="O2" s="4"/>
    </row>
    <row r="3" spans="2:15" ht="18" customHeight="1">
      <c r="B3" s="5" t="s">
        <v>187</v>
      </c>
      <c r="C3" s="5"/>
      <c r="D3" s="5"/>
      <c r="E3" s="5"/>
      <c r="F3" s="5"/>
      <c r="G3" s="5"/>
      <c r="H3" s="5"/>
      <c r="I3" s="5"/>
      <c r="J3" s="5"/>
      <c r="K3" s="5"/>
      <c r="L3" s="5"/>
      <c r="M3" s="6" t="s">
        <v>95</v>
      </c>
      <c r="N3" s="6"/>
      <c r="O3" s="6"/>
    </row>
    <row r="4" spans="2:15" ht="7" customHeight="1"/>
    <row r="5" spans="2:15" ht="26" customHeight="1">
      <c r="B5" s="48" t="str">
        <f>"Clients: "&amp;COUNTA('👥 Clients'!$C$8:$C$47)</f>
        <v>Clients: 0</v>
      </c>
      <c r="C5" s="48"/>
      <c r="D5" s="49" t="str">
        <f>"Repeat rate: "&amp;TEXT('_Data'!$AF$21,"0%")</f>
        <v>Repeat rate: 0%</v>
      </c>
      <c r="E5" s="49"/>
      <c r="F5" s="50" t="str">
        <f>"Quotes out: "&amp;Currency&amp;TEXT(SUM('👥 Clients'!$K$8:$K$47),"#,##0")</f>
        <v>Quotes out: $0</v>
      </c>
      <c r="G5" s="50"/>
      <c r="H5" s="51" t="str">
        <f>"Still owed: "&amp;Currency&amp;TEXT('_Data'!$AF$14,"#,##0")</f>
        <v>Still owed: $0</v>
      </c>
      <c r="I5" s="51"/>
    </row>
    <row r="6" spans="2:15" ht="7" customHeight="1"/>
    <row r="7" spans="2:15" ht="36" customHeight="1">
      <c r="B7" s="2" t="s">
        <v>188</v>
      </c>
      <c r="C7" s="52" t="s">
        <v>189</v>
      </c>
      <c r="D7" s="2" t="s">
        <v>190</v>
      </c>
      <c r="E7" s="2" t="s">
        <v>191</v>
      </c>
      <c r="F7" s="53" t="s">
        <v>192</v>
      </c>
      <c r="G7" s="2" t="s">
        <v>31</v>
      </c>
      <c r="H7" s="2" t="s">
        <v>193</v>
      </c>
      <c r="I7" s="2" t="s">
        <v>194</v>
      </c>
      <c r="J7" s="2" t="s">
        <v>195</v>
      </c>
      <c r="K7" s="54" t="s">
        <v>196</v>
      </c>
      <c r="L7" s="54" t="s">
        <v>197</v>
      </c>
      <c r="M7" s="2" t="s">
        <v>198</v>
      </c>
      <c r="N7" s="55" t="s">
        <v>199</v>
      </c>
      <c r="O7" s="2" t="s">
        <v>200</v>
      </c>
    </row>
    <row r="8" spans="2:15" ht="20" customHeight="1">
      <c r="B8" s="56">
        <f>IF($C8="","",ROW()-7)</f>
        <v/>
      </c>
      <c r="C8" s="14"/>
      <c r="D8" s="14"/>
      <c r="E8" s="14"/>
      <c r="F8" s="57"/>
      <c r="G8" s="58"/>
      <c r="H8" s="59"/>
      <c r="I8" s="14"/>
      <c r="J8" s="58"/>
      <c r="K8" s="60"/>
      <c r="L8" s="60"/>
      <c r="M8" s="61">
        <f>IF(OR($K8="",$L8=""),"",ROUND($K8-$L8,2))</f>
        <v/>
      </c>
      <c r="N8" s="58"/>
      <c r="O8" s="62"/>
    </row>
    <row r="9" spans="2:15" ht="20" customHeight="1">
      <c r="B9" s="63">
        <f>IF($C9="","",ROW()-7)</f>
        <v/>
      </c>
      <c r="C9" s="9"/>
      <c r="D9" s="9"/>
      <c r="E9" s="9"/>
      <c r="F9" s="64"/>
      <c r="G9" s="10"/>
      <c r="H9" s="65"/>
      <c r="I9" s="9"/>
      <c r="J9" s="10"/>
      <c r="K9" s="66"/>
      <c r="L9" s="66"/>
      <c r="M9" s="61">
        <f>IF(OR($K9="",$L9=""),"",ROUND($K9-$L9,2))</f>
        <v/>
      </c>
      <c r="N9" s="10"/>
      <c r="O9" s="67"/>
    </row>
    <row r="10" spans="2:15" ht="20" customHeight="1">
      <c r="B10" s="56">
        <f>IF($C10="","",ROW()-7)</f>
        <v/>
      </c>
      <c r="C10" s="14"/>
      <c r="D10" s="14"/>
      <c r="E10" s="14"/>
      <c r="F10" s="57"/>
      <c r="G10" s="58"/>
      <c r="H10" s="59"/>
      <c r="I10" s="14"/>
      <c r="J10" s="58"/>
      <c r="K10" s="60"/>
      <c r="L10" s="60"/>
      <c r="M10" s="61">
        <f>IF(OR($K10="",$L10=""),"",ROUND($K10-$L10,2))</f>
        <v/>
      </c>
      <c r="N10" s="58"/>
      <c r="O10" s="62"/>
    </row>
    <row r="11" spans="2:15" ht="20" customHeight="1">
      <c r="B11" s="63">
        <f>IF($C11="","",ROW()-7)</f>
        <v/>
      </c>
      <c r="C11" s="9"/>
      <c r="D11" s="9"/>
      <c r="E11" s="9"/>
      <c r="F11" s="64"/>
      <c r="G11" s="10"/>
      <c r="H11" s="65"/>
      <c r="I11" s="9"/>
      <c r="J11" s="10"/>
      <c r="K11" s="66"/>
      <c r="L11" s="66"/>
      <c r="M11" s="61">
        <f>IF(OR($K11="",$L11=""),"",ROUND($K11-$L11,2))</f>
        <v/>
      </c>
      <c r="N11" s="10"/>
      <c r="O11" s="67"/>
    </row>
    <row r="12" spans="2:15" ht="20" customHeight="1">
      <c r="B12" s="56">
        <f>IF($C12="","",ROW()-7)</f>
        <v/>
      </c>
      <c r="C12" s="14"/>
      <c r="D12" s="14"/>
      <c r="E12" s="14"/>
      <c r="F12" s="57"/>
      <c r="G12" s="58"/>
      <c r="H12" s="59"/>
      <c r="I12" s="14"/>
      <c r="J12" s="58"/>
      <c r="K12" s="60"/>
      <c r="L12" s="60"/>
      <c r="M12" s="61">
        <f>IF(OR($K12="",$L12=""),"",ROUND($K12-$L12,2))</f>
        <v/>
      </c>
      <c r="N12" s="58"/>
      <c r="O12" s="62"/>
    </row>
    <row r="13" spans="2:15" ht="20" customHeight="1">
      <c r="B13" s="63">
        <f>IF($C13="","",ROW()-7)</f>
        <v/>
      </c>
      <c r="C13" s="9"/>
      <c r="D13" s="9"/>
      <c r="E13" s="9"/>
      <c r="F13" s="64"/>
      <c r="G13" s="10"/>
      <c r="H13" s="65"/>
      <c r="I13" s="9"/>
      <c r="J13" s="10"/>
      <c r="K13" s="66"/>
      <c r="L13" s="66"/>
      <c r="M13" s="61">
        <f>IF(OR($K13="",$L13=""),"",ROUND($K13-$L13,2))</f>
        <v/>
      </c>
      <c r="N13" s="10"/>
      <c r="O13" s="67"/>
    </row>
    <row r="14" spans="2:15" ht="20" customHeight="1">
      <c r="B14" s="56">
        <f>IF($C14="","",ROW()-7)</f>
        <v/>
      </c>
      <c r="C14" s="14"/>
      <c r="D14" s="14"/>
      <c r="E14" s="14"/>
      <c r="F14" s="57"/>
      <c r="G14" s="58"/>
      <c r="H14" s="59"/>
      <c r="I14" s="14"/>
      <c r="J14" s="58"/>
      <c r="K14" s="60"/>
      <c r="L14" s="60"/>
      <c r="M14" s="61">
        <f>IF(OR($K14="",$L14=""),"",ROUND($K14-$L14,2))</f>
        <v/>
      </c>
      <c r="N14" s="58"/>
      <c r="O14" s="62"/>
    </row>
    <row r="15" spans="2:15" ht="20" customHeight="1">
      <c r="B15" s="63">
        <f>IF($C15="","",ROW()-7)</f>
        <v/>
      </c>
      <c r="C15" s="9"/>
      <c r="D15" s="9"/>
      <c r="E15" s="9"/>
      <c r="F15" s="64"/>
      <c r="G15" s="10"/>
      <c r="H15" s="65"/>
      <c r="I15" s="9"/>
      <c r="J15" s="10"/>
      <c r="K15" s="66"/>
      <c r="L15" s="66"/>
      <c r="M15" s="61">
        <f>IF(OR($K15="",$L15=""),"",ROUND($K15-$L15,2))</f>
        <v/>
      </c>
      <c r="N15" s="10"/>
      <c r="O15" s="67"/>
    </row>
    <row r="16" spans="2:15" ht="20" customHeight="1">
      <c r="B16" s="56">
        <f>IF($C16="","",ROW()-7)</f>
        <v/>
      </c>
      <c r="C16" s="14"/>
      <c r="D16" s="14"/>
      <c r="E16" s="14"/>
      <c r="F16" s="57"/>
      <c r="G16" s="58"/>
      <c r="H16" s="59"/>
      <c r="I16" s="14"/>
      <c r="J16" s="58"/>
      <c r="K16" s="60"/>
      <c r="L16" s="60"/>
      <c r="M16" s="61">
        <f>IF(OR($K16="",$L16=""),"",ROUND($K16-$L16,2))</f>
        <v/>
      </c>
      <c r="N16" s="58"/>
      <c r="O16" s="62"/>
    </row>
    <row r="17" spans="2:15" ht="20" customHeight="1">
      <c r="B17" s="63">
        <f>IF($C17="","",ROW()-7)</f>
        <v/>
      </c>
      <c r="C17" s="9"/>
      <c r="D17" s="9"/>
      <c r="E17" s="9"/>
      <c r="F17" s="64"/>
      <c r="G17" s="10"/>
      <c r="H17" s="65"/>
      <c r="I17" s="9"/>
      <c r="J17" s="10"/>
      <c r="K17" s="66"/>
      <c r="L17" s="66"/>
      <c r="M17" s="61">
        <f>IF(OR($K17="",$L17=""),"",ROUND($K17-$L17,2))</f>
        <v/>
      </c>
      <c r="N17" s="10"/>
      <c r="O17" s="67"/>
    </row>
    <row r="18" spans="2:15" ht="20" customHeight="1">
      <c r="B18" s="56">
        <f>IF($C18="","",ROW()-7)</f>
        <v/>
      </c>
      <c r="C18" s="14"/>
      <c r="D18" s="14"/>
      <c r="E18" s="14"/>
      <c r="F18" s="57"/>
      <c r="G18" s="58"/>
      <c r="H18" s="59"/>
      <c r="I18" s="14"/>
      <c r="J18" s="58"/>
      <c r="K18" s="60"/>
      <c r="L18" s="60"/>
      <c r="M18" s="61">
        <f>IF(OR($K18="",$L18=""),"",ROUND($K18-$L18,2))</f>
        <v/>
      </c>
      <c r="N18" s="58"/>
      <c r="O18" s="62"/>
    </row>
    <row r="19" spans="2:15" ht="20" customHeight="1">
      <c r="B19" s="63">
        <f>IF($C19="","",ROW()-7)</f>
        <v/>
      </c>
      <c r="C19" s="9"/>
      <c r="D19" s="9"/>
      <c r="E19" s="9"/>
      <c r="F19" s="64"/>
      <c r="G19" s="10"/>
      <c r="H19" s="65"/>
      <c r="I19" s="9"/>
      <c r="J19" s="10"/>
      <c r="K19" s="66"/>
      <c r="L19" s="66"/>
      <c r="M19" s="61">
        <f>IF(OR($K19="",$L19=""),"",ROUND($K19-$L19,2))</f>
        <v/>
      </c>
      <c r="N19" s="10"/>
      <c r="O19" s="67"/>
    </row>
    <row r="20" spans="2:15" ht="20" customHeight="1">
      <c r="B20" s="56">
        <f>IF($C20="","",ROW()-7)</f>
        <v/>
      </c>
      <c r="C20" s="14"/>
      <c r="D20" s="14"/>
      <c r="E20" s="14"/>
      <c r="F20" s="57"/>
      <c r="G20" s="58"/>
      <c r="H20" s="59"/>
      <c r="I20" s="14"/>
      <c r="J20" s="58"/>
      <c r="K20" s="60"/>
      <c r="L20" s="60"/>
      <c r="M20" s="61">
        <f>IF(OR($K20="",$L20=""),"",ROUND($K20-$L20,2))</f>
        <v/>
      </c>
      <c r="N20" s="58"/>
      <c r="O20" s="62"/>
    </row>
    <row r="21" spans="2:15" ht="20" customHeight="1">
      <c r="B21" s="63">
        <f>IF($C21="","",ROW()-7)</f>
        <v/>
      </c>
      <c r="C21" s="9"/>
      <c r="D21" s="9"/>
      <c r="E21" s="9"/>
      <c r="F21" s="64"/>
      <c r="G21" s="10"/>
      <c r="H21" s="65"/>
      <c r="I21" s="9"/>
      <c r="J21" s="10"/>
      <c r="K21" s="66"/>
      <c r="L21" s="66"/>
      <c r="M21" s="61">
        <f>IF(OR($K21="",$L21=""),"",ROUND($K21-$L21,2))</f>
        <v/>
      </c>
      <c r="N21" s="10"/>
      <c r="O21" s="67"/>
    </row>
    <row r="22" spans="2:15" ht="20" customHeight="1">
      <c r="B22" s="56">
        <f>IF($C22="","",ROW()-7)</f>
        <v/>
      </c>
      <c r="C22" s="14"/>
      <c r="D22" s="14"/>
      <c r="E22" s="14"/>
      <c r="F22" s="57"/>
      <c r="G22" s="58"/>
      <c r="H22" s="59"/>
      <c r="I22" s="14"/>
      <c r="J22" s="58"/>
      <c r="K22" s="60"/>
      <c r="L22" s="60"/>
      <c r="M22" s="61">
        <f>IF(OR($K22="",$L22=""),"",ROUND($K22-$L22,2))</f>
        <v/>
      </c>
      <c r="N22" s="58"/>
      <c r="O22" s="62"/>
    </row>
    <row r="23" spans="2:15" ht="20" customHeight="1">
      <c r="B23" s="63">
        <f>IF($C23="","",ROW()-7)</f>
        <v/>
      </c>
      <c r="C23" s="9"/>
      <c r="D23" s="9"/>
      <c r="E23" s="9"/>
      <c r="F23" s="64"/>
      <c r="G23" s="10"/>
      <c r="H23" s="65"/>
      <c r="I23" s="9"/>
      <c r="J23" s="10"/>
      <c r="K23" s="66"/>
      <c r="L23" s="66"/>
      <c r="M23" s="61">
        <f>IF(OR($K23="",$L23=""),"",ROUND($K23-$L23,2))</f>
        <v/>
      </c>
      <c r="N23" s="10"/>
      <c r="O23" s="67"/>
    </row>
    <row r="24" spans="2:15" ht="20" customHeight="1">
      <c r="B24" s="56">
        <f>IF($C24="","",ROW()-7)</f>
        <v/>
      </c>
      <c r="C24" s="14"/>
      <c r="D24" s="14"/>
      <c r="E24" s="14"/>
      <c r="F24" s="57"/>
      <c r="G24" s="58"/>
      <c r="H24" s="59"/>
      <c r="I24" s="14"/>
      <c r="J24" s="58"/>
      <c r="K24" s="60"/>
      <c r="L24" s="60"/>
      <c r="M24" s="61">
        <f>IF(OR($K24="",$L24=""),"",ROUND($K24-$L24,2))</f>
        <v/>
      </c>
      <c r="N24" s="58"/>
      <c r="O24" s="62"/>
    </row>
    <row r="25" spans="2:15" ht="20" customHeight="1">
      <c r="B25" s="63">
        <f>IF($C25="","",ROW()-7)</f>
        <v/>
      </c>
      <c r="C25" s="9"/>
      <c r="D25" s="9"/>
      <c r="E25" s="9"/>
      <c r="F25" s="64"/>
      <c r="G25" s="10"/>
      <c r="H25" s="65"/>
      <c r="I25" s="9"/>
      <c r="J25" s="10"/>
      <c r="K25" s="66"/>
      <c r="L25" s="66"/>
      <c r="M25" s="61">
        <f>IF(OR($K25="",$L25=""),"",ROUND($K25-$L25,2))</f>
        <v/>
      </c>
      <c r="N25" s="10"/>
      <c r="O25" s="67"/>
    </row>
    <row r="26" spans="2:15" ht="20" customHeight="1">
      <c r="B26" s="56">
        <f>IF($C26="","",ROW()-7)</f>
        <v/>
      </c>
      <c r="C26" s="14"/>
      <c r="D26" s="14"/>
      <c r="E26" s="14"/>
      <c r="F26" s="57"/>
      <c r="G26" s="58"/>
      <c r="H26" s="59"/>
      <c r="I26" s="14"/>
      <c r="J26" s="58"/>
      <c r="K26" s="60"/>
      <c r="L26" s="60"/>
      <c r="M26" s="61">
        <f>IF(OR($K26="",$L26=""),"",ROUND($K26-$L26,2))</f>
        <v/>
      </c>
      <c r="N26" s="58"/>
      <c r="O26" s="62"/>
    </row>
    <row r="27" spans="2:15" ht="20" customHeight="1">
      <c r="B27" s="63">
        <f>IF($C27="","",ROW()-7)</f>
        <v/>
      </c>
      <c r="C27" s="9"/>
      <c r="D27" s="9"/>
      <c r="E27" s="9"/>
      <c r="F27" s="64"/>
      <c r="G27" s="10"/>
      <c r="H27" s="65"/>
      <c r="I27" s="9"/>
      <c r="J27" s="10"/>
      <c r="K27" s="66"/>
      <c r="L27" s="66"/>
      <c r="M27" s="61">
        <f>IF(OR($K27="",$L27=""),"",ROUND($K27-$L27,2))</f>
        <v/>
      </c>
      <c r="N27" s="10"/>
      <c r="O27" s="67"/>
    </row>
    <row r="28" spans="2:15" ht="20" customHeight="1">
      <c r="B28" s="56">
        <f>IF($C28="","",ROW()-7)</f>
        <v/>
      </c>
      <c r="C28" s="14"/>
      <c r="D28" s="14"/>
      <c r="E28" s="14"/>
      <c r="F28" s="57"/>
      <c r="G28" s="58"/>
      <c r="H28" s="59"/>
      <c r="I28" s="14"/>
      <c r="J28" s="58"/>
      <c r="K28" s="60"/>
      <c r="L28" s="60"/>
      <c r="M28" s="61">
        <f>IF(OR($K28="",$L28=""),"",ROUND($K28-$L28,2))</f>
        <v/>
      </c>
      <c r="N28" s="58"/>
      <c r="O28" s="62"/>
    </row>
    <row r="29" spans="2:15" ht="20" customHeight="1">
      <c r="B29" s="63">
        <f>IF($C29="","",ROW()-7)</f>
        <v/>
      </c>
      <c r="C29" s="9"/>
      <c r="D29" s="9"/>
      <c r="E29" s="9"/>
      <c r="F29" s="64"/>
      <c r="G29" s="10"/>
      <c r="H29" s="65"/>
      <c r="I29" s="9"/>
      <c r="J29" s="10"/>
      <c r="K29" s="66"/>
      <c r="L29" s="66"/>
      <c r="M29" s="61">
        <f>IF(OR($K29="",$L29=""),"",ROUND($K29-$L29,2))</f>
        <v/>
      </c>
      <c r="N29" s="10"/>
      <c r="O29" s="67"/>
    </row>
    <row r="30" spans="2:15" ht="20" customHeight="1">
      <c r="B30" s="56">
        <f>IF($C30="","",ROW()-7)</f>
        <v/>
      </c>
      <c r="C30" s="14"/>
      <c r="D30" s="14"/>
      <c r="E30" s="14"/>
      <c r="F30" s="57"/>
      <c r="G30" s="58"/>
      <c r="H30" s="59"/>
      <c r="I30" s="14"/>
      <c r="J30" s="58"/>
      <c r="K30" s="60"/>
      <c r="L30" s="60"/>
      <c r="M30" s="61">
        <f>IF(OR($K30="",$L30=""),"",ROUND($K30-$L30,2))</f>
        <v/>
      </c>
      <c r="N30" s="58"/>
      <c r="O30" s="62"/>
    </row>
    <row r="31" spans="2:15" ht="20" customHeight="1">
      <c r="B31" s="63">
        <f>IF($C31="","",ROW()-7)</f>
        <v/>
      </c>
      <c r="C31" s="9"/>
      <c r="D31" s="9"/>
      <c r="E31" s="9"/>
      <c r="F31" s="64"/>
      <c r="G31" s="10"/>
      <c r="H31" s="65"/>
      <c r="I31" s="9"/>
      <c r="J31" s="10"/>
      <c r="K31" s="66"/>
      <c r="L31" s="66"/>
      <c r="M31" s="61">
        <f>IF(OR($K31="",$L31=""),"",ROUND($K31-$L31,2))</f>
        <v/>
      </c>
      <c r="N31" s="10"/>
      <c r="O31" s="67"/>
    </row>
    <row r="32" spans="2:15" ht="20" customHeight="1">
      <c r="B32" s="56">
        <f>IF($C32="","",ROW()-7)</f>
        <v/>
      </c>
      <c r="C32" s="14"/>
      <c r="D32" s="14"/>
      <c r="E32" s="14"/>
      <c r="F32" s="57"/>
      <c r="G32" s="58"/>
      <c r="H32" s="59"/>
      <c r="I32" s="14"/>
      <c r="J32" s="58"/>
      <c r="K32" s="60"/>
      <c r="L32" s="60"/>
      <c r="M32" s="61">
        <f>IF(OR($K32="",$L32=""),"",ROUND($K32-$L32,2))</f>
        <v/>
      </c>
      <c r="N32" s="58"/>
      <c r="O32" s="62"/>
    </row>
    <row r="33" spans="2:15" ht="20" customHeight="1">
      <c r="B33" s="63">
        <f>IF($C33="","",ROW()-7)</f>
        <v/>
      </c>
      <c r="C33" s="9"/>
      <c r="D33" s="9"/>
      <c r="E33" s="9"/>
      <c r="F33" s="64"/>
      <c r="G33" s="10"/>
      <c r="H33" s="65"/>
      <c r="I33" s="9"/>
      <c r="J33" s="10"/>
      <c r="K33" s="66"/>
      <c r="L33" s="66"/>
      <c r="M33" s="61">
        <f>IF(OR($K33="",$L33=""),"",ROUND($K33-$L33,2))</f>
        <v/>
      </c>
      <c r="N33" s="10"/>
      <c r="O33" s="67"/>
    </row>
    <row r="34" spans="2:15" ht="20" customHeight="1">
      <c r="B34" s="56">
        <f>IF($C34="","",ROW()-7)</f>
        <v/>
      </c>
      <c r="C34" s="14"/>
      <c r="D34" s="14"/>
      <c r="E34" s="14"/>
      <c r="F34" s="57"/>
      <c r="G34" s="58"/>
      <c r="H34" s="59"/>
      <c r="I34" s="14"/>
      <c r="J34" s="58"/>
      <c r="K34" s="60"/>
      <c r="L34" s="60"/>
      <c r="M34" s="61">
        <f>IF(OR($K34="",$L34=""),"",ROUND($K34-$L34,2))</f>
        <v/>
      </c>
      <c r="N34" s="58"/>
      <c r="O34" s="62"/>
    </row>
    <row r="35" spans="2:15" ht="20" customHeight="1">
      <c r="B35" s="63">
        <f>IF($C35="","",ROW()-7)</f>
        <v/>
      </c>
      <c r="C35" s="9"/>
      <c r="D35" s="9"/>
      <c r="E35" s="9"/>
      <c r="F35" s="64"/>
      <c r="G35" s="10"/>
      <c r="H35" s="65"/>
      <c r="I35" s="9"/>
      <c r="J35" s="10"/>
      <c r="K35" s="66"/>
      <c r="L35" s="66"/>
      <c r="M35" s="61">
        <f>IF(OR($K35="",$L35=""),"",ROUND($K35-$L35,2))</f>
        <v/>
      </c>
      <c r="N35" s="10"/>
      <c r="O35" s="67"/>
    </row>
    <row r="36" spans="2:15" ht="20" customHeight="1">
      <c r="B36" s="56">
        <f>IF($C36="","",ROW()-7)</f>
        <v/>
      </c>
      <c r="C36" s="14"/>
      <c r="D36" s="14"/>
      <c r="E36" s="14"/>
      <c r="F36" s="57"/>
      <c r="G36" s="58"/>
      <c r="H36" s="59"/>
      <c r="I36" s="14"/>
      <c r="J36" s="58"/>
      <c r="K36" s="60"/>
      <c r="L36" s="60"/>
      <c r="M36" s="61">
        <f>IF(OR($K36="",$L36=""),"",ROUND($K36-$L36,2))</f>
        <v/>
      </c>
      <c r="N36" s="58"/>
      <c r="O36" s="62"/>
    </row>
    <row r="37" spans="2:15" ht="20" customHeight="1">
      <c r="B37" s="63">
        <f>IF($C37="","",ROW()-7)</f>
        <v/>
      </c>
      <c r="C37" s="9"/>
      <c r="D37" s="9"/>
      <c r="E37" s="9"/>
      <c r="F37" s="64"/>
      <c r="G37" s="10"/>
      <c r="H37" s="65"/>
      <c r="I37" s="9"/>
      <c r="J37" s="10"/>
      <c r="K37" s="66"/>
      <c r="L37" s="66"/>
      <c r="M37" s="61">
        <f>IF(OR($K37="",$L37=""),"",ROUND($K37-$L37,2))</f>
        <v/>
      </c>
      <c r="N37" s="10"/>
      <c r="O37" s="67"/>
    </row>
    <row r="38" spans="2:15" ht="20" customHeight="1">
      <c r="B38" s="56">
        <f>IF($C38="","",ROW()-7)</f>
        <v/>
      </c>
      <c r="C38" s="14"/>
      <c r="D38" s="14"/>
      <c r="E38" s="14"/>
      <c r="F38" s="57"/>
      <c r="G38" s="58"/>
      <c r="H38" s="59"/>
      <c r="I38" s="14"/>
      <c r="J38" s="58"/>
      <c r="K38" s="60"/>
      <c r="L38" s="60"/>
      <c r="M38" s="61">
        <f>IF(OR($K38="",$L38=""),"",ROUND($K38-$L38,2))</f>
        <v/>
      </c>
      <c r="N38" s="58"/>
      <c r="O38" s="62"/>
    </row>
    <row r="39" spans="2:15" ht="20" customHeight="1">
      <c r="B39" s="63">
        <f>IF($C39="","",ROW()-7)</f>
        <v/>
      </c>
      <c r="C39" s="9"/>
      <c r="D39" s="9"/>
      <c r="E39" s="9"/>
      <c r="F39" s="64"/>
      <c r="G39" s="10"/>
      <c r="H39" s="65"/>
      <c r="I39" s="9"/>
      <c r="J39" s="10"/>
      <c r="K39" s="66"/>
      <c r="L39" s="66"/>
      <c r="M39" s="61">
        <f>IF(OR($K39="",$L39=""),"",ROUND($K39-$L39,2))</f>
        <v/>
      </c>
      <c r="N39" s="10"/>
      <c r="O39" s="67"/>
    </row>
    <row r="40" spans="2:15" ht="20" customHeight="1">
      <c r="B40" s="56">
        <f>IF($C40="","",ROW()-7)</f>
        <v/>
      </c>
      <c r="C40" s="14"/>
      <c r="D40" s="14"/>
      <c r="E40" s="14"/>
      <c r="F40" s="57"/>
      <c r="G40" s="58"/>
      <c r="H40" s="59"/>
      <c r="I40" s="14"/>
      <c r="J40" s="58"/>
      <c r="K40" s="60"/>
      <c r="L40" s="60"/>
      <c r="M40" s="61">
        <f>IF(OR($K40="",$L40=""),"",ROUND($K40-$L40,2))</f>
        <v/>
      </c>
      <c r="N40" s="58"/>
      <c r="O40" s="62"/>
    </row>
    <row r="41" spans="2:15" ht="20" customHeight="1">
      <c r="B41" s="63">
        <f>IF($C41="","",ROW()-7)</f>
        <v/>
      </c>
      <c r="C41" s="9"/>
      <c r="D41" s="9"/>
      <c r="E41" s="9"/>
      <c r="F41" s="64"/>
      <c r="G41" s="10"/>
      <c r="H41" s="65"/>
      <c r="I41" s="9"/>
      <c r="J41" s="10"/>
      <c r="K41" s="66"/>
      <c r="L41" s="66"/>
      <c r="M41" s="61">
        <f>IF(OR($K41="",$L41=""),"",ROUND($K41-$L41,2))</f>
        <v/>
      </c>
      <c r="N41" s="10"/>
      <c r="O41" s="67"/>
    </row>
    <row r="42" spans="2:15" ht="20" customHeight="1">
      <c r="B42" s="56">
        <f>IF($C42="","",ROW()-7)</f>
        <v/>
      </c>
      <c r="C42" s="14"/>
      <c r="D42" s="14"/>
      <c r="E42" s="14"/>
      <c r="F42" s="57"/>
      <c r="G42" s="58"/>
      <c r="H42" s="59"/>
      <c r="I42" s="14"/>
      <c r="J42" s="58"/>
      <c r="K42" s="60"/>
      <c r="L42" s="60"/>
      <c r="M42" s="61">
        <f>IF(OR($K42="",$L42=""),"",ROUND($K42-$L42,2))</f>
        <v/>
      </c>
      <c r="N42" s="58"/>
      <c r="O42" s="62"/>
    </row>
    <row r="43" spans="2:15" ht="20" customHeight="1">
      <c r="B43" s="63">
        <f>IF($C43="","",ROW()-7)</f>
        <v/>
      </c>
      <c r="C43" s="9"/>
      <c r="D43" s="9"/>
      <c r="E43" s="9"/>
      <c r="F43" s="64"/>
      <c r="G43" s="10"/>
      <c r="H43" s="65"/>
      <c r="I43" s="9"/>
      <c r="J43" s="10"/>
      <c r="K43" s="66"/>
      <c r="L43" s="66"/>
      <c r="M43" s="61">
        <f>IF(OR($K43="",$L43=""),"",ROUND($K43-$L43,2))</f>
        <v/>
      </c>
      <c r="N43" s="10"/>
      <c r="O43" s="67"/>
    </row>
    <row r="44" spans="2:15" ht="20" customHeight="1">
      <c r="B44" s="56">
        <f>IF($C44="","",ROW()-7)</f>
        <v/>
      </c>
      <c r="C44" s="14"/>
      <c r="D44" s="14"/>
      <c r="E44" s="14"/>
      <c r="F44" s="57"/>
      <c r="G44" s="58"/>
      <c r="H44" s="59"/>
      <c r="I44" s="14"/>
      <c r="J44" s="58"/>
      <c r="K44" s="60"/>
      <c r="L44" s="60"/>
      <c r="M44" s="61">
        <f>IF(OR($K44="",$L44=""),"",ROUND($K44-$L44,2))</f>
        <v/>
      </c>
      <c r="N44" s="58"/>
      <c r="O44" s="62"/>
    </row>
    <row r="45" spans="2:15" ht="20" customHeight="1">
      <c r="B45" s="63">
        <f>IF($C45="","",ROW()-7)</f>
        <v/>
      </c>
      <c r="C45" s="9"/>
      <c r="D45" s="9"/>
      <c r="E45" s="9"/>
      <c r="F45" s="64"/>
      <c r="G45" s="10"/>
      <c r="H45" s="65"/>
      <c r="I45" s="9"/>
      <c r="J45" s="10"/>
      <c r="K45" s="66"/>
      <c r="L45" s="66"/>
      <c r="M45" s="61">
        <f>IF(OR($K45="",$L45=""),"",ROUND($K45-$L45,2))</f>
        <v/>
      </c>
      <c r="N45" s="10"/>
      <c r="O45" s="67"/>
    </row>
    <row r="46" spans="2:15" ht="20" customHeight="1">
      <c r="B46" s="56">
        <f>IF($C46="","",ROW()-7)</f>
        <v/>
      </c>
      <c r="C46" s="14"/>
      <c r="D46" s="14"/>
      <c r="E46" s="14"/>
      <c r="F46" s="57"/>
      <c r="G46" s="58"/>
      <c r="H46" s="59"/>
      <c r="I46" s="14"/>
      <c r="J46" s="58"/>
      <c r="K46" s="60"/>
      <c r="L46" s="60"/>
      <c r="M46" s="61">
        <f>IF(OR($K46="",$L46=""),"",ROUND($K46-$L46,2))</f>
        <v/>
      </c>
      <c r="N46" s="58"/>
      <c r="O46" s="62"/>
    </row>
    <row r="47" spans="2:15" ht="20" customHeight="1">
      <c r="B47" s="63">
        <f>IF($C47="","",ROW()-7)</f>
        <v/>
      </c>
      <c r="C47" s="9"/>
      <c r="D47" s="9"/>
      <c r="E47" s="9"/>
      <c r="F47" s="64"/>
      <c r="G47" s="10"/>
      <c r="H47" s="65"/>
      <c r="I47" s="9"/>
      <c r="J47" s="10"/>
      <c r="K47" s="66"/>
      <c r="L47" s="66"/>
      <c r="M47" s="61">
        <f>IF(OR($K47="",$L47=""),"",ROUND($K47-$L47,2))</f>
        <v/>
      </c>
      <c r="N47" s="10"/>
      <c r="O47" s="67"/>
    </row>
    <row r="48" spans="2:15" ht="24" customHeight="1">
      <c r="B48" s="68" t="s">
        <v>201</v>
      </c>
      <c r="C48" s="68"/>
      <c r="D48" s="69"/>
      <c r="E48" s="69"/>
      <c r="F48" s="69"/>
      <c r="G48" s="69"/>
      <c r="H48" s="70">
        <f>SUM('👥 Clients'!$H$8:$H$47)</f>
        <v>0</v>
      </c>
      <c r="I48" s="69"/>
      <c r="J48" s="69"/>
      <c r="K48" s="70">
        <f>SUM('👥 Clients'!$K$8:$K$47)</f>
        <v>0</v>
      </c>
      <c r="L48" s="70">
        <f>SUM('👥 Clients'!$L$8:$L$47)</f>
        <v>0</v>
      </c>
      <c r="M48" s="70">
        <f>SUM('👥 Clients'!$K$8:$K$47)-SUM('👥 Clients'!$L$8:$L$47)</f>
        <v>0</v>
      </c>
      <c r="N48" s="69"/>
      <c r="O48" s="69"/>
    </row>
    <row r="50" spans="2:15" ht="22" customHeight="1">
      <c r="B50" s="15" t="s">
        <v>202</v>
      </c>
      <c r="C50" s="15"/>
      <c r="D50" s="15"/>
      <c r="E50" s="15"/>
      <c r="F50" s="15"/>
      <c r="G50" s="15"/>
      <c r="H50" s="15"/>
      <c r="I50" s="15"/>
      <c r="J50" s="15"/>
      <c r="K50" s="15"/>
      <c r="L50" s="15"/>
      <c r="M50" s="15"/>
      <c r="N50" s="15"/>
    </row>
    <row r="51" spans="2:15" ht="37.2" customHeight="1">
      <c r="B51" s="22" t="s">
        <v>203</v>
      </c>
      <c r="C51" s="22"/>
      <c r="D51" s="22"/>
      <c r="E51" s="22"/>
      <c r="F51" s="22"/>
      <c r="G51" s="22"/>
      <c r="H51" s="22"/>
      <c r="I51" s="22"/>
      <c r="J51" s="22"/>
      <c r="K51" s="22"/>
      <c r="L51" s="22"/>
      <c r="M51" s="22"/>
      <c r="N51" s="22"/>
    </row>
    <row r="55" spans="2:15">
      <c r="B55" s="23" t="s">
        <v>185</v>
      </c>
      <c r="C55" s="23"/>
      <c r="D55" s="24" t="s">
        <v>162</v>
      </c>
      <c r="E55" s="24"/>
      <c r="F55" s="25" t="s">
        <v>204</v>
      </c>
      <c r="G55" s="25"/>
      <c r="H55" s="26" t="s">
        <v>17</v>
      </c>
      <c r="I55" s="26"/>
      <c r="J55" s="27" t="s">
        <v>164</v>
      </c>
      <c r="K55" s="27"/>
      <c r="L55" s="28" t="s">
        <v>165</v>
      </c>
      <c r="M55" s="28"/>
      <c r="N55" s="29" t="s">
        <v>166</v>
      </c>
      <c r="O55" s="29"/>
    </row>
    <row r="56" spans="2:15" ht="24" customHeight="1">
      <c r="B56" s="30" t="s">
        <v>167</v>
      </c>
      <c r="C56" s="30"/>
    </row>
  </sheetData>
  <sheetProtection password="EC7C" sheet="1" formatCells="0" formatColumns="0" formatRows="0" insertColumns="0" insertRows="0" insertHyperlinks="0" deleteColumns="0" deleteRows="0" sort="0" autoFilter="0"/>
  <mergeCells count="18">
    <mergeCell ref="B2:L2"/>
    <mergeCell ref="B3:L3"/>
    <mergeCell ref="M3:O3"/>
    <mergeCell ref="B5:C5"/>
    <mergeCell ref="D5:E5"/>
    <mergeCell ref="F5:G5"/>
    <mergeCell ref="H5:I5"/>
    <mergeCell ref="B48:C48"/>
    <mergeCell ref="B50:N50"/>
    <mergeCell ref="B51:N51"/>
    <mergeCell ref="B55:C55"/>
    <mergeCell ref="D55:E55"/>
    <mergeCell ref="F55:G55"/>
    <mergeCell ref="H55:I55"/>
    <mergeCell ref="J55:K55"/>
    <mergeCell ref="L55:M55"/>
    <mergeCell ref="N55:O55"/>
    <mergeCell ref="B56:C56"/>
  </mergeCells>
  <conditionalFormatting sqref="F8:F47">
    <cfRule type="expression" dxfId="3" priority="4">
      <formula>AND($F8&lt;&gt;"",$F8&gt;=TODAY(),$F8-TODAY()&lt;=DueSoonDays)</formula>
    </cfRule>
  </conditionalFormatting>
  <conditionalFormatting sqref="N8:N47">
    <cfRule type="expression" dxfId="0" priority="1">
      <formula>$N8="🔴 Unpaid"</formula>
    </cfRule>
    <cfRule type="expression" dxfId="1" priority="2">
      <formula>$N8="🟠 Partial"</formula>
    </cfRule>
    <cfRule type="expression" dxfId="2" priority="3">
      <formula>$N8="🟢 Paid in full"</formula>
    </cfRule>
  </conditionalFormatting>
  <dataValidations count="6">
    <dataValidation type="list" allowBlank="1" showInputMessage="1" promptTitle="Event type" prompt="Pick from your list (edit it on Setup)." sqref="G8:G47">
      <formula1>EventTypes</formula1>
    </dataValidation>
    <dataValidation type="list" allowBlank="1" showInputMessage="1" promptTitle="Payment status" prompt="Unpaid / Partial / Paid in full." sqref="N8:N47">
      <formula1>PaymentStatuses</formula1>
    </dataValidation>
    <dataValidation type="date" errorStyle="warning" allowBlank="1" showInputMessage="1" showErrorMessage="1" errorTitle="That's not a date" error="Enter a date between 2000 and 2100." promptTitle="Date" prompt="Type a date, or pick one from the calendar picker." sqref="F8:F47">
      <formula1>36526</formula1>
      <formula2>73415</formula2>
    </dataValidation>
    <dataValidation type="whole" errorStyle="warning" allowBlank="1" showInputMessage="1" showErrorMessage="1" errorTitle="Whole numbers only" error="Please enter a whole number." sqref="H8:H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s>
  <hyperlinks>
    <hyperlink ref="M3" location="'📊 Dashboard'!A1" display="🏠  Back to Dashboard"/>
    <hyperlink ref="B55" location="'⚙️ Setup'!A1" display="Setup"/>
    <hyperlink ref="D55" location="'📊 Dashboard'!A1" display="🏠 Home"/>
    <hyperlink ref="F55" location="'👥 Clients'!A1" display="▶ Clients"/>
    <hyperlink ref="H55" location="'📅 Events'!A1" display="Events"/>
    <hyperlink ref="J55" location="'🧮 Quote Calculator'!A1" display="Quote"/>
    <hyperlink ref="L55" location="'💸 Expenses'!A1" display="Expenses"/>
    <hyperlink ref="N55" location="'💰 Payments'!A1" display="Payments"/>
    <hyperlink ref="B5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99A18"/>
    <pageSetUpPr fitToPage="1"/>
  </sheetPr>
  <dimension ref="A1:R55"/>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0.7109375" customWidth="1"/>
    <col min="4" max="4" width="21.7109375" customWidth="1"/>
    <col min="5" max="5" width="12.7109375" customWidth="1"/>
    <col min="6" max="6" width="13.7109375" customWidth="1"/>
    <col min="7" max="7" width="8.7109375" customWidth="1"/>
    <col min="8" max="8" width="30.7109375" customWidth="1"/>
    <col min="9" max="9" width="9.7109375" customWidth="1"/>
    <col min="10" max="10" width="22.7109375" customWidth="1"/>
    <col min="11" max="13" width="11.7109375" customWidth="1"/>
    <col min="14" max="14" width="9.7109375" customWidth="1"/>
    <col min="15" max="16" width="11.7109375" customWidth="1"/>
    <col min="17" max="17" width="16.7109375" customWidth="1"/>
    <col min="18" max="18" width="24.7109375" customWidth="1"/>
  </cols>
  <sheetData>
    <row r="1" spans="2:18" ht="7" customHeight="1" x14ac:dyDescent="0.25"/>
    <row r="2" spans="2:18" ht="30" customHeight="1" x14ac:dyDescent="0.25">
      <c r="B2" s="3" t="s">
        <v>17</v>
      </c>
      <c r="C2" s="3"/>
      <c r="D2" s="3"/>
      <c r="E2" s="3"/>
      <c r="F2" s="3"/>
      <c r="G2" s="3"/>
      <c r="H2" s="3"/>
      <c r="I2" s="3"/>
      <c r="J2" s="3"/>
      <c r="K2" s="3"/>
      <c r="L2" s="3"/>
      <c r="M2" s="3"/>
      <c r="N2" s="3"/>
      <c r="O2" s="3"/>
      <c r="P2" s="4"/>
      <c r="Q2" s="4"/>
      <c r="R2" s="4"/>
    </row>
    <row r="3" spans="2:18" ht="18" customHeight="1" x14ac:dyDescent="0.25">
      <c r="B3" s="5" t="s">
        <v>205</v>
      </c>
      <c r="C3" s="5"/>
      <c r="D3" s="5"/>
      <c r="E3" s="5"/>
      <c r="F3" s="5"/>
      <c r="G3" s="5"/>
      <c r="H3" s="5"/>
      <c r="I3" s="5"/>
      <c r="J3" s="5"/>
      <c r="K3" s="5"/>
      <c r="L3" s="5"/>
      <c r="M3" s="5"/>
      <c r="N3" s="5"/>
      <c r="O3" s="5"/>
      <c r="P3" s="6" t="s">
        <v>95</v>
      </c>
      <c r="Q3" s="6"/>
      <c r="R3" s="6"/>
    </row>
    <row r="4" spans="2:18" ht="7" customHeight="1" x14ac:dyDescent="0.25"/>
    <row r="5" spans="2:18" ht="26" customHeight="1" x14ac:dyDescent="0.25">
      <c r="B5" s="48" t="str">
        <f>"Bookings: "&amp;COUNTIF('📅 Events'!$Q$8:$Q$47,"&lt;&gt;❌ Cancelled")</f>
        <v>Bookings: 0</v>
      </c>
      <c r="C5" s="48"/>
      <c r="D5" s="71" t="str">
        <f>"In the pipeline: "&amp;COUNTIF('📅 Events'!$Q$8:$Q$47,"📝 Quote Sent") + COUNTIF('📅 Events'!$Q$8:$Q$47,"💰 Deposit Paid") + COUNTIF('📅 Events'!$Q$8:$Q$47,"✅ Confirmed") + COUNTIF('📅 Events'!$Q$8:$Q$47,"🎉 Completed")</f>
        <v>In the pipeline: 0</v>
      </c>
      <c r="E5" s="71"/>
      <c r="F5" s="50" t="str">
        <f>"Booked value: "&amp;Currency&amp;TEXT(SUMPRODUCT(('📅 Events'!$Q$8:$Q$47&lt;&gt;"❌ Cancelled")*'📅 Events'!$L$8:$L$47),"#,##0")</f>
        <v>Booked value: $0</v>
      </c>
      <c r="G5" s="50"/>
      <c r="H5" s="72" t="str">
        <f>"Expected profit: "&amp;Currency&amp;TEXT(SUMPRODUCT(('📅 Events'!$Q$8:$Q$47&lt;&gt;"❌ Cancelled")*'📅 Events'!$L$8:$L$47)-SUMPRODUCT(('📅 Events'!$Q$8:$Q$47&lt;&gt;"❌ Cancelled")*'📅 Events'!$K$8:$K$47),"#,##0")</f>
        <v>Expected profit: $0</v>
      </c>
      <c r="I5" s="72"/>
    </row>
    <row r="6" spans="2:18" ht="7" customHeight="1" x14ac:dyDescent="0.25"/>
    <row r="7" spans="2:18" ht="36" customHeight="1" x14ac:dyDescent="0.25">
      <c r="B7" s="2" t="s">
        <v>188</v>
      </c>
      <c r="C7" s="2" t="s">
        <v>206</v>
      </c>
      <c r="D7" s="52" t="s">
        <v>49</v>
      </c>
      <c r="E7" s="53" t="s">
        <v>207</v>
      </c>
      <c r="F7" s="2" t="s">
        <v>208</v>
      </c>
      <c r="G7" s="2" t="s">
        <v>193</v>
      </c>
      <c r="H7" s="2" t="s">
        <v>209</v>
      </c>
      <c r="I7" s="2" t="s">
        <v>210</v>
      </c>
      <c r="J7" s="2" t="s">
        <v>211</v>
      </c>
      <c r="K7" s="73" t="s">
        <v>212</v>
      </c>
      <c r="L7" s="54" t="s">
        <v>213</v>
      </c>
      <c r="M7" s="2" t="s">
        <v>214</v>
      </c>
      <c r="N7" s="2" t="s">
        <v>215</v>
      </c>
      <c r="O7" s="2" t="s">
        <v>197</v>
      </c>
      <c r="P7" s="2" t="s">
        <v>55</v>
      </c>
      <c r="Q7" s="55" t="s">
        <v>42</v>
      </c>
      <c r="R7" s="2" t="s">
        <v>200</v>
      </c>
    </row>
    <row r="8" spans="2:18" ht="20" customHeight="1" x14ac:dyDescent="0.25">
      <c r="B8" s="56">
        <f>IF($C8="","",ROW()-7)</f>
        <v/>
      </c>
      <c r="C8" s="58"/>
      <c r="D8" s="14"/>
      <c r="E8" s="57"/>
      <c r="F8" s="58"/>
      <c r="G8" s="59"/>
      <c r="H8" s="62"/>
      <c r="I8" s="59"/>
      <c r="J8" s="62"/>
      <c r="K8" s="60"/>
      <c r="L8" s="60"/>
      <c r="M8" s="61">
        <f>IF(OR($K8="",$L8=""),"",ROUND($L8-$K8,2))</f>
        <v/>
      </c>
      <c r="N8" s="74">
        <f>IFERROR(IF($M8="","",$M8/$L8),"")</f>
        <v/>
      </c>
      <c r="O8" s="60"/>
      <c r="P8" s="61">
        <f>IF($L8="","",ROUND($L8-$O8,2))</f>
        <v/>
      </c>
      <c r="Q8" s="58"/>
      <c r="R8" s="62"/>
    </row>
    <row r="9" spans="2:18" ht="20" customHeight="1" x14ac:dyDescent="0.25">
      <c r="B9" s="63">
        <f>IF($C9="","",ROW()-7)</f>
        <v/>
      </c>
      <c r="C9" s="10"/>
      <c r="D9" s="9"/>
      <c r="E9" s="64"/>
      <c r="F9" s="10"/>
      <c r="G9" s="65"/>
      <c r="H9" s="67"/>
      <c r="I9" s="65"/>
      <c r="J9" s="67"/>
      <c r="K9" s="66"/>
      <c r="L9" s="66"/>
      <c r="M9" s="61">
        <f>IF(OR($K9="",$L9=""),"",ROUND($L9-$K9,2))</f>
        <v/>
      </c>
      <c r="N9" s="74">
        <f>IFERROR(IF($M9="","",$M9/$L9),"")</f>
        <v/>
      </c>
      <c r="O9" s="66"/>
      <c r="P9" s="61">
        <f>IF($L9="","",ROUND($L9-$O9,2))</f>
        <v/>
      </c>
      <c r="Q9" s="10"/>
      <c r="R9" s="67"/>
    </row>
    <row r="10" spans="2:18" ht="20" customHeight="1" x14ac:dyDescent="0.25">
      <c r="B10" s="56">
        <f>IF($C10="","",ROW()-7)</f>
        <v/>
      </c>
      <c r="C10" s="58"/>
      <c r="D10" s="14"/>
      <c r="E10" s="57"/>
      <c r="F10" s="58"/>
      <c r="G10" s="59"/>
      <c r="H10" s="62"/>
      <c r="I10" s="59"/>
      <c r="J10" s="62"/>
      <c r="K10" s="60"/>
      <c r="L10" s="60"/>
      <c r="M10" s="61">
        <f>IF(OR($K10="",$L10=""),"",ROUND($L10-$K10,2))</f>
        <v/>
      </c>
      <c r="N10" s="74">
        <f>IFERROR(IF($M10="","",$M10/$L10),"")</f>
        <v/>
      </c>
      <c r="O10" s="60"/>
      <c r="P10" s="61">
        <f>IF($L10="","",ROUND($L10-$O10,2))</f>
        <v/>
      </c>
      <c r="Q10" s="58"/>
      <c r="R10" s="62"/>
    </row>
    <row r="11" spans="2:18" ht="20" customHeight="1" x14ac:dyDescent="0.25">
      <c r="B11" s="63">
        <f>IF($C11="","",ROW()-7)</f>
        <v/>
      </c>
      <c r="C11" s="10"/>
      <c r="D11" s="9"/>
      <c r="E11" s="64"/>
      <c r="F11" s="10"/>
      <c r="G11" s="65"/>
      <c r="H11" s="67"/>
      <c r="I11" s="65"/>
      <c r="J11" s="67"/>
      <c r="K11" s="66"/>
      <c r="L11" s="66"/>
      <c r="M11" s="61">
        <f>IF(OR($K11="",$L11=""),"",ROUND($L11-$K11,2))</f>
        <v/>
      </c>
      <c r="N11" s="74">
        <f>IFERROR(IF($M11="","",$M11/$L11),"")</f>
        <v/>
      </c>
      <c r="O11" s="66"/>
      <c r="P11" s="61">
        <f>IF($L11="","",ROUND($L11-$O11,2))</f>
        <v/>
      </c>
      <c r="Q11" s="10"/>
      <c r="R11" s="67"/>
    </row>
    <row r="12" spans="2:18" ht="20" customHeight="1" x14ac:dyDescent="0.25">
      <c r="B12" s="56">
        <f>IF($C12="","",ROW()-7)</f>
        <v/>
      </c>
      <c r="C12" s="58"/>
      <c r="D12" s="14"/>
      <c r="E12" s="57"/>
      <c r="F12" s="58"/>
      <c r="G12" s="59"/>
      <c r="H12" s="62"/>
      <c r="I12" s="59"/>
      <c r="J12" s="62"/>
      <c r="K12" s="60"/>
      <c r="L12" s="60"/>
      <c r="M12" s="61">
        <f>IF(OR($K12="",$L12=""),"",ROUND($L12-$K12,2))</f>
        <v/>
      </c>
      <c r="N12" s="74">
        <f>IFERROR(IF($M12="","",$M12/$L12),"")</f>
        <v/>
      </c>
      <c r="O12" s="60"/>
      <c r="P12" s="61">
        <f>IF($L12="","",ROUND($L12-$O12,2))</f>
        <v/>
      </c>
      <c r="Q12" s="58"/>
      <c r="R12" s="62"/>
    </row>
    <row r="13" spans="2:18" ht="20" customHeight="1" x14ac:dyDescent="0.25">
      <c r="B13" s="63">
        <f>IF($C13="","",ROW()-7)</f>
        <v/>
      </c>
      <c r="C13" s="10"/>
      <c r="D13" s="9"/>
      <c r="E13" s="64"/>
      <c r="F13" s="10"/>
      <c r="G13" s="65"/>
      <c r="H13" s="67"/>
      <c r="I13" s="65"/>
      <c r="J13" s="67"/>
      <c r="K13" s="66"/>
      <c r="L13" s="66"/>
      <c r="M13" s="61">
        <f>IF(OR($K13="",$L13=""),"",ROUND($L13-$K13,2))</f>
        <v/>
      </c>
      <c r="N13" s="74">
        <f>IFERROR(IF($M13="","",$M13/$L13),"")</f>
        <v/>
      </c>
      <c r="O13" s="66"/>
      <c r="P13" s="61">
        <f>IF($L13="","",ROUND($L13-$O13,2))</f>
        <v/>
      </c>
      <c r="Q13" s="10"/>
      <c r="R13" s="67"/>
    </row>
    <row r="14" spans="2:18" ht="20" customHeight="1" x14ac:dyDescent="0.25">
      <c r="B14" s="56">
        <f>IF($C14="","",ROW()-7)</f>
        <v/>
      </c>
      <c r="C14" s="58"/>
      <c r="D14" s="14"/>
      <c r="E14" s="57"/>
      <c r="F14" s="58"/>
      <c r="G14" s="59"/>
      <c r="H14" s="62"/>
      <c r="I14" s="59"/>
      <c r="J14" s="62"/>
      <c r="K14" s="60"/>
      <c r="L14" s="60"/>
      <c r="M14" s="61">
        <f>IF(OR($K14="",$L14=""),"",ROUND($L14-$K14,2))</f>
        <v/>
      </c>
      <c r="N14" s="74">
        <f>IFERROR(IF($M14="","",$M14/$L14),"")</f>
        <v/>
      </c>
      <c r="O14" s="60"/>
      <c r="P14" s="61">
        <f>IF($L14="","",ROUND($L14-$O14,2))</f>
        <v/>
      </c>
      <c r="Q14" s="58"/>
      <c r="R14" s="62"/>
    </row>
    <row r="15" spans="2:18" ht="20" customHeight="1" x14ac:dyDescent="0.25">
      <c r="B15" s="63">
        <f>IF($C15="","",ROW()-7)</f>
        <v/>
      </c>
      <c r="C15" s="10"/>
      <c r="D15" s="9"/>
      <c r="E15" s="64"/>
      <c r="F15" s="10"/>
      <c r="G15" s="65"/>
      <c r="H15" s="67"/>
      <c r="I15" s="65"/>
      <c r="J15" s="67"/>
      <c r="K15" s="66"/>
      <c r="L15" s="66"/>
      <c r="M15" s="61">
        <f>IF(OR($K15="",$L15=""),"",ROUND($L15-$K15,2))</f>
        <v/>
      </c>
      <c r="N15" s="74">
        <f>IFERROR(IF($M15="","",$M15/$L15),"")</f>
        <v/>
      </c>
      <c r="O15" s="66"/>
      <c r="P15" s="61">
        <f>IF($L15="","",ROUND($L15-$O15,2))</f>
        <v/>
      </c>
      <c r="Q15" s="10"/>
      <c r="R15" s="67"/>
    </row>
    <row r="16" spans="2:18" ht="20" customHeight="1" x14ac:dyDescent="0.25">
      <c r="B16" s="56">
        <f>IF($C16="","",ROW()-7)</f>
        <v/>
      </c>
      <c r="C16" s="58"/>
      <c r="D16" s="14"/>
      <c r="E16" s="57"/>
      <c r="F16" s="58"/>
      <c r="G16" s="59"/>
      <c r="H16" s="62"/>
      <c r="I16" s="59"/>
      <c r="J16" s="62"/>
      <c r="K16" s="60"/>
      <c r="L16" s="60"/>
      <c r="M16" s="61">
        <f>IF(OR($K16="",$L16=""),"",ROUND($L16-$K16,2))</f>
        <v/>
      </c>
      <c r="N16" s="74">
        <f>IFERROR(IF($M16="","",$M16/$L16),"")</f>
        <v/>
      </c>
      <c r="O16" s="60"/>
      <c r="P16" s="61">
        <f>IF($L16="","",ROUND($L16-$O16,2))</f>
        <v/>
      </c>
      <c r="Q16" s="58"/>
      <c r="R16" s="62"/>
    </row>
    <row r="17" spans="2:18" ht="20" customHeight="1" x14ac:dyDescent="0.25">
      <c r="B17" s="63">
        <f>IF($C17="","",ROW()-7)</f>
        <v/>
      </c>
      <c r="C17" s="10"/>
      <c r="D17" s="9"/>
      <c r="E17" s="64"/>
      <c r="F17" s="10"/>
      <c r="G17" s="65"/>
      <c r="H17" s="67"/>
      <c r="I17" s="65"/>
      <c r="J17" s="67"/>
      <c r="K17" s="66"/>
      <c r="L17" s="66"/>
      <c r="M17" s="61">
        <f>IF(OR($K17="",$L17=""),"",ROUND($L17-$K17,2))</f>
        <v/>
      </c>
      <c r="N17" s="74">
        <f>IFERROR(IF($M17="","",$M17/$L17),"")</f>
        <v/>
      </c>
      <c r="O17" s="66"/>
      <c r="P17" s="61">
        <f>IF($L17="","",ROUND($L17-$O17,2))</f>
        <v/>
      </c>
      <c r="Q17" s="10"/>
      <c r="R17" s="67"/>
    </row>
    <row r="18" spans="2:18" ht="20" customHeight="1" x14ac:dyDescent="0.25">
      <c r="B18" s="56">
        <f>IF($C18="","",ROW()-7)</f>
        <v/>
      </c>
      <c r="C18" s="58"/>
      <c r="D18" s="14"/>
      <c r="E18" s="57"/>
      <c r="F18" s="58"/>
      <c r="G18" s="59"/>
      <c r="H18" s="62"/>
      <c r="I18" s="59"/>
      <c r="J18" s="62"/>
      <c r="K18" s="60"/>
      <c r="L18" s="60"/>
      <c r="M18" s="61">
        <f>IF(OR($K18="",$L18=""),"",ROUND($L18-$K18,2))</f>
        <v/>
      </c>
      <c r="N18" s="74">
        <f>IFERROR(IF($M18="","",$M18/$L18),"")</f>
        <v/>
      </c>
      <c r="O18" s="60"/>
      <c r="P18" s="61">
        <f>IF($L18="","",ROUND($L18-$O18,2))</f>
        <v/>
      </c>
      <c r="Q18" s="58"/>
      <c r="R18" s="62"/>
    </row>
    <row r="19" spans="2:18" ht="20" customHeight="1" x14ac:dyDescent="0.25">
      <c r="B19" s="63">
        <f>IF($C19="","",ROW()-7)</f>
        <v/>
      </c>
      <c r="C19" s="10"/>
      <c r="D19" s="9"/>
      <c r="E19" s="64"/>
      <c r="F19" s="10"/>
      <c r="G19" s="65"/>
      <c r="H19" s="67"/>
      <c r="I19" s="65"/>
      <c r="J19" s="67"/>
      <c r="K19" s="66"/>
      <c r="L19" s="66"/>
      <c r="M19" s="61">
        <f>IF(OR($K19="",$L19=""),"",ROUND($L19-$K19,2))</f>
        <v/>
      </c>
      <c r="N19" s="74">
        <f>IFERROR(IF($M19="","",$M19/$L19),"")</f>
        <v/>
      </c>
      <c r="O19" s="66"/>
      <c r="P19" s="61">
        <f>IF($L19="","",ROUND($L19-$O19,2))</f>
        <v/>
      </c>
      <c r="Q19" s="10"/>
      <c r="R19" s="67"/>
    </row>
    <row r="20" spans="2:18" ht="20" customHeight="1" x14ac:dyDescent="0.25">
      <c r="B20" s="56">
        <f>IF($C20="","",ROW()-7)</f>
        <v/>
      </c>
      <c r="C20" s="58"/>
      <c r="D20" s="14"/>
      <c r="E20" s="57"/>
      <c r="F20" s="58"/>
      <c r="G20" s="59"/>
      <c r="H20" s="62"/>
      <c r="I20" s="59"/>
      <c r="J20" s="62"/>
      <c r="K20" s="60"/>
      <c r="L20" s="60"/>
      <c r="M20" s="61">
        <f>IF(OR($K20="",$L20=""),"",ROUND($L20-$K20,2))</f>
        <v/>
      </c>
      <c r="N20" s="74">
        <f>IFERROR(IF($M20="","",$M20/$L20),"")</f>
        <v/>
      </c>
      <c r="O20" s="60"/>
      <c r="P20" s="61">
        <f>IF($L20="","",ROUND($L20-$O20,2))</f>
        <v/>
      </c>
      <c r="Q20" s="58"/>
      <c r="R20" s="62"/>
    </row>
    <row r="21" spans="2:18" ht="20" customHeight="1" x14ac:dyDescent="0.25">
      <c r="B21" s="63">
        <f>IF($C21="","",ROW()-7)</f>
        <v/>
      </c>
      <c r="C21" s="10"/>
      <c r="D21" s="9"/>
      <c r="E21" s="64"/>
      <c r="F21" s="10"/>
      <c r="G21" s="65"/>
      <c r="H21" s="67"/>
      <c r="I21" s="65"/>
      <c r="J21" s="67"/>
      <c r="K21" s="66"/>
      <c r="L21" s="66"/>
      <c r="M21" s="61">
        <f>IF(OR($K21="",$L21=""),"",ROUND($L21-$K21,2))</f>
        <v/>
      </c>
      <c r="N21" s="74">
        <f>IFERROR(IF($M21="","",$M21/$L21),"")</f>
        <v/>
      </c>
      <c r="O21" s="66"/>
      <c r="P21" s="61">
        <f>IF($L21="","",ROUND($L21-$O21,2))</f>
        <v/>
      </c>
      <c r="Q21" s="10"/>
      <c r="R21" s="67"/>
    </row>
    <row r="22" spans="2:18" ht="20" customHeight="1" x14ac:dyDescent="0.25">
      <c r="B22" s="56">
        <f>IF($C22="","",ROW()-7)</f>
        <v/>
      </c>
      <c r="C22" s="58"/>
      <c r="D22" s="14"/>
      <c r="E22" s="57"/>
      <c r="F22" s="58"/>
      <c r="G22" s="59"/>
      <c r="H22" s="62"/>
      <c r="I22" s="59"/>
      <c r="J22" s="62"/>
      <c r="K22" s="60"/>
      <c r="L22" s="60"/>
      <c r="M22" s="61">
        <f>IF(OR($K22="",$L22=""),"",ROUND($L22-$K22,2))</f>
        <v/>
      </c>
      <c r="N22" s="74">
        <f>IFERROR(IF($M22="","",$M22/$L22),"")</f>
        <v/>
      </c>
      <c r="O22" s="60"/>
      <c r="P22" s="61">
        <f>IF($L22="","",ROUND($L22-$O22,2))</f>
        <v/>
      </c>
      <c r="Q22" s="58"/>
      <c r="R22" s="62"/>
    </row>
    <row r="23" spans="2:18" ht="20" customHeight="1" x14ac:dyDescent="0.25">
      <c r="B23" s="63">
        <f>IF($C23="","",ROW()-7)</f>
        <v/>
      </c>
      <c r="C23" s="10"/>
      <c r="D23" s="9"/>
      <c r="E23" s="64"/>
      <c r="F23" s="10"/>
      <c r="G23" s="65"/>
      <c r="H23" s="67"/>
      <c r="I23" s="65"/>
      <c r="J23" s="67"/>
      <c r="K23" s="66"/>
      <c r="L23" s="66"/>
      <c r="M23" s="61">
        <f>IF(OR($K23="",$L23=""),"",ROUND($L23-$K23,2))</f>
        <v/>
      </c>
      <c r="N23" s="74">
        <f>IFERROR(IF($M23="","",$M23/$L23),"")</f>
        <v/>
      </c>
      <c r="O23" s="66"/>
      <c r="P23" s="61">
        <f>IF($L23="","",ROUND($L23-$O23,2))</f>
        <v/>
      </c>
      <c r="Q23" s="10"/>
      <c r="R23" s="67"/>
    </row>
    <row r="24" spans="2:18" ht="20" customHeight="1" x14ac:dyDescent="0.25">
      <c r="B24" s="56">
        <f>IF($C24="","",ROW()-7)</f>
        <v/>
      </c>
      <c r="C24" s="58"/>
      <c r="D24" s="14"/>
      <c r="E24" s="57"/>
      <c r="F24" s="58"/>
      <c r="G24" s="59"/>
      <c r="H24" s="62"/>
      <c r="I24" s="59"/>
      <c r="J24" s="62"/>
      <c r="K24" s="60"/>
      <c r="L24" s="60"/>
      <c r="M24" s="61">
        <f>IF(OR($K24="",$L24=""),"",ROUND($L24-$K24,2))</f>
        <v/>
      </c>
      <c r="N24" s="74">
        <f>IFERROR(IF($M24="","",$M24/$L24),"")</f>
        <v/>
      </c>
      <c r="O24" s="60"/>
      <c r="P24" s="61">
        <f>IF($L24="","",ROUND($L24-$O24,2))</f>
        <v/>
      </c>
      <c r="Q24" s="58"/>
      <c r="R24" s="62"/>
    </row>
    <row r="25" spans="2:18" ht="20" customHeight="1" x14ac:dyDescent="0.25">
      <c r="B25" s="63">
        <f>IF($C25="","",ROW()-7)</f>
        <v/>
      </c>
      <c r="C25" s="10"/>
      <c r="D25" s="9"/>
      <c r="E25" s="64"/>
      <c r="F25" s="10"/>
      <c r="G25" s="65"/>
      <c r="H25" s="67"/>
      <c r="I25" s="65"/>
      <c r="J25" s="67"/>
      <c r="K25" s="66"/>
      <c r="L25" s="66"/>
      <c r="M25" s="61">
        <f>IF(OR($K25="",$L25=""),"",ROUND($L25-$K25,2))</f>
        <v/>
      </c>
      <c r="N25" s="74">
        <f>IFERROR(IF($M25="","",$M25/$L25),"")</f>
        <v/>
      </c>
      <c r="O25" s="66"/>
      <c r="P25" s="61">
        <f>IF($L25="","",ROUND($L25-$O25,2))</f>
        <v/>
      </c>
      <c r="Q25" s="10"/>
      <c r="R25" s="67"/>
    </row>
    <row r="26" spans="2:18" ht="20" customHeight="1" x14ac:dyDescent="0.25">
      <c r="B26" s="56">
        <f>IF($C26="","",ROW()-7)</f>
        <v/>
      </c>
      <c r="C26" s="58"/>
      <c r="D26" s="14"/>
      <c r="E26" s="57"/>
      <c r="F26" s="58"/>
      <c r="G26" s="59"/>
      <c r="H26" s="62"/>
      <c r="I26" s="59"/>
      <c r="J26" s="62"/>
      <c r="K26" s="60"/>
      <c r="L26" s="60"/>
      <c r="M26" s="61">
        <f>IF(OR($K26="",$L26=""),"",ROUND($L26-$K26,2))</f>
        <v/>
      </c>
      <c r="N26" s="74">
        <f>IFERROR(IF($M26="","",$M26/$L26),"")</f>
        <v/>
      </c>
      <c r="O26" s="60"/>
      <c r="P26" s="61">
        <f>IF($L26="","",ROUND($L26-$O26,2))</f>
        <v/>
      </c>
      <c r="Q26" s="58"/>
      <c r="R26" s="62"/>
    </row>
    <row r="27" spans="2:18" ht="20" customHeight="1" x14ac:dyDescent="0.25">
      <c r="B27" s="63">
        <f>IF($C27="","",ROW()-7)</f>
        <v/>
      </c>
      <c r="C27" s="10"/>
      <c r="D27" s="9"/>
      <c r="E27" s="64"/>
      <c r="F27" s="10"/>
      <c r="G27" s="65"/>
      <c r="H27" s="67"/>
      <c r="I27" s="65"/>
      <c r="J27" s="67"/>
      <c r="K27" s="66"/>
      <c r="L27" s="66"/>
      <c r="M27" s="61">
        <f>IF(OR($K27="",$L27=""),"",ROUND($L27-$K27,2))</f>
        <v/>
      </c>
      <c r="N27" s="74">
        <f>IFERROR(IF($M27="","",$M27/$L27),"")</f>
        <v/>
      </c>
      <c r="O27" s="66"/>
      <c r="P27" s="61">
        <f>IF($L27="","",ROUND($L27-$O27,2))</f>
        <v/>
      </c>
      <c r="Q27" s="10"/>
      <c r="R27" s="67"/>
    </row>
    <row r="28" spans="2:18" ht="20" customHeight="1" x14ac:dyDescent="0.25">
      <c r="B28" s="56">
        <f>IF($C28="","",ROW()-7)</f>
        <v/>
      </c>
      <c r="C28" s="58"/>
      <c r="D28" s="14"/>
      <c r="E28" s="57"/>
      <c r="F28" s="58"/>
      <c r="G28" s="59"/>
      <c r="H28" s="62"/>
      <c r="I28" s="59"/>
      <c r="J28" s="62"/>
      <c r="K28" s="60"/>
      <c r="L28" s="60"/>
      <c r="M28" s="61">
        <f>IF(OR($K28="",$L28=""),"",ROUND($L28-$K28,2))</f>
        <v/>
      </c>
      <c r="N28" s="74">
        <f>IFERROR(IF($M28="","",$M28/$L28),"")</f>
        <v/>
      </c>
      <c r="O28" s="60"/>
      <c r="P28" s="61">
        <f>IF($L28="","",ROUND($L28-$O28,2))</f>
        <v/>
      </c>
      <c r="Q28" s="58"/>
      <c r="R28" s="62"/>
    </row>
    <row r="29" spans="2:18" ht="20" customHeight="1" x14ac:dyDescent="0.25">
      <c r="B29" s="63">
        <f>IF($C29="","",ROW()-7)</f>
        <v/>
      </c>
      <c r="C29" s="10"/>
      <c r="D29" s="9"/>
      <c r="E29" s="64"/>
      <c r="F29" s="10"/>
      <c r="G29" s="65"/>
      <c r="H29" s="67"/>
      <c r="I29" s="65"/>
      <c r="J29" s="67"/>
      <c r="K29" s="66"/>
      <c r="L29" s="66"/>
      <c r="M29" s="61">
        <f>IF(OR($K29="",$L29=""),"",ROUND($L29-$K29,2))</f>
        <v/>
      </c>
      <c r="N29" s="74">
        <f>IFERROR(IF($M29="","",$M29/$L29),"")</f>
        <v/>
      </c>
      <c r="O29" s="66"/>
      <c r="P29" s="61">
        <f>IF($L29="","",ROUND($L29-$O29,2))</f>
        <v/>
      </c>
      <c r="Q29" s="10"/>
      <c r="R29" s="67"/>
    </row>
    <row r="30" spans="2:18" ht="20" customHeight="1" x14ac:dyDescent="0.25">
      <c r="B30" s="56">
        <f>IF($C30="","",ROW()-7)</f>
        <v/>
      </c>
      <c r="C30" s="58"/>
      <c r="D30" s="14"/>
      <c r="E30" s="57"/>
      <c r="F30" s="58"/>
      <c r="G30" s="59"/>
      <c r="H30" s="62"/>
      <c r="I30" s="59"/>
      <c r="J30" s="62"/>
      <c r="K30" s="60"/>
      <c r="L30" s="60"/>
      <c r="M30" s="61">
        <f>IF(OR($K30="",$L30=""),"",ROUND($L30-$K30,2))</f>
        <v/>
      </c>
      <c r="N30" s="74">
        <f>IFERROR(IF($M30="","",$M30/$L30),"")</f>
        <v/>
      </c>
      <c r="O30" s="60"/>
      <c r="P30" s="61">
        <f>IF($L30="","",ROUND($L30-$O30,2))</f>
        <v/>
      </c>
      <c r="Q30" s="58"/>
      <c r="R30" s="62"/>
    </row>
    <row r="31" spans="2:18" ht="20" customHeight="1" x14ac:dyDescent="0.25">
      <c r="B31" s="63">
        <f>IF($C31="","",ROW()-7)</f>
        <v/>
      </c>
      <c r="C31" s="10"/>
      <c r="D31" s="9"/>
      <c r="E31" s="64"/>
      <c r="F31" s="10"/>
      <c r="G31" s="65"/>
      <c r="H31" s="67"/>
      <c r="I31" s="65"/>
      <c r="J31" s="67"/>
      <c r="K31" s="66"/>
      <c r="L31" s="66"/>
      <c r="M31" s="61">
        <f>IF(OR($K31="",$L31=""),"",ROUND($L31-$K31,2))</f>
        <v/>
      </c>
      <c r="N31" s="74">
        <f>IFERROR(IF($M31="","",$M31/$L31),"")</f>
        <v/>
      </c>
      <c r="O31" s="66"/>
      <c r="P31" s="61">
        <f>IF($L31="","",ROUND($L31-$O31,2))</f>
        <v/>
      </c>
      <c r="Q31" s="10"/>
      <c r="R31" s="67"/>
    </row>
    <row r="32" spans="2:18" ht="20" customHeight="1" x14ac:dyDescent="0.25">
      <c r="B32" s="56">
        <f>IF($C32="","",ROW()-7)</f>
        <v/>
      </c>
      <c r="C32" s="58"/>
      <c r="D32" s="14"/>
      <c r="E32" s="57"/>
      <c r="F32" s="58"/>
      <c r="G32" s="59"/>
      <c r="H32" s="62"/>
      <c r="I32" s="59"/>
      <c r="J32" s="62"/>
      <c r="K32" s="60"/>
      <c r="L32" s="60"/>
      <c r="M32" s="61">
        <f>IF(OR($K32="",$L32=""),"",ROUND($L32-$K32,2))</f>
        <v/>
      </c>
      <c r="N32" s="74">
        <f>IFERROR(IF($M32="","",$M32/$L32),"")</f>
        <v/>
      </c>
      <c r="O32" s="60"/>
      <c r="P32" s="61">
        <f>IF($L32="","",ROUND($L32-$O32,2))</f>
        <v/>
      </c>
      <c r="Q32" s="58"/>
      <c r="R32" s="62"/>
    </row>
    <row r="33" spans="2:18" ht="20" customHeight="1" x14ac:dyDescent="0.25">
      <c r="B33" s="63">
        <f>IF($C33="","",ROW()-7)</f>
        <v/>
      </c>
      <c r="C33" s="10"/>
      <c r="D33" s="9"/>
      <c r="E33" s="64"/>
      <c r="F33" s="10"/>
      <c r="G33" s="65"/>
      <c r="H33" s="67"/>
      <c r="I33" s="65"/>
      <c r="J33" s="67"/>
      <c r="K33" s="66"/>
      <c r="L33" s="66"/>
      <c r="M33" s="61">
        <f>IF(OR($K33="",$L33=""),"",ROUND($L33-$K33,2))</f>
        <v/>
      </c>
      <c r="N33" s="74">
        <f>IFERROR(IF($M33="","",$M33/$L33),"")</f>
        <v/>
      </c>
      <c r="O33" s="66"/>
      <c r="P33" s="61">
        <f>IF($L33="","",ROUND($L33-$O33,2))</f>
        <v/>
      </c>
      <c r="Q33" s="10"/>
      <c r="R33" s="67"/>
    </row>
    <row r="34" spans="2:18" ht="20" customHeight="1" x14ac:dyDescent="0.25">
      <c r="B34" s="56">
        <f>IF($C34="","",ROW()-7)</f>
        <v/>
      </c>
      <c r="C34" s="58"/>
      <c r="D34" s="14"/>
      <c r="E34" s="57"/>
      <c r="F34" s="58"/>
      <c r="G34" s="59"/>
      <c r="H34" s="62"/>
      <c r="I34" s="59"/>
      <c r="J34" s="62"/>
      <c r="K34" s="60"/>
      <c r="L34" s="60"/>
      <c r="M34" s="61">
        <f>IF(OR($K34="",$L34=""),"",ROUND($L34-$K34,2))</f>
        <v/>
      </c>
      <c r="N34" s="74">
        <f>IFERROR(IF($M34="","",$M34/$L34),"")</f>
        <v/>
      </c>
      <c r="O34" s="60"/>
      <c r="P34" s="61">
        <f>IF($L34="","",ROUND($L34-$O34,2))</f>
        <v/>
      </c>
      <c r="Q34" s="58"/>
      <c r="R34" s="62"/>
    </row>
    <row r="35" spans="2:18" ht="20" customHeight="1" x14ac:dyDescent="0.25">
      <c r="B35" s="63">
        <f>IF($C35="","",ROW()-7)</f>
        <v/>
      </c>
      <c r="C35" s="10"/>
      <c r="D35" s="9"/>
      <c r="E35" s="64"/>
      <c r="F35" s="10"/>
      <c r="G35" s="65"/>
      <c r="H35" s="67"/>
      <c r="I35" s="65"/>
      <c r="J35" s="67"/>
      <c r="K35" s="66"/>
      <c r="L35" s="66"/>
      <c r="M35" s="61">
        <f>IF(OR($K35="",$L35=""),"",ROUND($L35-$K35,2))</f>
        <v/>
      </c>
      <c r="N35" s="74">
        <f>IFERROR(IF($M35="","",$M35/$L35),"")</f>
        <v/>
      </c>
      <c r="O35" s="66"/>
      <c r="P35" s="61">
        <f>IF($L35="","",ROUND($L35-$O35,2))</f>
        <v/>
      </c>
      <c r="Q35" s="10"/>
      <c r="R35" s="67"/>
    </row>
    <row r="36" spans="2:18" ht="20" customHeight="1" x14ac:dyDescent="0.25">
      <c r="B36" s="56">
        <f>IF($C36="","",ROW()-7)</f>
        <v/>
      </c>
      <c r="C36" s="58"/>
      <c r="D36" s="14"/>
      <c r="E36" s="57"/>
      <c r="F36" s="58"/>
      <c r="G36" s="59"/>
      <c r="H36" s="62"/>
      <c r="I36" s="59"/>
      <c r="J36" s="62"/>
      <c r="K36" s="60"/>
      <c r="L36" s="60"/>
      <c r="M36" s="61">
        <f>IF(OR($K36="",$L36=""),"",ROUND($L36-$K36,2))</f>
        <v/>
      </c>
      <c r="N36" s="74">
        <f>IFERROR(IF($M36="","",$M36/$L36),"")</f>
        <v/>
      </c>
      <c r="O36" s="60"/>
      <c r="P36" s="61">
        <f>IF($L36="","",ROUND($L36-$O36,2))</f>
        <v/>
      </c>
      <c r="Q36" s="58"/>
      <c r="R36" s="62"/>
    </row>
    <row r="37" spans="2:18" ht="20" customHeight="1" x14ac:dyDescent="0.25">
      <c r="B37" s="63">
        <f>IF($C37="","",ROW()-7)</f>
        <v/>
      </c>
      <c r="C37" s="10"/>
      <c r="D37" s="9"/>
      <c r="E37" s="64"/>
      <c r="F37" s="10"/>
      <c r="G37" s="65"/>
      <c r="H37" s="67"/>
      <c r="I37" s="65"/>
      <c r="J37" s="67"/>
      <c r="K37" s="66"/>
      <c r="L37" s="66"/>
      <c r="M37" s="61">
        <f>IF(OR($K37="",$L37=""),"",ROUND($L37-$K37,2))</f>
        <v/>
      </c>
      <c r="N37" s="74">
        <f>IFERROR(IF($M37="","",$M37/$L37),"")</f>
        <v/>
      </c>
      <c r="O37" s="66"/>
      <c r="P37" s="61">
        <f>IF($L37="","",ROUND($L37-$O37,2))</f>
        <v/>
      </c>
      <c r="Q37" s="10"/>
      <c r="R37" s="67"/>
    </row>
    <row r="38" spans="2:18" ht="20" customHeight="1" x14ac:dyDescent="0.25">
      <c r="B38" s="56">
        <f>IF($C38="","",ROW()-7)</f>
        <v/>
      </c>
      <c r="C38" s="58"/>
      <c r="D38" s="14"/>
      <c r="E38" s="57"/>
      <c r="F38" s="58"/>
      <c r="G38" s="59"/>
      <c r="H38" s="62"/>
      <c r="I38" s="59"/>
      <c r="J38" s="62"/>
      <c r="K38" s="60"/>
      <c r="L38" s="60"/>
      <c r="M38" s="61">
        <f>IF(OR($K38="",$L38=""),"",ROUND($L38-$K38,2))</f>
        <v/>
      </c>
      <c r="N38" s="74">
        <f>IFERROR(IF($M38="","",$M38/$L38),"")</f>
        <v/>
      </c>
      <c r="O38" s="60"/>
      <c r="P38" s="61">
        <f>IF($L38="","",ROUND($L38-$O38,2))</f>
        <v/>
      </c>
      <c r="Q38" s="58"/>
      <c r="R38" s="62"/>
    </row>
    <row r="39" spans="2:18" ht="20" customHeight="1" x14ac:dyDescent="0.25">
      <c r="B39" s="63">
        <f>IF($C39="","",ROW()-7)</f>
        <v/>
      </c>
      <c r="C39" s="10"/>
      <c r="D39" s="9"/>
      <c r="E39" s="64"/>
      <c r="F39" s="10"/>
      <c r="G39" s="65"/>
      <c r="H39" s="67"/>
      <c r="I39" s="65"/>
      <c r="J39" s="67"/>
      <c r="K39" s="66"/>
      <c r="L39" s="66"/>
      <c r="M39" s="61">
        <f>IF(OR($K39="",$L39=""),"",ROUND($L39-$K39,2))</f>
        <v/>
      </c>
      <c r="N39" s="74">
        <f>IFERROR(IF($M39="","",$M39/$L39),"")</f>
        <v/>
      </c>
      <c r="O39" s="66"/>
      <c r="P39" s="61">
        <f>IF($L39="","",ROUND($L39-$O39,2))</f>
        <v/>
      </c>
      <c r="Q39" s="10"/>
      <c r="R39" s="67"/>
    </row>
    <row r="40" spans="2:18" ht="20" customHeight="1" x14ac:dyDescent="0.25">
      <c r="B40" s="56">
        <f>IF($C40="","",ROW()-7)</f>
        <v/>
      </c>
      <c r="C40" s="58"/>
      <c r="D40" s="14"/>
      <c r="E40" s="57"/>
      <c r="F40" s="58"/>
      <c r="G40" s="59"/>
      <c r="H40" s="62"/>
      <c r="I40" s="59"/>
      <c r="J40" s="62"/>
      <c r="K40" s="60"/>
      <c r="L40" s="60"/>
      <c r="M40" s="61">
        <f>IF(OR($K40="",$L40=""),"",ROUND($L40-$K40,2))</f>
        <v/>
      </c>
      <c r="N40" s="74">
        <f>IFERROR(IF($M40="","",$M40/$L40),"")</f>
        <v/>
      </c>
      <c r="O40" s="60"/>
      <c r="P40" s="61">
        <f>IF($L40="","",ROUND($L40-$O40,2))</f>
        <v/>
      </c>
      <c r="Q40" s="58"/>
      <c r="R40" s="62"/>
    </row>
    <row r="41" spans="2:18" ht="20" customHeight="1" x14ac:dyDescent="0.25">
      <c r="B41" s="63">
        <f>IF($C41="","",ROW()-7)</f>
        <v/>
      </c>
      <c r="C41" s="10"/>
      <c r="D41" s="9"/>
      <c r="E41" s="64"/>
      <c r="F41" s="10"/>
      <c r="G41" s="65"/>
      <c r="H41" s="67"/>
      <c r="I41" s="65"/>
      <c r="J41" s="67"/>
      <c r="K41" s="66"/>
      <c r="L41" s="66"/>
      <c r="M41" s="61">
        <f>IF(OR($K41="",$L41=""),"",ROUND($L41-$K41,2))</f>
        <v/>
      </c>
      <c r="N41" s="74">
        <f>IFERROR(IF($M41="","",$M41/$L41),"")</f>
        <v/>
      </c>
      <c r="O41" s="66"/>
      <c r="P41" s="61">
        <f>IF($L41="","",ROUND($L41-$O41,2))</f>
        <v/>
      </c>
      <c r="Q41" s="10"/>
      <c r="R41" s="67"/>
    </row>
    <row r="42" spans="2:18" ht="20" customHeight="1" x14ac:dyDescent="0.25">
      <c r="B42" s="56">
        <f>IF($C42="","",ROW()-7)</f>
        <v/>
      </c>
      <c r="C42" s="58"/>
      <c r="D42" s="14"/>
      <c r="E42" s="57"/>
      <c r="F42" s="58"/>
      <c r="G42" s="59"/>
      <c r="H42" s="62"/>
      <c r="I42" s="59"/>
      <c r="J42" s="62"/>
      <c r="K42" s="60"/>
      <c r="L42" s="60"/>
      <c r="M42" s="61">
        <f>IF(OR($K42="",$L42=""),"",ROUND($L42-$K42,2))</f>
        <v/>
      </c>
      <c r="N42" s="74">
        <f>IFERROR(IF($M42="","",$M42/$L42),"")</f>
        <v/>
      </c>
      <c r="O42" s="60"/>
      <c r="P42" s="61">
        <f>IF($L42="","",ROUND($L42-$O42,2))</f>
        <v/>
      </c>
      <c r="Q42" s="58"/>
      <c r="R42" s="62"/>
    </row>
    <row r="43" spans="2:18" ht="20" customHeight="1" x14ac:dyDescent="0.25">
      <c r="B43" s="63">
        <f>IF($C43="","",ROW()-7)</f>
        <v/>
      </c>
      <c r="C43" s="10"/>
      <c r="D43" s="9"/>
      <c r="E43" s="64"/>
      <c r="F43" s="10"/>
      <c r="G43" s="65"/>
      <c r="H43" s="67"/>
      <c r="I43" s="65"/>
      <c r="J43" s="67"/>
      <c r="K43" s="66"/>
      <c r="L43" s="66"/>
      <c r="M43" s="61">
        <f>IF(OR($K43="",$L43=""),"",ROUND($L43-$K43,2))</f>
        <v/>
      </c>
      <c r="N43" s="74">
        <f>IFERROR(IF($M43="","",$M43/$L43),"")</f>
        <v/>
      </c>
      <c r="O43" s="66"/>
      <c r="P43" s="61">
        <f>IF($L43="","",ROUND($L43-$O43,2))</f>
        <v/>
      </c>
      <c r="Q43" s="10"/>
      <c r="R43" s="67"/>
    </row>
    <row r="44" spans="2:18" ht="20" customHeight="1" x14ac:dyDescent="0.25">
      <c r="B44" s="56">
        <f>IF($C44="","",ROW()-7)</f>
        <v/>
      </c>
      <c r="C44" s="58"/>
      <c r="D44" s="14"/>
      <c r="E44" s="57"/>
      <c r="F44" s="58"/>
      <c r="G44" s="59"/>
      <c r="H44" s="62"/>
      <c r="I44" s="59"/>
      <c r="J44" s="62"/>
      <c r="K44" s="60"/>
      <c r="L44" s="60"/>
      <c r="M44" s="61">
        <f>IF(OR($K44="",$L44=""),"",ROUND($L44-$K44,2))</f>
        <v/>
      </c>
      <c r="N44" s="74">
        <f>IFERROR(IF($M44="","",$M44/$L44),"")</f>
        <v/>
      </c>
      <c r="O44" s="60"/>
      <c r="P44" s="61">
        <f>IF($L44="","",ROUND($L44-$O44,2))</f>
        <v/>
      </c>
      <c r="Q44" s="58"/>
      <c r="R44" s="62"/>
    </row>
    <row r="45" spans="2:18" ht="20" customHeight="1" x14ac:dyDescent="0.25">
      <c r="B45" s="63">
        <f>IF($C45="","",ROW()-7)</f>
        <v/>
      </c>
      <c r="C45" s="10"/>
      <c r="D45" s="9"/>
      <c r="E45" s="64"/>
      <c r="F45" s="10"/>
      <c r="G45" s="65"/>
      <c r="H45" s="67"/>
      <c r="I45" s="65"/>
      <c r="J45" s="67"/>
      <c r="K45" s="66"/>
      <c r="L45" s="66"/>
      <c r="M45" s="61">
        <f>IF(OR($K45="",$L45=""),"",ROUND($L45-$K45,2))</f>
        <v/>
      </c>
      <c r="N45" s="74">
        <f>IFERROR(IF($M45="","",$M45/$L45),"")</f>
        <v/>
      </c>
      <c r="O45" s="66"/>
      <c r="P45" s="61">
        <f>IF($L45="","",ROUND($L45-$O45,2))</f>
        <v/>
      </c>
      <c r="Q45" s="10"/>
      <c r="R45" s="67"/>
    </row>
    <row r="46" spans="2:18" ht="20" customHeight="1" x14ac:dyDescent="0.25">
      <c r="B46" s="56">
        <f>IF($C46="","",ROW()-7)</f>
        <v/>
      </c>
      <c r="C46" s="58"/>
      <c r="D46" s="14"/>
      <c r="E46" s="57"/>
      <c r="F46" s="58"/>
      <c r="G46" s="59"/>
      <c r="H46" s="62"/>
      <c r="I46" s="59"/>
      <c r="J46" s="62"/>
      <c r="K46" s="60"/>
      <c r="L46" s="60"/>
      <c r="M46" s="61">
        <f>IF(OR($K46="",$L46=""),"",ROUND($L46-$K46,2))</f>
        <v/>
      </c>
      <c r="N46" s="74">
        <f>IFERROR(IF($M46="","",$M46/$L46),"")</f>
        <v/>
      </c>
      <c r="O46" s="60"/>
      <c r="P46" s="61">
        <f>IF($L46="","",ROUND($L46-$O46,2))</f>
        <v/>
      </c>
      <c r="Q46" s="58"/>
      <c r="R46" s="62"/>
    </row>
    <row r="47" spans="2:18" ht="20" customHeight="1" x14ac:dyDescent="0.25">
      <c r="B47" s="63">
        <f>IF($C47="","",ROW()-7)</f>
        <v/>
      </c>
      <c r="C47" s="10"/>
      <c r="D47" s="9"/>
      <c r="E47" s="64"/>
      <c r="F47" s="10"/>
      <c r="G47" s="65"/>
      <c r="H47" s="67"/>
      <c r="I47" s="65"/>
      <c r="J47" s="67"/>
      <c r="K47" s="66"/>
      <c r="L47" s="66"/>
      <c r="M47" s="61">
        <f>IF(OR($K47="",$L47=""),"",ROUND($L47-$K47,2))</f>
        <v/>
      </c>
      <c r="N47" s="74">
        <f>IFERROR(IF($M47="","",$M47/$L47),"")</f>
        <v/>
      </c>
      <c r="O47" s="66"/>
      <c r="P47" s="61">
        <f>IF($L47="","",ROUND($L47-$O47,2))</f>
        <v/>
      </c>
      <c r="Q47" s="10"/>
      <c r="R47" s="67"/>
    </row>
    <row r="48" spans="2:18" ht="24" customHeight="1" x14ac:dyDescent="0.25">
      <c r="B48" s="68" t="s">
        <v>201</v>
      </c>
      <c r="C48" s="68"/>
      <c r="D48" s="69"/>
      <c r="E48" s="69"/>
      <c r="F48" s="69"/>
      <c r="G48" s="70">
        <f>SUMPRODUCT(('📅 Events'!$E$8:$E$47&lt;&gt;"")*'📅 Events'!$G$8:$G$47)</f>
        <v>0</v>
      </c>
      <c r="H48" s="69"/>
      <c r="I48" s="70">
        <f>SUMPRODUCT(('📅 Events'!$E$8:$E$47&lt;&gt;"")*'📅 Events'!$I$8:$I$47)</f>
        <v>0</v>
      </c>
      <c r="J48" s="69"/>
      <c r="K48" s="70">
        <f>SUMPRODUCT(('📅 Events'!$E$8:$E$47&lt;&gt;"")*'📅 Events'!$K$8:$K$47)</f>
        <v>0</v>
      </c>
      <c r="L48" s="70">
        <f>SUMPRODUCT(('📅 Events'!$E$8:$E$47&lt;&gt;"")*'📅 Events'!$L$8:$L$47)</f>
        <v>0</v>
      </c>
      <c r="M48" s="70">
        <f>SUMPRODUCT(('📅 Events'!$E$8:$E$47&lt;&gt;"")*'📅 Events'!$M$8:$M$47)</f>
        <v>0</v>
      </c>
      <c r="N48" s="69"/>
      <c r="O48" s="70">
        <f>SUMPRODUCT(('📅 Events'!$E$8:$E$47&lt;&gt;"")*'📅 Events'!$O$8:$O$47)</f>
        <v>0</v>
      </c>
      <c r="P48" s="70">
        <f>SUM('📅 Events'!$L$8:$L$47)-SUM('📅 Events'!$O$8:$O$47)</f>
        <v>0</v>
      </c>
      <c r="Q48" s="69"/>
      <c r="R48" s="69"/>
    </row>
    <row r="50" spans="2:17" ht="22" customHeight="1" x14ac:dyDescent="0.25">
      <c r="B50" s="15" t="s">
        <v>202</v>
      </c>
      <c r="C50" s="15"/>
      <c r="D50" s="15"/>
      <c r="E50" s="15"/>
      <c r="F50" s="15"/>
      <c r="G50" s="15"/>
      <c r="H50" s="15"/>
      <c r="I50" s="15"/>
      <c r="J50" s="15"/>
      <c r="K50" s="15"/>
      <c r="L50" s="15"/>
      <c r="M50" s="15"/>
      <c r="N50" s="15"/>
      <c r="O50" s="15"/>
      <c r="P50" s="15"/>
      <c r="Q50" s="15"/>
    </row>
    <row r="51" spans="2:17" ht="37.2" customHeight="1" x14ac:dyDescent="0.25">
      <c r="B51" s="22" t="s">
        <v>216</v>
      </c>
      <c r="C51" s="22"/>
      <c r="D51" s="22"/>
      <c r="E51" s="22"/>
      <c r="F51" s="22"/>
      <c r="G51" s="22"/>
      <c r="H51" s="22"/>
      <c r="I51" s="22"/>
      <c r="J51" s="22"/>
      <c r="K51" s="22"/>
      <c r="L51" s="22"/>
      <c r="M51" s="22"/>
      <c r="N51" s="22"/>
      <c r="O51" s="22"/>
      <c r="P51" s="22"/>
      <c r="Q51" s="22"/>
    </row>
    <row r="55" spans="2:17" x14ac:dyDescent="0.25">
      <c r="B55" s="23" t="s">
        <v>185</v>
      </c>
      <c r="C55" s="23"/>
      <c r="D55" s="24" t="s">
        <v>162</v>
      </c>
      <c r="E55" s="24"/>
      <c r="F55" s="25" t="s">
        <v>163</v>
      </c>
      <c r="G55" s="25"/>
      <c r="H55" s="26" t="s">
        <v>217</v>
      </c>
      <c r="I55" s="26"/>
      <c r="J55" s="27" t="s">
        <v>164</v>
      </c>
      <c r="K55" s="27"/>
      <c r="L55" s="28" t="s">
        <v>165</v>
      </c>
      <c r="M55" s="28"/>
      <c r="N55" s="29" t="s">
        <v>166</v>
      </c>
      <c r="O55" s="29"/>
      <c r="P55" s="30" t="s">
        <v>167</v>
      </c>
      <c r="Q55" s="30"/>
    </row>
  </sheetData>
  <sheetProtection password="EC7C" sheet="1" formatCells="0" formatColumns="0" formatRows="0" insertColumns="0" insertRows="0" insertHyperlinks="0" deleteColumns="0" deleteRows="0" sort="0" autoFilter="0"/>
  <mergeCells count="18">
    <mergeCell ref="B2:O2"/>
    <mergeCell ref="B3:O3"/>
    <mergeCell ref="P3:R3"/>
    <mergeCell ref="B5:C5"/>
    <mergeCell ref="D5:E5"/>
    <mergeCell ref="F5:G5"/>
    <mergeCell ref="H5:I5"/>
    <mergeCell ref="B48:C48"/>
    <mergeCell ref="B50:Q50"/>
    <mergeCell ref="B51:Q51"/>
    <mergeCell ref="B55:C55"/>
    <mergeCell ref="D55:E55"/>
    <mergeCell ref="F55:G55"/>
    <mergeCell ref="H55:I55"/>
    <mergeCell ref="J55:K55"/>
    <mergeCell ref="L55:M55"/>
    <mergeCell ref="N55:O55"/>
    <mergeCell ref="P55:Q55"/>
  </mergeCells>
  <conditionalFormatting sqref="E8:E47">
    <cfRule type="expression" dxfId="7" priority="7">
      <formula>AND($E8&lt;&gt;"",$E8&lt;TODAY(),$Q8&lt;&gt;"🎉 Completed",$Q8&lt;&gt;"❌ Cancelled")</formula>
    </cfRule>
    <cfRule type="expression" dxfId="8" priority="8">
      <formula>AND($E8&lt;&gt;"",$E8&gt;=TODAY(),$E8-TODAY()&lt;=DueSoonDays)</formula>
    </cfRule>
  </conditionalFormatting>
  <conditionalFormatting sqref="N8:N47">
    <cfRule type="dataBar" priority="9">
      <dataBar>
        <cfvo type="num" val="0"/>
        <cfvo type="num" val="1"/>
        <color rgb="FF56806A"/>
      </dataBar>
      <extLst>
        <ext xmlns:x14="http://schemas.microsoft.com/office/spreadsheetml/2009/9/main" uri="{B025F937-C7B1-47D3-B67F-A62EFF666E3E}">
          <x14:id>{DA7ABA51-AAAA-BBBB-0005-000000000001}</x14:id>
        </ext>
      </extLst>
    </cfRule>
  </conditionalFormatting>
  <conditionalFormatting sqref="Q8:Q47">
    <cfRule type="expression" dxfId="4" priority="1">
      <formula>$Q8="💬 Inquiry"</formula>
    </cfRule>
    <cfRule type="expression" dxfId="5" priority="2">
      <formula>$Q8="📝 Quote Sent"</formula>
    </cfRule>
    <cfRule type="expression" dxfId="1" priority="3">
      <formula>$Q8="💰 Deposit Paid"</formula>
    </cfRule>
    <cfRule type="expression" dxfId="2" priority="4">
      <formula>$Q8="✅ Confirmed"</formula>
    </cfRule>
    <cfRule type="expression" dxfId="6" priority="5">
      <formula>$Q8="🎉 Completed"</formula>
    </cfRule>
    <cfRule type="expression" dxfId="0" priority="6">
      <formula>$Q8="❌ Cancelled"</formula>
    </cfRule>
  </conditionalFormatting>
  <dataValidations count="10">
    <dataValidation type="list" allowBlank="1" showInputMessage="1" promptTitle="Event type" prompt="Pick from your list (edit it on Setup)." sqref="F8:F47">
      <formula1>EventTypes</formula1>
    </dataValidation>
    <dataValidation type="list" allowBlank="1" showInputMessage="1" promptTitle="Status" prompt="Inquiry → Quote sent → Deposit paid → Confirmed → Completed." sqref="Q8:Q47">
      <formula1>EventStatuses</formula1>
    </dataValidation>
    <dataValidation type="list" allowBlank="1" showInputMessage="1" showErrorMessage="1" promptTitle="Client" prompt="Pick a client from the Clients tab (or type a new name and add them there)." sqref="D8:D47">
      <formula1>ClientsList</formula1>
    </dataValidation>
    <dataValidation type="list" errorStyle="warning" allowBlank="1" showInputMessage="1" showErrorMessage="1" errorTitle="Not on the menu list" error="That's not one of your priced menu items - continue anyway?" promptTitle="Menu" prompt="Pick a dish from Menu Costing, or type a combination (comma separated)." sqref="H8:H47">
      <formula1>MenuItems</formula1>
    </dataValidation>
    <dataValidation type="date" errorStyle="warning" allowBlank="1" showInputMessage="1" showErrorMessage="1" errorTitle="That's not a date" error="Enter a date between 2000 and 2100." promptTitle="Date" prompt="Type a date, or pick one from the calendar picker." sqref="E8:E47">
      <formula1>36526</formula1>
      <formula2>73415</formula2>
    </dataValidation>
    <dataValidation type="whole" errorStyle="warning" allowBlank="1" showInputMessage="1" showErrorMessage="1" errorTitle="Whole numbers only" error="Please enter a whole number." sqref="G8:G47">
      <formula1>0</formula1>
      <formula2>100000</formula2>
    </dataValidation>
    <dataValidation type="whole" errorStyle="warning" allowBlank="1" showInputMessage="1" showErrorMessage="1" errorTitle="Whole numbers only" error="Please enter a whole number." sqref="I8:I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 type="decimal" operator="greaterThanOrEqual" errorStyle="warning" allowBlank="1" showInputMessage="1" showErrorMessage="1" errorTitle="Enter money" error="Please enter a positive number (no currency symbol) - the symbol comes from Setup." sqref="O8:O47">
      <formula1>0</formula1>
    </dataValidation>
  </dataValidations>
  <hyperlinks>
    <hyperlink ref="P3" location="'📊 Dashboard'!A1" display="🏠  Back to Dashboard"/>
    <hyperlink ref="B55" location="'⚙️ Setup'!A1" display="Setup"/>
    <hyperlink ref="D55" location="'📊 Dashboard'!A1" display="🏠 Home"/>
    <hyperlink ref="F55" location="'👥 Clients'!A1" display="Clients"/>
    <hyperlink ref="H55" location="'📅 Events'!A1" display="▶ Events"/>
    <hyperlink ref="J55" location="'🧮 Quote Calculator'!A1" display="Quote"/>
    <hyperlink ref="L55" location="'💸 Expenses'!A1" display="Expenses"/>
    <hyperlink ref="N55" location="'💰 Payments'!A1" display="Payments"/>
    <hyperlink ref="P55"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5-000000000001}">
            <x14:dataBar minLength="0" maxLength="100" border="1" gradient="0" negativeBarBorderColorSameAsPositive="0">
              <x14:cfvo type="num">
                <xm:f>0</xm:f>
              </x14:cfvo>
              <x14:cfvo type="num">
                <xm:f>1</xm:f>
              </x14:cfvo>
              <x14:borderColor rgb="FF56806A"/>
              <x14:negativeFillColor rgb="FFFF0000"/>
              <x14:negativeBorderColor rgb="FFFF0000"/>
              <x14:axisColor rgb="FF000000"/>
            </x14:dataBar>
          </x14:cfRule>
          <xm:sqref>N8:N47</xm:sqref>
        </x14:conditionalFormatting>
      </x14:conditionalFormattings>
    </ext>
  </extLst>
</worksheet>
</file>

<file path=xl/worksheets/sheet6.xml><?xml version="1.0" encoding="utf-8"?>
<worksheet xmlns="http://schemas.openxmlformats.org/spreadsheetml/2006/main" xmlns:r="http://schemas.openxmlformats.org/officeDocument/2006/relationships">
  <sheetPr>
    <tabColor rgb="FF3E6E8E"/>
    <pageSetUpPr fitToPage="1"/>
  </sheetPr>
  <dimension ref="A1:G36"/>
  <sheetViews>
    <sheetView showGridLines="0" workbookViewId="0"/>
  </sheetViews>
  <sheetFormatPr defaultRowHeight="15"/>
  <cols>
    <col min="1" max="1" width="2.85546875" customWidth="1"/>
    <col min="2" max="2" width="25.7109375" customWidth="1"/>
    <col min="3" max="3" width="16.7109375" customWidth="1"/>
    <col min="4" max="4" width="3.7109375" customWidth="1"/>
    <col min="5" max="5" width="25.7109375" customWidth="1"/>
    <col min="6" max="6" width="18.7109375" customWidth="1"/>
    <col min="7" max="7" width="3.7109375" customWidth="1"/>
  </cols>
  <sheetData>
    <row r="1" spans="2:6" ht="7" customHeight="1"/>
    <row r="2" spans="2:6" ht="30" customHeight="1">
      <c r="B2" s="3" t="s">
        <v>218</v>
      </c>
      <c r="C2" s="3"/>
      <c r="D2" s="4"/>
      <c r="E2" s="4"/>
      <c r="F2" s="4"/>
    </row>
    <row r="3" spans="2:6" ht="18" customHeight="1">
      <c r="B3" s="5" t="s">
        <v>219</v>
      </c>
      <c r="C3" s="5"/>
      <c r="D3" s="6" t="s">
        <v>95</v>
      </c>
      <c r="E3" s="6"/>
      <c r="F3" s="6"/>
    </row>
    <row r="4" spans="2:6" ht="7" customHeight="1"/>
    <row r="5" spans="2:6" ht="26" customHeight="1"/>
    <row r="6" spans="2:6" ht="7" customHeight="1"/>
    <row r="7" spans="2:6" ht="21" customHeight="1"/>
    <row r="8" spans="2:6" ht="21" customHeight="1">
      <c r="B8" s="7" t="s">
        <v>220</v>
      </c>
      <c r="C8" s="7"/>
      <c r="D8" s="75" t="s">
        <v>221</v>
      </c>
      <c r="E8" s="75"/>
    </row>
    <row r="9" spans="2:6" ht="21" customHeight="1"/>
    <row r="10" spans="2:6" ht="21" customHeight="1">
      <c r="B10" s="8" t="s">
        <v>222</v>
      </c>
      <c r="C10" s="9"/>
    </row>
    <row r="11" spans="2:6" ht="21" customHeight="1">
      <c r="B11" s="8" t="s">
        <v>223</v>
      </c>
      <c r="C11" s="64"/>
    </row>
    <row r="12" spans="2:6" ht="21" customHeight="1">
      <c r="B12" s="8" t="s">
        <v>193</v>
      </c>
      <c r="C12" s="65"/>
    </row>
    <row r="13" spans="2:6" ht="21" customHeight="1"/>
    <row r="14" spans="2:6" ht="21" customHeight="1">
      <c r="B14" s="8" t="s">
        <v>224</v>
      </c>
      <c r="C14" s="66"/>
      <c r="D14" s="76" t="s">
        <v>231</v>
      </c>
      <c r="E14" s="77">
        <f>IF($C$12="","",ROUND($C$12*$C$14,2))</f>
        <v/>
      </c>
    </row>
    <row r="15" spans="2:6" ht="21" customHeight="1">
      <c r="B15" s="8" t="s">
        <v>225</v>
      </c>
      <c r="C15" s="66"/>
      <c r="D15" s="76" t="s">
        <v>232</v>
      </c>
      <c r="E15" s="77">
        <f>IF($C$12="","",ROUND($C$12*$C$14+$C$15+$C$16+$C$17+$C$18,2))</f>
        <v/>
      </c>
    </row>
    <row r="16" spans="2:6" ht="21" customHeight="1">
      <c r="B16" s="8" t="s">
        <v>226</v>
      </c>
      <c r="C16" s="66"/>
      <c r="D16" s="78" t="s">
        <v>233</v>
      </c>
      <c r="E16" s="79">
        <f>IF($E$15="","",ROUND($E$15/(1-$C$20),2))</f>
        <v/>
      </c>
    </row>
    <row r="17" spans="1:7" ht="21" customHeight="1">
      <c r="B17" s="8" t="s">
        <v>227</v>
      </c>
      <c r="C17" s="66"/>
      <c r="D17" s="76" t="s">
        <v>234</v>
      </c>
      <c r="E17" s="77">
        <f>IF($E$16="","",ROUND($E$16/$C$12,2))</f>
        <v/>
      </c>
    </row>
    <row r="18" spans="1:7" ht="21" customHeight="1">
      <c r="B18" s="8" t="s">
        <v>228</v>
      </c>
      <c r="C18" s="66"/>
      <c r="D18" s="76" t="s">
        <v>235</v>
      </c>
      <c r="E18" s="77">
        <f>IF($E$16="","",ROUND($E$16-$E$15,2))</f>
        <v/>
      </c>
    </row>
    <row r="19" spans="1:7" ht="21" customHeight="1">
      <c r="D19" s="76" t="s">
        <v>215</v>
      </c>
      <c r="E19" s="77">
        <f>IFERROR(IF($E$18="","",$E$18/$E$16),"")</f>
        <v/>
      </c>
    </row>
    <row r="20" spans="1:7" ht="21" customHeight="1">
      <c r="B20" s="8" t="s">
        <v>229</v>
      </c>
      <c r="C20" s="11">
        <f>DefaultMargin</f>
        <v>0.35</v>
      </c>
      <c r="D20" s="76" t="s">
        <v>109</v>
      </c>
      <c r="E20" s="77">
        <f>IF($E$16="","",ROUND($E$16*$C$21,2))</f>
        <v/>
      </c>
    </row>
    <row r="21" spans="1:7" ht="21" customHeight="1">
      <c r="B21" s="8" t="s">
        <v>230</v>
      </c>
      <c r="C21" s="11">
        <f>DepositPct</f>
        <v>0.4</v>
      </c>
      <c r="D21" s="76" t="s">
        <v>236</v>
      </c>
      <c r="E21" s="77">
        <f>IF($E$16="","",ROUND($E$16*(1-$C$21),2))</f>
        <v/>
      </c>
    </row>
    <row r="22" spans="1:7" ht="21" customHeight="1">
      <c r="D22" s="76" t="s">
        <v>237</v>
      </c>
      <c r="E22" s="77">
        <f>IF($E$15="","",ROUND($E$15/$C$12,2))</f>
        <v/>
      </c>
    </row>
    <row r="23" spans="1:7" ht="21" customHeight="1"/>
    <row r="24" spans="1:7" ht="21" customHeight="1">
      <c r="B24" s="80">
        <f>IF($E$16="","",Currency&amp;TEXT($E$16,"#,##0.00")&amp;"  for the event   ·   "&amp;Currency&amp;TEXT($E$17,"#,##0.00")&amp;" per guest")</f>
        <v/>
      </c>
      <c r="C24" s="80"/>
      <c r="D24" s="80"/>
      <c r="E24" s="80"/>
      <c r="F24" s="80"/>
    </row>
    <row r="25" spans="1:7" ht="21" customHeight="1">
      <c r="B25" s="80"/>
      <c r="C25" s="80"/>
      <c r="D25" s="80"/>
      <c r="E25" s="80"/>
      <c r="F25" s="80"/>
    </row>
    <row r="26" spans="1:7" ht="8" customHeight="1">
      <c r="A26" s="4"/>
      <c r="B26" s="4"/>
      <c r="C26" s="4"/>
      <c r="D26" s="4"/>
      <c r="E26" s="4"/>
      <c r="F26" s="4"/>
      <c r="G26" s="4"/>
    </row>
    <row r="27" spans="1:7" ht="22" customHeight="1">
      <c r="B27" s="15" t="s">
        <v>238</v>
      </c>
      <c r="C27" s="15"/>
      <c r="D27" s="15"/>
      <c r="E27" s="15"/>
      <c r="F27" s="15"/>
    </row>
    <row r="28" spans="1:7" ht="37.2" customHeight="1">
      <c r="B28" s="22" t="s">
        <v>239</v>
      </c>
      <c r="C28" s="22"/>
      <c r="D28" s="22"/>
      <c r="E28" s="22"/>
      <c r="F28" s="22"/>
    </row>
    <row r="29" spans="1:7" ht="37.2" customHeight="1">
      <c r="B29" s="22" t="s">
        <v>240</v>
      </c>
      <c r="C29" s="22"/>
      <c r="D29" s="22"/>
      <c r="E29" s="22"/>
      <c r="F29" s="22"/>
    </row>
    <row r="30" spans="1:7" ht="37.2" customHeight="1">
      <c r="B30" s="22" t="s">
        <v>241</v>
      </c>
      <c r="C30" s="22"/>
      <c r="D30" s="22"/>
      <c r="E30" s="22"/>
      <c r="F30" s="22"/>
    </row>
    <row r="31" spans="1:7" ht="21" customHeight="1"/>
    <row r="32" spans="1:7" ht="21" customHeight="1">
      <c r="B32" s="23" t="s">
        <v>185</v>
      </c>
      <c r="C32" s="23"/>
      <c r="D32" s="24" t="s">
        <v>162</v>
      </c>
      <c r="E32" s="24"/>
    </row>
    <row r="33" spans="2:5" ht="24" customHeight="1">
      <c r="B33" s="25" t="s">
        <v>163</v>
      </c>
      <c r="C33" s="25"/>
      <c r="D33" s="26" t="s">
        <v>17</v>
      </c>
      <c r="E33" s="26"/>
    </row>
    <row r="34" spans="2:5" ht="24" customHeight="1">
      <c r="B34" s="27" t="s">
        <v>242</v>
      </c>
      <c r="C34" s="27"/>
      <c r="D34" s="28" t="s">
        <v>165</v>
      </c>
      <c r="E34" s="28"/>
    </row>
    <row r="35" spans="2:5" ht="24" customHeight="1">
      <c r="B35" s="29" t="s">
        <v>166</v>
      </c>
      <c r="C35" s="29"/>
      <c r="D35" s="30" t="s">
        <v>167</v>
      </c>
      <c r="E35" s="30"/>
    </row>
    <row r="36" spans="2:5" ht="21" customHeight="1"/>
  </sheetData>
  <sheetProtection password="EC7C" sheet="1" formatCells="0" formatColumns="0" formatRows="0" insertColumns="0" insertRows="0" insertHyperlinks="0" deleteColumns="0" deleteRows="0" sort="0" autoFilter="0"/>
  <mergeCells count="18">
    <mergeCell ref="B2:C2"/>
    <mergeCell ref="B3:C3"/>
    <mergeCell ref="D3:F3"/>
    <mergeCell ref="B8:C8"/>
    <mergeCell ref="D8:E8"/>
    <mergeCell ref="B24:F25"/>
    <mergeCell ref="B27:F27"/>
    <mergeCell ref="B28:F28"/>
    <mergeCell ref="B29:F29"/>
    <mergeCell ref="B30:F30"/>
    <mergeCell ref="B32:C32"/>
    <mergeCell ref="D32:E32"/>
    <mergeCell ref="B33:C33"/>
    <mergeCell ref="D33:E33"/>
    <mergeCell ref="B34:C34"/>
    <mergeCell ref="D34:E34"/>
    <mergeCell ref="B35:C35"/>
    <mergeCell ref="D35:E35"/>
  </mergeCells>
  <dataValidations count="9">
    <dataValidation type="whole" errorStyle="warning" allowBlank="1" showInputMessage="1" showErrorMessage="1" errorTitle="Guest count" error="Enter the headcount as a whole number." sqref="C12">
      <formula1>1</formula1>
      <formula2>100000</formula2>
    </dataValidation>
    <dataValidation type="decimal" errorStyle="warning" allowBlank="1" showInputMessage="1" showErrorMessage="1" errorTitle="Cost" error="Enter a positive number - no currency symbol." sqref="C14">
      <formula1>0</formula1>
      <formula2>1000000</formula2>
    </dataValidation>
    <dataValidation type="decimal" errorStyle="warning" allowBlank="1" showInputMessage="1" showErrorMessage="1" errorTitle="Cost" error="Enter a positive number - no currency symbol." sqref="C15">
      <formula1>0</formula1>
      <formula2>1000000</formula2>
    </dataValidation>
    <dataValidation type="decimal" errorStyle="warning" allowBlank="1" showInputMessage="1" showErrorMessage="1" errorTitle="Cost" error="Enter a positive number - no currency symbol." sqref="C16">
      <formula1>0</formula1>
      <formula2>1000000</formula2>
    </dataValidation>
    <dataValidation type="decimal" errorStyle="warning" allowBlank="1" showInputMessage="1" showErrorMessage="1" errorTitle="Cost" error="Enter a positive number - no currency symbol." sqref="C17">
      <formula1>0</formula1>
      <formula2>1000000</formula2>
    </dataValidation>
    <dataValidation type="decimal" errorStyle="warning" allowBlank="1" showInputMessage="1" showErrorMessage="1" errorTitle="Cost" error="Enter a positive number - no currency symbol." sqref="C18">
      <formula1>0</formula1>
      <formula2>1000000</formula2>
    </dataValidation>
    <dataValidation type="decimal" errorStyle="warning" allowBlank="1" showInputMessage="1" showErrorMessage="1" errorTitle="Margin" error="Enter a share between 0% and 90%." sqref="C20">
      <formula1>0</formula1>
      <formula2>0.9</formula2>
    </dataValidation>
    <dataValidation type="decimal" errorStyle="warning" allowBlank="1" showInputMessage="1" showErrorMessage="1" errorTitle="Deposit" error="Enter a share between 0% and 100%." sqref="C21">
      <formula1>0</formula1>
      <formula2>1</formula2>
    </dataValidation>
    <dataValidation type="date" errorStyle="warning" allowBlank="1" showInputMessage="1" showErrorMessage="1" errorTitle="That's not a date" error="Enter a date between 2000 and 2100." promptTitle="Date" prompt="Type a date, or pick one from the calendar." sqref="C11">
      <formula1>36526</formula1>
      <formula2>73415</formula2>
    </dataValidation>
  </dataValidations>
  <hyperlinks>
    <hyperlink ref="D3" location="'📊 Dashboard'!A1" display="🏠  Back to Dashboard"/>
    <hyperlink ref="B32" location="'⚙️ Setup'!A1" display="Setup"/>
    <hyperlink ref="D32" location="'📊 Dashboard'!A1" display="🏠 Home"/>
    <hyperlink ref="B33" location="'👥 Clients'!A1" display="Clients"/>
    <hyperlink ref="D33" location="'📅 Events'!A1" display="Events"/>
    <hyperlink ref="B34" location="'🧮 Quote Calculator'!A1" display="▶ Quote"/>
    <hyperlink ref="D34" location="'💸 Expenses'!A1" display="Expenses"/>
    <hyperlink ref="B35" location="'💰 Payments'!A1" display="Payments"/>
    <hyperlink ref="D35"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23A3A"/>
    <pageSetUpPr fitToPage="1"/>
  </sheetPr>
  <dimension ref="A1:J7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0.7109375" customWidth="1"/>
    <col min="5" max="5" width="16.7109375" customWidth="1"/>
    <col min="6" max="6" width="34.7109375" customWidth="1"/>
    <col min="7" max="7" width="11.7109375" customWidth="1"/>
    <col min="8" max="8" width="14.7109375" customWidth="1"/>
    <col min="9" max="9" width="12.7109375" customWidth="1"/>
    <col min="10" max="10" width="14.7109375" customWidth="1"/>
  </cols>
  <sheetData>
    <row r="1" spans="2:10" ht="7" customHeight="1" x14ac:dyDescent="0.25"/>
    <row r="2" spans="2:10" ht="30" customHeight="1" x14ac:dyDescent="0.25">
      <c r="B2" s="3" t="s">
        <v>165</v>
      </c>
      <c r="C2" s="3"/>
      <c r="D2" s="3"/>
      <c r="E2" s="3"/>
      <c r="F2" s="3"/>
      <c r="G2" s="3"/>
      <c r="H2" s="4"/>
      <c r="I2" s="4"/>
      <c r="J2" s="4"/>
    </row>
    <row r="3" spans="2:10" ht="18" customHeight="1" x14ac:dyDescent="0.25">
      <c r="B3" s="5" t="s">
        <v>243</v>
      </c>
      <c r="C3" s="5"/>
      <c r="D3" s="5"/>
      <c r="E3" s="5"/>
      <c r="F3" s="5"/>
      <c r="G3" s="5"/>
      <c r="H3" s="6" t="s">
        <v>95</v>
      </c>
      <c r="I3" s="6"/>
      <c r="J3" s="6"/>
    </row>
    <row r="4" spans="2:10" ht="7" customHeight="1" x14ac:dyDescent="0.25"/>
    <row r="5" spans="2:10" ht="26" customHeight="1" x14ac:dyDescent="0.25">
      <c r="B5" s="81" t="str">
        <f>"Total spend: "&amp;Currency&amp;TEXT(SUM('💸 Expenses'!$G$8:$G$67),"#,##0")</f>
        <v>Total spend: $0</v>
      </c>
      <c r="C5" s="81"/>
      <c r="D5" s="51" t="str">
        <f>"This month: "&amp;Currency&amp;TEXT(SUMPRODUCT(('💸 Expenses'!$C$8:$C$67&lt;&gt;"")*(MONTH('💸 Expenses'!$C$8:$C$67)=MONTH(TODAY()))*(YEAR('💸 Expenses'!$C$8:$C$67)=YEAR(TODAY()))*'💸 Expenses'!$G$8:$G$67),"#,##0")</f>
        <v>This month: $0</v>
      </c>
      <c r="E5" s="51"/>
      <c r="F5" s="72" t="str">
        <f>"Food &amp; packaging: "&amp;Currency&amp;TEXT('_Data'!$AF$17,"#,##0")</f>
        <v>Food &amp; packaging: $0</v>
      </c>
      <c r="G5" s="72"/>
      <c r="H5" s="71" t="str">
        <f>"No receipt: "&amp;COUNTA('💸 Expenses'!$C$8:$C$67)-COUNTIF('💸 Expenses'!$J$8:$J$67,"✓")</f>
        <v>No receipt: 0</v>
      </c>
      <c r="I5" s="71"/>
    </row>
    <row r="6" spans="2:10" ht="7" customHeight="1" x14ac:dyDescent="0.25"/>
    <row r="7" spans="2:10" ht="36" customHeight="1" x14ac:dyDescent="0.25">
      <c r="B7" s="2" t="s">
        <v>188</v>
      </c>
      <c r="C7" s="53" t="s">
        <v>207</v>
      </c>
      <c r="D7" s="52" t="s">
        <v>244</v>
      </c>
      <c r="E7" s="2" t="s">
        <v>245</v>
      </c>
      <c r="F7" s="2" t="s">
        <v>246</v>
      </c>
      <c r="G7" s="73" t="s">
        <v>247</v>
      </c>
      <c r="H7" s="2" t="s">
        <v>248</v>
      </c>
      <c r="I7" s="2" t="s">
        <v>249</v>
      </c>
      <c r="J7" s="54" t="s">
        <v>250</v>
      </c>
    </row>
    <row r="8" spans="2:10" ht="20" customHeight="1" x14ac:dyDescent="0.25">
      <c r="B8" s="56">
        <f>IF($C8="","",ROW()-7)</f>
        <v/>
      </c>
      <c r="C8" s="57"/>
      <c r="D8" s="14"/>
      <c r="E8" s="58"/>
      <c r="F8" s="62"/>
      <c r="G8" s="60"/>
      <c r="H8" s="58"/>
      <c r="I8" s="58"/>
      <c r="J8" s="82"/>
    </row>
    <row r="9" spans="2:10" ht="20" customHeight="1" x14ac:dyDescent="0.25">
      <c r="B9" s="63">
        <f>IF($C9="","",ROW()-7)</f>
        <v/>
      </c>
      <c r="C9" s="64"/>
      <c r="D9" s="9"/>
      <c r="E9" s="10"/>
      <c r="F9" s="67"/>
      <c r="G9" s="66"/>
      <c r="H9" s="10"/>
      <c r="I9" s="10"/>
      <c r="J9" s="83"/>
    </row>
    <row r="10" spans="2:10" ht="20" customHeight="1" x14ac:dyDescent="0.25">
      <c r="B10" s="56">
        <f>IF($C10="","",ROW()-7)</f>
        <v/>
      </c>
      <c r="C10" s="57"/>
      <c r="D10" s="14"/>
      <c r="E10" s="58"/>
      <c r="F10" s="62"/>
      <c r="G10" s="60"/>
      <c r="H10" s="58"/>
      <c r="I10" s="58"/>
      <c r="J10" s="82"/>
    </row>
    <row r="11" spans="2:10" ht="20" customHeight="1" x14ac:dyDescent="0.25">
      <c r="B11" s="63">
        <f>IF($C11="","",ROW()-7)</f>
        <v/>
      </c>
      <c r="C11" s="64"/>
      <c r="D11" s="9"/>
      <c r="E11" s="10"/>
      <c r="F11" s="67"/>
      <c r="G11" s="66"/>
      <c r="H11" s="10"/>
      <c r="I11" s="10"/>
      <c r="J11" s="83"/>
    </row>
    <row r="12" spans="2:10" ht="20" customHeight="1" x14ac:dyDescent="0.25">
      <c r="B12" s="56">
        <f>IF($C12="","",ROW()-7)</f>
        <v/>
      </c>
      <c r="C12" s="57"/>
      <c r="D12" s="14"/>
      <c r="E12" s="58"/>
      <c r="F12" s="62"/>
      <c r="G12" s="60"/>
      <c r="H12" s="58"/>
      <c r="I12" s="58"/>
      <c r="J12" s="82"/>
    </row>
    <row r="13" spans="2:10" ht="20" customHeight="1" x14ac:dyDescent="0.25">
      <c r="B13" s="63">
        <f>IF($C13="","",ROW()-7)</f>
        <v/>
      </c>
      <c r="C13" s="64"/>
      <c r="D13" s="9"/>
      <c r="E13" s="10"/>
      <c r="F13" s="67"/>
      <c r="G13" s="66"/>
      <c r="H13" s="10"/>
      <c r="I13" s="10"/>
      <c r="J13" s="83"/>
    </row>
    <row r="14" spans="2:10" ht="20" customHeight="1" x14ac:dyDescent="0.25">
      <c r="B14" s="56">
        <f>IF($C14="","",ROW()-7)</f>
        <v/>
      </c>
      <c r="C14" s="57"/>
      <c r="D14" s="14"/>
      <c r="E14" s="58"/>
      <c r="F14" s="62"/>
      <c r="G14" s="60"/>
      <c r="H14" s="58"/>
      <c r="I14" s="58"/>
      <c r="J14" s="82"/>
    </row>
    <row r="15" spans="2:10" ht="20" customHeight="1" x14ac:dyDescent="0.25">
      <c r="B15" s="63">
        <f>IF($C15="","",ROW()-7)</f>
        <v/>
      </c>
      <c r="C15" s="64"/>
      <c r="D15" s="9"/>
      <c r="E15" s="10"/>
      <c r="F15" s="67"/>
      <c r="G15" s="66"/>
      <c r="H15" s="10"/>
      <c r="I15" s="10"/>
      <c r="J15" s="83"/>
    </row>
    <row r="16" spans="2:10" ht="20" customHeight="1" x14ac:dyDescent="0.25">
      <c r="B16" s="56">
        <f>IF($C16="","",ROW()-7)</f>
        <v/>
      </c>
      <c r="C16" s="57"/>
      <c r="D16" s="14"/>
      <c r="E16" s="58"/>
      <c r="F16" s="62"/>
      <c r="G16" s="60"/>
      <c r="H16" s="58"/>
      <c r="I16" s="58"/>
      <c r="J16" s="82"/>
    </row>
    <row r="17" spans="2:10" ht="20" customHeight="1" x14ac:dyDescent="0.25">
      <c r="B17" s="63">
        <f>IF($C17="","",ROW()-7)</f>
        <v/>
      </c>
      <c r="C17" s="64"/>
      <c r="D17" s="9"/>
      <c r="E17" s="10"/>
      <c r="F17" s="67"/>
      <c r="G17" s="66"/>
      <c r="H17" s="10"/>
      <c r="I17" s="10"/>
      <c r="J17" s="83"/>
    </row>
    <row r="18" spans="2:10" ht="20" customHeight="1" x14ac:dyDescent="0.25">
      <c r="B18" s="56">
        <f>IF($C18="","",ROW()-7)</f>
        <v/>
      </c>
      <c r="C18" s="57"/>
      <c r="D18" s="14"/>
      <c r="E18" s="58"/>
      <c r="F18" s="62"/>
      <c r="G18" s="60"/>
      <c r="H18" s="58"/>
      <c r="I18" s="58"/>
      <c r="J18" s="82"/>
    </row>
    <row r="19" spans="2:10" ht="20" customHeight="1" x14ac:dyDescent="0.25">
      <c r="B19" s="63">
        <f>IF($C19="","",ROW()-7)</f>
        <v/>
      </c>
      <c r="C19" s="64"/>
      <c r="D19" s="9"/>
      <c r="E19" s="10"/>
      <c r="F19" s="67"/>
      <c r="G19" s="66"/>
      <c r="H19" s="10"/>
      <c r="I19" s="10"/>
      <c r="J19" s="83"/>
    </row>
    <row r="20" spans="2:10" ht="20" customHeight="1" x14ac:dyDescent="0.25">
      <c r="B20" s="56">
        <f>IF($C20="","",ROW()-7)</f>
        <v/>
      </c>
      <c r="C20" s="57"/>
      <c r="D20" s="14"/>
      <c r="E20" s="58"/>
      <c r="F20" s="62"/>
      <c r="G20" s="60"/>
      <c r="H20" s="58"/>
      <c r="I20" s="58"/>
      <c r="J20" s="82"/>
    </row>
    <row r="21" spans="2:10" ht="20" customHeight="1" x14ac:dyDescent="0.25">
      <c r="B21" s="63">
        <f>IF($C21="","",ROW()-7)</f>
        <v/>
      </c>
      <c r="C21" s="64"/>
      <c r="D21" s="9"/>
      <c r="E21" s="10"/>
      <c r="F21" s="67"/>
      <c r="G21" s="66"/>
      <c r="H21" s="10"/>
      <c r="I21" s="10"/>
      <c r="J21" s="83"/>
    </row>
    <row r="22" spans="2:10" ht="20" customHeight="1" x14ac:dyDescent="0.25">
      <c r="B22" s="56">
        <f>IF($C22="","",ROW()-7)</f>
        <v/>
      </c>
      <c r="C22" s="57"/>
      <c r="D22" s="14"/>
      <c r="E22" s="58"/>
      <c r="F22" s="62"/>
      <c r="G22" s="60"/>
      <c r="H22" s="58"/>
      <c r="I22" s="58"/>
      <c r="J22" s="82"/>
    </row>
    <row r="23" spans="2:10" ht="20" customHeight="1" x14ac:dyDescent="0.25">
      <c r="B23" s="63">
        <f>IF($C23="","",ROW()-7)</f>
        <v/>
      </c>
      <c r="C23" s="64"/>
      <c r="D23" s="9"/>
      <c r="E23" s="10"/>
      <c r="F23" s="67"/>
      <c r="G23" s="66"/>
      <c r="H23" s="10"/>
      <c r="I23" s="10"/>
      <c r="J23" s="83"/>
    </row>
    <row r="24" spans="2:10" ht="20" customHeight="1" x14ac:dyDescent="0.25">
      <c r="B24" s="56">
        <f>IF($C24="","",ROW()-7)</f>
        <v/>
      </c>
      <c r="C24" s="57"/>
      <c r="D24" s="14"/>
      <c r="E24" s="58"/>
      <c r="F24" s="62"/>
      <c r="G24" s="60"/>
      <c r="H24" s="58"/>
      <c r="I24" s="58"/>
      <c r="J24" s="82"/>
    </row>
    <row r="25" spans="2:10" ht="20" customHeight="1" x14ac:dyDescent="0.25">
      <c r="B25" s="63">
        <f>IF($C25="","",ROW()-7)</f>
        <v/>
      </c>
      <c r="C25" s="64"/>
      <c r="D25" s="9"/>
      <c r="E25" s="10"/>
      <c r="F25" s="67"/>
      <c r="G25" s="66"/>
      <c r="H25" s="10"/>
      <c r="I25" s="10"/>
      <c r="J25" s="83"/>
    </row>
    <row r="26" spans="2:10" ht="20" customHeight="1" x14ac:dyDescent="0.25">
      <c r="B26" s="56">
        <f>IF($C26="","",ROW()-7)</f>
        <v/>
      </c>
      <c r="C26" s="57"/>
      <c r="D26" s="14"/>
      <c r="E26" s="58"/>
      <c r="F26" s="62"/>
      <c r="G26" s="60"/>
      <c r="H26" s="58"/>
      <c r="I26" s="58"/>
      <c r="J26" s="82"/>
    </row>
    <row r="27" spans="2:10" ht="20" customHeight="1" x14ac:dyDescent="0.25">
      <c r="B27" s="63">
        <f>IF($C27="","",ROW()-7)</f>
        <v/>
      </c>
      <c r="C27" s="64"/>
      <c r="D27" s="9"/>
      <c r="E27" s="10"/>
      <c r="F27" s="67"/>
      <c r="G27" s="66"/>
      <c r="H27" s="10"/>
      <c r="I27" s="10"/>
      <c r="J27" s="83"/>
    </row>
    <row r="28" spans="2:10" ht="20" customHeight="1" x14ac:dyDescent="0.25">
      <c r="B28" s="56">
        <f>IF($C28="","",ROW()-7)</f>
        <v/>
      </c>
      <c r="C28" s="57"/>
      <c r="D28" s="14"/>
      <c r="E28" s="58"/>
      <c r="F28" s="62"/>
      <c r="G28" s="60"/>
      <c r="H28" s="58"/>
      <c r="I28" s="58"/>
      <c r="J28" s="82"/>
    </row>
    <row r="29" spans="2:10" ht="20" customHeight="1" x14ac:dyDescent="0.25">
      <c r="B29" s="63">
        <f>IF($C29="","",ROW()-7)</f>
        <v/>
      </c>
      <c r="C29" s="64"/>
      <c r="D29" s="9"/>
      <c r="E29" s="10"/>
      <c r="F29" s="67"/>
      <c r="G29" s="66"/>
      <c r="H29" s="10"/>
      <c r="I29" s="10"/>
      <c r="J29" s="83"/>
    </row>
    <row r="30" spans="2:10" ht="20" customHeight="1" x14ac:dyDescent="0.25">
      <c r="B30" s="56">
        <f>IF($C30="","",ROW()-7)</f>
        <v/>
      </c>
      <c r="C30" s="57"/>
      <c r="D30" s="14"/>
      <c r="E30" s="58"/>
      <c r="F30" s="62"/>
      <c r="G30" s="60"/>
      <c r="H30" s="58"/>
      <c r="I30" s="58"/>
      <c r="J30" s="82"/>
    </row>
    <row r="31" spans="2:10" ht="20" customHeight="1" x14ac:dyDescent="0.25">
      <c r="B31" s="63">
        <f>IF($C31="","",ROW()-7)</f>
        <v/>
      </c>
      <c r="C31" s="64"/>
      <c r="D31" s="9"/>
      <c r="E31" s="10"/>
      <c r="F31" s="67"/>
      <c r="G31" s="66"/>
      <c r="H31" s="10"/>
      <c r="I31" s="10"/>
      <c r="J31" s="83"/>
    </row>
    <row r="32" spans="2:10" ht="20" customHeight="1" x14ac:dyDescent="0.25">
      <c r="B32" s="56">
        <f>IF($C32="","",ROW()-7)</f>
        <v/>
      </c>
      <c r="C32" s="57"/>
      <c r="D32" s="14"/>
      <c r="E32" s="58"/>
      <c r="F32" s="62"/>
      <c r="G32" s="60"/>
      <c r="H32" s="58"/>
      <c r="I32" s="58"/>
      <c r="J32" s="82"/>
    </row>
    <row r="33" spans="2:10" ht="20" customHeight="1" x14ac:dyDescent="0.25">
      <c r="B33" s="63">
        <f>IF($C33="","",ROW()-7)</f>
        <v/>
      </c>
      <c r="C33" s="64"/>
      <c r="D33" s="9"/>
      <c r="E33" s="10"/>
      <c r="F33" s="67"/>
      <c r="G33" s="66"/>
      <c r="H33" s="10"/>
      <c r="I33" s="10"/>
      <c r="J33" s="83"/>
    </row>
    <row r="34" spans="2:10" ht="20" customHeight="1" x14ac:dyDescent="0.25">
      <c r="B34" s="56">
        <f>IF($C34="","",ROW()-7)</f>
        <v/>
      </c>
      <c r="C34" s="57"/>
      <c r="D34" s="14"/>
      <c r="E34" s="58"/>
      <c r="F34" s="62"/>
      <c r="G34" s="60"/>
      <c r="H34" s="58"/>
      <c r="I34" s="58"/>
      <c r="J34" s="82"/>
    </row>
    <row r="35" spans="2:10" ht="20" customHeight="1" x14ac:dyDescent="0.25">
      <c r="B35" s="63">
        <f>IF($C35="","",ROW()-7)</f>
        <v/>
      </c>
      <c r="C35" s="64"/>
      <c r="D35" s="9"/>
      <c r="E35" s="10"/>
      <c r="F35" s="67"/>
      <c r="G35" s="66"/>
      <c r="H35" s="10"/>
      <c r="I35" s="10"/>
      <c r="J35" s="83"/>
    </row>
    <row r="36" spans="2:10" ht="20" customHeight="1" x14ac:dyDescent="0.25">
      <c r="B36" s="56">
        <f>IF($C36="","",ROW()-7)</f>
        <v/>
      </c>
      <c r="C36" s="57"/>
      <c r="D36" s="14"/>
      <c r="E36" s="58"/>
      <c r="F36" s="62"/>
      <c r="G36" s="60"/>
      <c r="H36" s="58"/>
      <c r="I36" s="58"/>
      <c r="J36" s="82"/>
    </row>
    <row r="37" spans="2:10" ht="20" customHeight="1" x14ac:dyDescent="0.25">
      <c r="B37" s="63">
        <f>IF($C37="","",ROW()-7)</f>
        <v/>
      </c>
      <c r="C37" s="64"/>
      <c r="D37" s="9"/>
      <c r="E37" s="10"/>
      <c r="F37" s="67"/>
      <c r="G37" s="66"/>
      <c r="H37" s="10"/>
      <c r="I37" s="10"/>
      <c r="J37" s="83"/>
    </row>
    <row r="38" spans="2:10" ht="20" customHeight="1" x14ac:dyDescent="0.25">
      <c r="B38" s="56">
        <f>IF($C38="","",ROW()-7)</f>
        <v/>
      </c>
      <c r="C38" s="57"/>
      <c r="D38" s="14"/>
      <c r="E38" s="58"/>
      <c r="F38" s="62"/>
      <c r="G38" s="60"/>
      <c r="H38" s="58"/>
      <c r="I38" s="58"/>
      <c r="J38" s="82"/>
    </row>
    <row r="39" spans="2:10" ht="20" customHeight="1" x14ac:dyDescent="0.25">
      <c r="B39" s="63">
        <f>IF($C39="","",ROW()-7)</f>
        <v/>
      </c>
      <c r="C39" s="64"/>
      <c r="D39" s="9"/>
      <c r="E39" s="10"/>
      <c r="F39" s="67"/>
      <c r="G39" s="66"/>
      <c r="H39" s="10"/>
      <c r="I39" s="10"/>
      <c r="J39" s="83"/>
    </row>
    <row r="40" spans="2:10" ht="20" customHeight="1" x14ac:dyDescent="0.25">
      <c r="B40" s="56">
        <f>IF($C40="","",ROW()-7)</f>
        <v/>
      </c>
      <c r="C40" s="57"/>
      <c r="D40" s="14"/>
      <c r="E40" s="58"/>
      <c r="F40" s="62"/>
      <c r="G40" s="60"/>
      <c r="H40" s="58"/>
      <c r="I40" s="58"/>
      <c r="J40" s="82"/>
    </row>
    <row r="41" spans="2:10" ht="20" customHeight="1" x14ac:dyDescent="0.25">
      <c r="B41" s="63">
        <f>IF($C41="","",ROW()-7)</f>
        <v/>
      </c>
      <c r="C41" s="64"/>
      <c r="D41" s="9"/>
      <c r="E41" s="10"/>
      <c r="F41" s="67"/>
      <c r="G41" s="66"/>
      <c r="H41" s="10"/>
      <c r="I41" s="10"/>
      <c r="J41" s="83"/>
    </row>
    <row r="42" spans="2:10" ht="20" customHeight="1" x14ac:dyDescent="0.25">
      <c r="B42" s="56">
        <f>IF($C42="","",ROW()-7)</f>
        <v/>
      </c>
      <c r="C42" s="57"/>
      <c r="D42" s="14"/>
      <c r="E42" s="58"/>
      <c r="F42" s="62"/>
      <c r="G42" s="60"/>
      <c r="H42" s="58"/>
      <c r="I42" s="58"/>
      <c r="J42" s="82"/>
    </row>
    <row r="43" spans="2:10" ht="20" customHeight="1" x14ac:dyDescent="0.25">
      <c r="B43" s="63">
        <f>IF($C43="","",ROW()-7)</f>
        <v/>
      </c>
      <c r="C43" s="64"/>
      <c r="D43" s="9"/>
      <c r="E43" s="10"/>
      <c r="F43" s="67"/>
      <c r="G43" s="66"/>
      <c r="H43" s="10"/>
      <c r="I43" s="10"/>
      <c r="J43" s="83"/>
    </row>
    <row r="44" spans="2:10" ht="20" customHeight="1" x14ac:dyDescent="0.25">
      <c r="B44" s="56">
        <f>IF($C44="","",ROW()-7)</f>
        <v/>
      </c>
      <c r="C44" s="57"/>
      <c r="D44" s="14"/>
      <c r="E44" s="58"/>
      <c r="F44" s="62"/>
      <c r="G44" s="60"/>
      <c r="H44" s="58"/>
      <c r="I44" s="58"/>
      <c r="J44" s="82"/>
    </row>
    <row r="45" spans="2:10" ht="20" customHeight="1" x14ac:dyDescent="0.25">
      <c r="B45" s="63">
        <f>IF($C45="","",ROW()-7)</f>
        <v/>
      </c>
      <c r="C45" s="64"/>
      <c r="D45" s="9"/>
      <c r="E45" s="10"/>
      <c r="F45" s="67"/>
      <c r="G45" s="66"/>
      <c r="H45" s="10"/>
      <c r="I45" s="10"/>
      <c r="J45" s="83"/>
    </row>
    <row r="46" spans="2:10" ht="20" customHeight="1" x14ac:dyDescent="0.25">
      <c r="B46" s="56">
        <f>IF($C46="","",ROW()-7)</f>
        <v/>
      </c>
      <c r="C46" s="57"/>
      <c r="D46" s="14"/>
      <c r="E46" s="58"/>
      <c r="F46" s="62"/>
      <c r="G46" s="60"/>
      <c r="H46" s="58"/>
      <c r="I46" s="58"/>
      <c r="J46" s="82"/>
    </row>
    <row r="47" spans="2:10" ht="20" customHeight="1" x14ac:dyDescent="0.25">
      <c r="B47" s="63">
        <f>IF($C47="","",ROW()-7)</f>
        <v/>
      </c>
      <c r="C47" s="64"/>
      <c r="D47" s="9"/>
      <c r="E47" s="10"/>
      <c r="F47" s="67"/>
      <c r="G47" s="66"/>
      <c r="H47" s="10"/>
      <c r="I47" s="10"/>
      <c r="J47" s="83"/>
    </row>
    <row r="48" spans="2:10" ht="20" customHeight="1" x14ac:dyDescent="0.25">
      <c r="B48" s="56">
        <f>IF($C48="","",ROW()-7)</f>
        <v/>
      </c>
      <c r="C48" s="57"/>
      <c r="D48" s="14"/>
      <c r="E48" s="58"/>
      <c r="F48" s="62"/>
      <c r="G48" s="60"/>
      <c r="H48" s="58"/>
      <c r="I48" s="58"/>
      <c r="J48" s="82"/>
    </row>
    <row r="49" spans="2:10" ht="20" customHeight="1" x14ac:dyDescent="0.25">
      <c r="B49" s="63">
        <f>IF($C49="","",ROW()-7)</f>
        <v/>
      </c>
      <c r="C49" s="64"/>
      <c r="D49" s="9"/>
      <c r="E49" s="10"/>
      <c r="F49" s="67"/>
      <c r="G49" s="66"/>
      <c r="H49" s="10"/>
      <c r="I49" s="10"/>
      <c r="J49" s="83"/>
    </row>
    <row r="50" spans="2:10" ht="20" customHeight="1" x14ac:dyDescent="0.25">
      <c r="B50" s="56">
        <f>IF($C50="","",ROW()-7)</f>
        <v/>
      </c>
      <c r="C50" s="57"/>
      <c r="D50" s="14"/>
      <c r="E50" s="58"/>
      <c r="F50" s="62"/>
      <c r="G50" s="60"/>
      <c r="H50" s="58"/>
      <c r="I50" s="58"/>
      <c r="J50" s="82"/>
    </row>
    <row r="51" spans="2:10" ht="20" customHeight="1" x14ac:dyDescent="0.25">
      <c r="B51" s="63">
        <f>IF($C51="","",ROW()-7)</f>
        <v/>
      </c>
      <c r="C51" s="64"/>
      <c r="D51" s="9"/>
      <c r="E51" s="10"/>
      <c r="F51" s="67"/>
      <c r="G51" s="66"/>
      <c r="H51" s="10"/>
      <c r="I51" s="10"/>
      <c r="J51" s="83"/>
    </row>
    <row r="52" spans="2:10" ht="20" customHeight="1" x14ac:dyDescent="0.25">
      <c r="B52" s="56">
        <f>IF($C52="","",ROW()-7)</f>
        <v/>
      </c>
      <c r="C52" s="57"/>
      <c r="D52" s="14"/>
      <c r="E52" s="58"/>
      <c r="F52" s="62"/>
      <c r="G52" s="60"/>
      <c r="H52" s="58"/>
      <c r="I52" s="58"/>
      <c r="J52" s="82"/>
    </row>
    <row r="53" spans="2:10" ht="20" customHeight="1" x14ac:dyDescent="0.25">
      <c r="B53" s="63">
        <f>IF($C53="","",ROW()-7)</f>
        <v/>
      </c>
      <c r="C53" s="64"/>
      <c r="D53" s="9"/>
      <c r="E53" s="10"/>
      <c r="F53" s="67"/>
      <c r="G53" s="66"/>
      <c r="H53" s="10"/>
      <c r="I53" s="10"/>
      <c r="J53" s="83"/>
    </row>
    <row r="54" spans="2:10" ht="20" customHeight="1" x14ac:dyDescent="0.25">
      <c r="B54" s="56">
        <f>IF($C54="","",ROW()-7)</f>
        <v/>
      </c>
      <c r="C54" s="57"/>
      <c r="D54" s="14"/>
      <c r="E54" s="58"/>
      <c r="F54" s="62"/>
      <c r="G54" s="60"/>
      <c r="H54" s="58"/>
      <c r="I54" s="58"/>
      <c r="J54" s="82"/>
    </row>
    <row r="55" spans="2:10" ht="20" customHeight="1" x14ac:dyDescent="0.25">
      <c r="B55" s="63">
        <f>IF($C55="","",ROW()-7)</f>
        <v/>
      </c>
      <c r="C55" s="64"/>
      <c r="D55" s="9"/>
      <c r="E55" s="10"/>
      <c r="F55" s="67"/>
      <c r="G55" s="66"/>
      <c r="H55" s="10"/>
      <c r="I55" s="10"/>
      <c r="J55" s="83"/>
    </row>
    <row r="56" spans="2:10" ht="20" customHeight="1" x14ac:dyDescent="0.25">
      <c r="B56" s="56">
        <f>IF($C56="","",ROW()-7)</f>
        <v/>
      </c>
      <c r="C56" s="57"/>
      <c r="D56" s="14"/>
      <c r="E56" s="58"/>
      <c r="F56" s="62"/>
      <c r="G56" s="60"/>
      <c r="H56" s="58"/>
      <c r="I56" s="58"/>
      <c r="J56" s="82"/>
    </row>
    <row r="57" spans="2:10" ht="20" customHeight="1" x14ac:dyDescent="0.25">
      <c r="B57" s="63">
        <f>IF($C57="","",ROW()-7)</f>
        <v/>
      </c>
      <c r="C57" s="64"/>
      <c r="D57" s="9"/>
      <c r="E57" s="10"/>
      <c r="F57" s="67"/>
      <c r="G57" s="66"/>
      <c r="H57" s="10"/>
      <c r="I57" s="10"/>
      <c r="J57" s="83"/>
    </row>
    <row r="58" spans="2:10" ht="20" customHeight="1" x14ac:dyDescent="0.25">
      <c r="B58" s="56">
        <f>IF($C58="","",ROW()-7)</f>
        <v/>
      </c>
      <c r="C58" s="57"/>
      <c r="D58" s="14"/>
      <c r="E58" s="58"/>
      <c r="F58" s="62"/>
      <c r="G58" s="60"/>
      <c r="H58" s="58"/>
      <c r="I58" s="58"/>
      <c r="J58" s="82"/>
    </row>
    <row r="59" spans="2:10" ht="20" customHeight="1" x14ac:dyDescent="0.25">
      <c r="B59" s="63">
        <f>IF($C59="","",ROW()-7)</f>
        <v/>
      </c>
      <c r="C59" s="64"/>
      <c r="D59" s="9"/>
      <c r="E59" s="10"/>
      <c r="F59" s="67"/>
      <c r="G59" s="66"/>
      <c r="H59" s="10"/>
      <c r="I59" s="10"/>
      <c r="J59" s="83"/>
    </row>
    <row r="60" spans="2:10" ht="20" customHeight="1" x14ac:dyDescent="0.25">
      <c r="B60" s="56">
        <f>IF($C60="","",ROW()-7)</f>
        <v/>
      </c>
      <c r="C60" s="57"/>
      <c r="D60" s="14"/>
      <c r="E60" s="58"/>
      <c r="F60" s="62"/>
      <c r="G60" s="60"/>
      <c r="H60" s="58"/>
      <c r="I60" s="58"/>
      <c r="J60" s="82"/>
    </row>
    <row r="61" spans="2:10" ht="20" customHeight="1" x14ac:dyDescent="0.25">
      <c r="B61" s="63">
        <f>IF($C61="","",ROW()-7)</f>
        <v/>
      </c>
      <c r="C61" s="64"/>
      <c r="D61" s="9"/>
      <c r="E61" s="10"/>
      <c r="F61" s="67"/>
      <c r="G61" s="66"/>
      <c r="H61" s="10"/>
      <c r="I61" s="10"/>
      <c r="J61" s="83"/>
    </row>
    <row r="62" spans="2:10" ht="20" customHeight="1" x14ac:dyDescent="0.25">
      <c r="B62" s="56">
        <f>IF($C62="","",ROW()-7)</f>
        <v/>
      </c>
      <c r="C62" s="57"/>
      <c r="D62" s="14"/>
      <c r="E62" s="58"/>
      <c r="F62" s="62"/>
      <c r="G62" s="60"/>
      <c r="H62" s="58"/>
      <c r="I62" s="58"/>
      <c r="J62" s="82"/>
    </row>
    <row r="63" spans="2:10" ht="20" customHeight="1" x14ac:dyDescent="0.25">
      <c r="B63" s="63">
        <f>IF($C63="","",ROW()-7)</f>
        <v/>
      </c>
      <c r="C63" s="64"/>
      <c r="D63" s="9"/>
      <c r="E63" s="10"/>
      <c r="F63" s="67"/>
      <c r="G63" s="66"/>
      <c r="H63" s="10"/>
      <c r="I63" s="10"/>
      <c r="J63" s="83"/>
    </row>
    <row r="64" spans="2:10" ht="20" customHeight="1" x14ac:dyDescent="0.25">
      <c r="B64" s="56">
        <f>IF($C64="","",ROW()-7)</f>
        <v/>
      </c>
      <c r="C64" s="57"/>
      <c r="D64" s="14"/>
      <c r="E64" s="58"/>
      <c r="F64" s="62"/>
      <c r="G64" s="60"/>
      <c r="H64" s="58"/>
      <c r="I64" s="58"/>
      <c r="J64" s="82"/>
    </row>
    <row r="65" spans="2:10" ht="20" customHeight="1" x14ac:dyDescent="0.25">
      <c r="B65" s="63">
        <f>IF($C65="","",ROW()-7)</f>
        <v/>
      </c>
      <c r="C65" s="64"/>
      <c r="D65" s="9"/>
      <c r="E65" s="10"/>
      <c r="F65" s="67"/>
      <c r="G65" s="66"/>
      <c r="H65" s="10"/>
      <c r="I65" s="10"/>
      <c r="J65" s="83"/>
    </row>
    <row r="66" spans="2:10" ht="20" customHeight="1" x14ac:dyDescent="0.25">
      <c r="B66" s="56">
        <f>IF($C66="","",ROW()-7)</f>
        <v/>
      </c>
      <c r="C66" s="57"/>
      <c r="D66" s="14"/>
      <c r="E66" s="58"/>
      <c r="F66" s="62"/>
      <c r="G66" s="60"/>
      <c r="H66" s="58"/>
      <c r="I66" s="58"/>
      <c r="J66" s="82"/>
    </row>
    <row r="67" spans="2:10" ht="20" customHeight="1" x14ac:dyDescent="0.25">
      <c r="B67" s="63">
        <f>IF($C67="","",ROW()-7)</f>
        <v/>
      </c>
      <c r="C67" s="64"/>
      <c r="D67" s="9"/>
      <c r="E67" s="10"/>
      <c r="F67" s="67"/>
      <c r="G67" s="66"/>
      <c r="H67" s="10"/>
      <c r="I67" s="10"/>
      <c r="J67" s="83"/>
    </row>
    <row r="68" spans="2:10" ht="24" customHeight="1" x14ac:dyDescent="0.25">
      <c r="B68" s="68" t="s">
        <v>251</v>
      </c>
      <c r="C68" s="68"/>
      <c r="D68" s="68"/>
      <c r="E68" s="68"/>
      <c r="F68" s="68"/>
      <c r="G68" s="70">
        <f>SUM('💸 Expenses'!$G$8:$G$67)</f>
        <v>0</v>
      </c>
      <c r="H68" s="69"/>
      <c r="I68" s="69"/>
      <c r="J68" s="69"/>
    </row>
    <row r="70" spans="2:10" ht="22" customHeight="1" x14ac:dyDescent="0.25">
      <c r="B70" s="15" t="s">
        <v>202</v>
      </c>
      <c r="C70" s="15"/>
      <c r="D70" s="15"/>
      <c r="E70" s="15"/>
      <c r="F70" s="15"/>
      <c r="G70" s="15"/>
      <c r="H70" s="15"/>
      <c r="I70" s="15"/>
    </row>
    <row r="71" spans="2:10" ht="51.8" customHeight="1" x14ac:dyDescent="0.25">
      <c r="B71" s="22" t="s">
        <v>252</v>
      </c>
      <c r="C71" s="22"/>
      <c r="D71" s="22"/>
      <c r="E71" s="22"/>
      <c r="F71" s="22"/>
      <c r="G71" s="22"/>
      <c r="H71" s="22"/>
      <c r="I71" s="22"/>
    </row>
    <row r="75" spans="2:10" x14ac:dyDescent="0.25">
      <c r="B75" s="23" t="s">
        <v>185</v>
      </c>
      <c r="C75" s="23"/>
      <c r="D75" s="24" t="s">
        <v>162</v>
      </c>
      <c r="E75" s="24"/>
      <c r="F75" s="25" t="s">
        <v>163</v>
      </c>
      <c r="G75" s="25"/>
      <c r="H75" s="26" t="s">
        <v>17</v>
      </c>
      <c r="I75" s="26"/>
    </row>
    <row r="76" spans="2:10" ht="24" customHeight="1" x14ac:dyDescent="0.25">
      <c r="B76" s="27" t="s">
        <v>164</v>
      </c>
      <c r="C76" s="27"/>
      <c r="D76" s="28" t="s">
        <v>253</v>
      </c>
      <c r="E76" s="28"/>
      <c r="F76" s="29" t="s">
        <v>166</v>
      </c>
      <c r="G76" s="29"/>
      <c r="H76" s="30" t="s">
        <v>167</v>
      </c>
      <c r="I76" s="30"/>
    </row>
  </sheetData>
  <sheetProtection password="EC7C" sheet="1" formatCells="0" formatColumns="0" formatRows="0" insertColumns="0" insertRows="0" insertHyperlinks="0" deleteColumns="0" deleteRows="0" sort="0" autoFilter="0"/>
  <mergeCells count="18">
    <mergeCell ref="B2:G2"/>
    <mergeCell ref="B3:G3"/>
    <mergeCell ref="H3:J3"/>
    <mergeCell ref="B5:C5"/>
    <mergeCell ref="D5:E5"/>
    <mergeCell ref="F5:G5"/>
    <mergeCell ref="H5:I5"/>
    <mergeCell ref="B68:F68"/>
    <mergeCell ref="B70:I70"/>
    <mergeCell ref="B71:I71"/>
    <mergeCell ref="B75:C75"/>
    <mergeCell ref="D75:E75"/>
    <mergeCell ref="F75:G75"/>
    <mergeCell ref="H75:I75"/>
    <mergeCell ref="B76:C76"/>
    <mergeCell ref="D76:E76"/>
    <mergeCell ref="F76:G76"/>
    <mergeCell ref="H76:I76"/>
  </mergeCells>
  <conditionalFormatting sqref="E8:E67">
    <cfRule type="expression" dxfId="10" priority="2">
      <formula>AND($E8&lt;&gt;"",OR($E8="Ingredients",$E8="Packaging"))</formula>
    </cfRule>
  </conditionalFormatting>
  <conditionalFormatting sqref="G8:G67">
    <cfRule type="dataBar" priority="3">
      <dataBar>
        <cfvo type="num" val="0"/>
        <cfvo type="num" val="1"/>
        <color rgb="FFB23A3A"/>
      </dataBar>
      <extLst>
        <ext xmlns:x14="http://schemas.microsoft.com/office/spreadsheetml/2009/9/main" uri="{B025F937-C7B1-47D3-B67F-A62EFF666E3E}">
          <x14:id>{DA7ABA51-AAAA-BBBB-0007-000000000001}</x14:id>
        </ext>
      </extLst>
    </cfRule>
  </conditionalFormatting>
  <conditionalFormatting sqref="J8:J67">
    <cfRule type="expression" dxfId="9" priority="1">
      <formula>$J8="✓"</formula>
    </cfRule>
  </conditionalFormatting>
  <dataValidations count="6">
    <dataValidation type="list" allowBlank="1" showInputMessage="1" promptTitle="Category" prompt="Ingredients, Staff / Labor... (edit on Setup)." sqref="E8:E67">
      <formula1>ExpenseCategories</formula1>
    </dataValidation>
    <dataValidation type="list" allowBlank="1" showInputMessage="1" promptTitle="Paid by" prompt="Cash, Bank Transfer... (edit on Setup)." sqref="H8:H67">
      <formula1>PaymentMethods</formula1>
    </dataValidation>
    <dataValidation type="list" allowBlank="1" showInputMessage="1" showErrorMessage="1" promptTitle="Event" prompt="Tag the event this cost belongs to (optional but gold at year-end)." sqref="I8:I67">
      <formula1>EventList</formula1>
    </dataValidation>
    <dataValidation type="date" errorStyle="warning" allowBlank="1" showInputMessage="1" showErrorMessage="1" errorTitle="That's not a date" error="Enter a date between 2000 and 2100." promptTitle="Date" prompt="Type a date, or pick one from the calendar picker." sqref="C8:C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list" allowBlank="1" showInputMessage="1" promptTitle="Tick it off" prompt="Pick ✓ from the dropdown to tick it off (leave blank for not yet)." sqref="J8:J67">
      <formula1>Tick</formula1>
    </dataValidation>
  </dataValidations>
  <hyperlinks>
    <hyperlink ref="H3" location="'📊 Dashboard'!A1" display="🏠  Back to Dashboard"/>
    <hyperlink ref="B75" location="'⚙️ Setup'!A1" display="Setup"/>
    <hyperlink ref="D75" location="'📊 Dashboard'!A1" display="🏠 Home"/>
    <hyperlink ref="F75" location="'👥 Clients'!A1" display="Clients"/>
    <hyperlink ref="H75" location="'📅 Events'!A1" display="Events"/>
    <hyperlink ref="B76" location="'🧮 Quote Calculator'!A1" display="Quote"/>
    <hyperlink ref="D76" location="'💸 Expenses'!A1" display="▶ Expenses"/>
    <hyperlink ref="F76" location="'💰 Payments'!A1" display="Payments"/>
    <hyperlink ref="H7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7-000000000001}">
            <x14:dataBar minLength="0" maxLength="100" border="1" gradient="0" negativeBarBorderColorSameAsPositive="0">
              <x14:cfvo type="num">
                <xm:f>0</xm:f>
              </x14:cfvo>
              <x14:cfvo type="num">
                <xm:f>1</xm:f>
              </x14:cfvo>
              <x14:borderColor rgb="FFB23A3A"/>
              <x14:negativeFillColor rgb="FFFF0000"/>
              <x14:negativeBorderColor rgb="FFFF0000"/>
              <x14:axisColor rgb="FF000000"/>
            </x14:dataBar>
          </x14:cfRule>
          <xm:sqref>G8:G67</xm:sqref>
        </x14:conditionalFormatting>
      </x14:conditionalFormattings>
    </ext>
  </extLst>
</worksheet>
</file>

<file path=xl/worksheets/sheet8.xml><?xml version="1.0" encoding="utf-8"?>
<worksheet xmlns="http://schemas.openxmlformats.org/spreadsheetml/2006/main" xmlns:r="http://schemas.openxmlformats.org/officeDocument/2006/relationships">
  <sheetPr>
    <tabColor rgb="FF3E7C4F"/>
    <pageSetUpPr fitToPage="1"/>
  </sheetPr>
  <dimension ref="A1:M9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2.7109375" customWidth="1"/>
    <col min="4" max="4" width="20.7109375" customWidth="1"/>
    <col min="5" max="6" width="12.7109375" customWidth="1"/>
    <col min="7" max="9" width="11.7109375" customWidth="1"/>
    <col min="10" max="12" width="12.7109375" customWidth="1"/>
    <col min="13" max="13" width="15.7109375" customWidth="1"/>
  </cols>
  <sheetData>
    <row r="1" spans="2:13" ht="7" customHeight="1"/>
    <row r="2" spans="2:13" ht="30" customHeight="1">
      <c r="B2" s="3" t="s">
        <v>166</v>
      </c>
      <c r="C2" s="3"/>
      <c r="D2" s="3"/>
      <c r="E2" s="3"/>
      <c r="F2" s="3"/>
      <c r="G2" s="3"/>
      <c r="H2" s="3"/>
      <c r="I2" s="3"/>
      <c r="J2" s="3"/>
      <c r="K2" s="4"/>
      <c r="L2" s="4"/>
      <c r="M2" s="4"/>
    </row>
    <row r="3" spans="2:13" ht="18" customHeight="1">
      <c r="B3" s="5" t="s">
        <v>254</v>
      </c>
      <c r="C3" s="5"/>
      <c r="D3" s="5"/>
      <c r="E3" s="5"/>
      <c r="F3" s="5"/>
      <c r="G3" s="5"/>
      <c r="H3" s="5"/>
      <c r="I3" s="5"/>
      <c r="J3" s="5"/>
      <c r="K3" s="6" t="s">
        <v>95</v>
      </c>
      <c r="L3" s="6"/>
      <c r="M3" s="6"/>
    </row>
    <row r="4" spans="2:13" ht="7" customHeight="1"/>
    <row r="5" spans="2:13" ht="26" customHeight="1">
      <c r="B5" s="48" t="str">
        <f>"Invoiced: "&amp;Currency&amp;TEXT(SUM('💰 Payments'!$F$8:$F$67),"#,##0")</f>
        <v>Invoiced: $0</v>
      </c>
      <c r="C5" s="48"/>
      <c r="D5" s="50" t="str">
        <f>"Received: "&amp;Currency&amp;TEXT('_Data'!$AF$2,"#,##0")</f>
        <v>Received: $0</v>
      </c>
      <c r="E5" s="50"/>
      <c r="F5" s="51" t="str">
        <f>"Outstanding: "&amp;Currency&amp;TEXT('_Data'!$AF$14,"#,##0")</f>
        <v>Outstanding: $0</v>
      </c>
      <c r="G5" s="51"/>
      <c r="H5" s="81" t="str">
        <f>"Overdue: "&amp;'_Data'!$AF$15&amp;" invoices"</f>
        <v>Overdue: 0 invoices</v>
      </c>
      <c r="I5" s="81"/>
    </row>
    <row r="6" spans="2:13" ht="7" customHeight="1"/>
    <row r="7" spans="2:13" ht="36" customHeight="1">
      <c r="B7" s="2" t="s">
        <v>188</v>
      </c>
      <c r="C7" s="52" t="s">
        <v>255</v>
      </c>
      <c r="D7" s="2" t="s">
        <v>49</v>
      </c>
      <c r="E7" s="53" t="s">
        <v>223</v>
      </c>
      <c r="F7" s="2" t="s">
        <v>256</v>
      </c>
      <c r="G7" s="54" t="s">
        <v>197</v>
      </c>
      <c r="H7" s="2" t="s">
        <v>257</v>
      </c>
      <c r="I7" s="2" t="s">
        <v>258</v>
      </c>
      <c r="J7" s="2" t="s">
        <v>50</v>
      </c>
      <c r="K7" s="2" t="s">
        <v>55</v>
      </c>
      <c r="L7" s="55" t="s">
        <v>259</v>
      </c>
      <c r="M7" s="2" t="s">
        <v>42</v>
      </c>
    </row>
    <row r="8" spans="2:13" ht="20" customHeight="1">
      <c r="B8" s="56">
        <f>IF($C8="","",ROW()-7)</f>
        <v/>
      </c>
      <c r="C8" s="58"/>
      <c r="D8" s="14"/>
      <c r="E8" s="57"/>
      <c r="F8" s="60"/>
      <c r="G8" s="60"/>
      <c r="H8" s="60"/>
      <c r="I8" s="60"/>
      <c r="J8" s="61">
        <f>IF($F8="","",ROUND($G8+$H8+$I8,2))</f>
        <v/>
      </c>
      <c r="K8" s="61">
        <f>IF($F8="","",$F8-$J8)</f>
        <v/>
      </c>
      <c r="L8" s="57"/>
      <c r="M8" s="84">
        <f>IF($F8="","",IF($K8&lt;=0,"🟢 Paid in full",IF($J8&gt;0,"🟠 Partial","🔴 Unpaid")))</f>
        <v/>
      </c>
    </row>
    <row r="9" spans="2:13" ht="20" customHeight="1">
      <c r="B9" s="63">
        <f>IF($C9="","",ROW()-7)</f>
        <v/>
      </c>
      <c r="C9" s="10"/>
      <c r="D9" s="9"/>
      <c r="E9" s="64"/>
      <c r="F9" s="66"/>
      <c r="G9" s="66"/>
      <c r="H9" s="66"/>
      <c r="I9" s="66"/>
      <c r="J9" s="61">
        <f>IF($F9="","",ROUND($G9+$H9+$I9,2))</f>
        <v/>
      </c>
      <c r="K9" s="61">
        <f>IF($F9="","",$F9-$J9)</f>
        <v/>
      </c>
      <c r="L9" s="64"/>
      <c r="M9" s="84">
        <f>IF($F9="","",IF($K9&lt;=0,"🟢 Paid in full",IF($J9&gt;0,"🟠 Partial","🔴 Unpaid")))</f>
        <v/>
      </c>
    </row>
    <row r="10" spans="2:13" ht="20" customHeight="1">
      <c r="B10" s="56">
        <f>IF($C10="","",ROW()-7)</f>
        <v/>
      </c>
      <c r="C10" s="58"/>
      <c r="D10" s="14"/>
      <c r="E10" s="57"/>
      <c r="F10" s="60"/>
      <c r="G10" s="60"/>
      <c r="H10" s="60"/>
      <c r="I10" s="60"/>
      <c r="J10" s="61">
        <f>IF($F10="","",ROUND($G10+$H10+$I10,2))</f>
        <v/>
      </c>
      <c r="K10" s="61">
        <f>IF($F10="","",$F10-$J10)</f>
        <v/>
      </c>
      <c r="L10" s="57"/>
      <c r="M10" s="84">
        <f>IF($F10="","",IF($K10&lt;=0,"🟢 Paid in full",IF($J10&gt;0,"🟠 Partial","🔴 Unpaid")))</f>
        <v/>
      </c>
    </row>
    <row r="11" spans="2:13" ht="20" customHeight="1">
      <c r="B11" s="63">
        <f>IF($C11="","",ROW()-7)</f>
        <v/>
      </c>
      <c r="C11" s="10"/>
      <c r="D11" s="9"/>
      <c r="E11" s="64"/>
      <c r="F11" s="66"/>
      <c r="G11" s="66"/>
      <c r="H11" s="66"/>
      <c r="I11" s="66"/>
      <c r="J11" s="61">
        <f>IF($F11="","",ROUND($G11+$H11+$I11,2))</f>
        <v/>
      </c>
      <c r="K11" s="61">
        <f>IF($F11="","",$F11-$J11)</f>
        <v/>
      </c>
      <c r="L11" s="64"/>
      <c r="M11" s="84">
        <f>IF($F11="","",IF($K11&lt;=0,"🟢 Paid in full",IF($J11&gt;0,"🟠 Partial","🔴 Unpaid")))</f>
        <v/>
      </c>
    </row>
    <row r="12" spans="2:13" ht="20" customHeight="1">
      <c r="B12" s="56">
        <f>IF($C12="","",ROW()-7)</f>
        <v/>
      </c>
      <c r="C12" s="58"/>
      <c r="D12" s="14"/>
      <c r="E12" s="57"/>
      <c r="F12" s="60"/>
      <c r="G12" s="60"/>
      <c r="H12" s="60"/>
      <c r="I12" s="60"/>
      <c r="J12" s="61">
        <f>IF($F12="","",ROUND($G12+$H12+$I12,2))</f>
        <v/>
      </c>
      <c r="K12" s="61">
        <f>IF($F12="","",$F12-$J12)</f>
        <v/>
      </c>
      <c r="L12" s="57"/>
      <c r="M12" s="84">
        <f>IF($F12="","",IF($K12&lt;=0,"🟢 Paid in full",IF($J12&gt;0,"🟠 Partial","🔴 Unpaid")))</f>
        <v/>
      </c>
    </row>
    <row r="13" spans="2:13" ht="20" customHeight="1">
      <c r="B13" s="63">
        <f>IF($C13="","",ROW()-7)</f>
        <v/>
      </c>
      <c r="C13" s="10"/>
      <c r="D13" s="9"/>
      <c r="E13" s="64"/>
      <c r="F13" s="66"/>
      <c r="G13" s="66"/>
      <c r="H13" s="66"/>
      <c r="I13" s="66"/>
      <c r="J13" s="61">
        <f>IF($F13="","",ROUND($G13+$H13+$I13,2))</f>
        <v/>
      </c>
      <c r="K13" s="61">
        <f>IF($F13="","",$F13-$J13)</f>
        <v/>
      </c>
      <c r="L13" s="64"/>
      <c r="M13" s="84">
        <f>IF($F13="","",IF($K13&lt;=0,"🟢 Paid in full",IF($J13&gt;0,"🟠 Partial","🔴 Unpaid")))</f>
        <v/>
      </c>
    </row>
    <row r="14" spans="2:13" ht="20" customHeight="1">
      <c r="B14" s="56">
        <f>IF($C14="","",ROW()-7)</f>
        <v/>
      </c>
      <c r="C14" s="58"/>
      <c r="D14" s="14"/>
      <c r="E14" s="57"/>
      <c r="F14" s="60"/>
      <c r="G14" s="60"/>
      <c r="H14" s="60"/>
      <c r="I14" s="60"/>
      <c r="J14" s="61">
        <f>IF($F14="","",ROUND($G14+$H14+$I14,2))</f>
        <v/>
      </c>
      <c r="K14" s="61">
        <f>IF($F14="","",$F14-$J14)</f>
        <v/>
      </c>
      <c r="L14" s="57"/>
      <c r="M14" s="84">
        <f>IF($F14="","",IF($K14&lt;=0,"🟢 Paid in full",IF($J14&gt;0,"🟠 Partial","🔴 Unpaid")))</f>
        <v/>
      </c>
    </row>
    <row r="15" spans="2:13" ht="20" customHeight="1">
      <c r="B15" s="63">
        <f>IF($C15="","",ROW()-7)</f>
        <v/>
      </c>
      <c r="C15" s="10"/>
      <c r="D15" s="9"/>
      <c r="E15" s="64"/>
      <c r="F15" s="66"/>
      <c r="G15" s="66"/>
      <c r="H15" s="66"/>
      <c r="I15" s="66"/>
      <c r="J15" s="61">
        <f>IF($F15="","",ROUND($G15+$H15+$I15,2))</f>
        <v/>
      </c>
      <c r="K15" s="61">
        <f>IF($F15="","",$F15-$J15)</f>
        <v/>
      </c>
      <c r="L15" s="64"/>
      <c r="M15" s="84">
        <f>IF($F15="","",IF($K15&lt;=0,"🟢 Paid in full",IF($J15&gt;0,"🟠 Partial","🔴 Unpaid")))</f>
        <v/>
      </c>
    </row>
    <row r="16" spans="2:13" ht="20" customHeight="1">
      <c r="B16" s="56">
        <f>IF($C16="","",ROW()-7)</f>
        <v/>
      </c>
      <c r="C16" s="58"/>
      <c r="D16" s="14"/>
      <c r="E16" s="57"/>
      <c r="F16" s="60"/>
      <c r="G16" s="60"/>
      <c r="H16" s="60"/>
      <c r="I16" s="60"/>
      <c r="J16" s="61">
        <f>IF($F16="","",ROUND($G16+$H16+$I16,2))</f>
        <v/>
      </c>
      <c r="K16" s="61">
        <f>IF($F16="","",$F16-$J16)</f>
        <v/>
      </c>
      <c r="L16" s="57"/>
      <c r="M16" s="84">
        <f>IF($F16="","",IF($K16&lt;=0,"🟢 Paid in full",IF($J16&gt;0,"🟠 Partial","🔴 Unpaid")))</f>
        <v/>
      </c>
    </row>
    <row r="17" spans="2:13" ht="20" customHeight="1">
      <c r="B17" s="63">
        <f>IF($C17="","",ROW()-7)</f>
        <v/>
      </c>
      <c r="C17" s="10"/>
      <c r="D17" s="9"/>
      <c r="E17" s="64"/>
      <c r="F17" s="66"/>
      <c r="G17" s="66"/>
      <c r="H17" s="66"/>
      <c r="I17" s="66"/>
      <c r="J17" s="61">
        <f>IF($F17="","",ROUND($G17+$H17+$I17,2))</f>
        <v/>
      </c>
      <c r="K17" s="61">
        <f>IF($F17="","",$F17-$J17)</f>
        <v/>
      </c>
      <c r="L17" s="64"/>
      <c r="M17" s="84">
        <f>IF($F17="","",IF($K17&lt;=0,"🟢 Paid in full",IF($J17&gt;0,"🟠 Partial","🔴 Unpaid")))</f>
        <v/>
      </c>
    </row>
    <row r="18" spans="2:13" ht="20" customHeight="1">
      <c r="B18" s="56">
        <f>IF($C18="","",ROW()-7)</f>
        <v/>
      </c>
      <c r="C18" s="58"/>
      <c r="D18" s="14"/>
      <c r="E18" s="57"/>
      <c r="F18" s="60"/>
      <c r="G18" s="60"/>
      <c r="H18" s="60"/>
      <c r="I18" s="60"/>
      <c r="J18" s="61">
        <f>IF($F18="","",ROUND($G18+$H18+$I18,2))</f>
        <v/>
      </c>
      <c r="K18" s="61">
        <f>IF($F18="","",$F18-$J18)</f>
        <v/>
      </c>
      <c r="L18" s="57"/>
      <c r="M18" s="84">
        <f>IF($F18="","",IF($K18&lt;=0,"🟢 Paid in full",IF($J18&gt;0,"🟠 Partial","🔴 Unpaid")))</f>
        <v/>
      </c>
    </row>
    <row r="19" spans="2:13" ht="20" customHeight="1">
      <c r="B19" s="63">
        <f>IF($C19="","",ROW()-7)</f>
        <v/>
      </c>
      <c r="C19" s="10"/>
      <c r="D19" s="9"/>
      <c r="E19" s="64"/>
      <c r="F19" s="66"/>
      <c r="G19" s="66"/>
      <c r="H19" s="66"/>
      <c r="I19" s="66"/>
      <c r="J19" s="61">
        <f>IF($F19="","",ROUND($G19+$H19+$I19,2))</f>
        <v/>
      </c>
      <c r="K19" s="61">
        <f>IF($F19="","",$F19-$J19)</f>
        <v/>
      </c>
      <c r="L19" s="64"/>
      <c r="M19" s="84">
        <f>IF($F19="","",IF($K19&lt;=0,"🟢 Paid in full",IF($J19&gt;0,"🟠 Partial","🔴 Unpaid")))</f>
        <v/>
      </c>
    </row>
    <row r="20" spans="2:13" ht="20" customHeight="1">
      <c r="B20" s="56">
        <f>IF($C20="","",ROW()-7)</f>
        <v/>
      </c>
      <c r="C20" s="58"/>
      <c r="D20" s="14"/>
      <c r="E20" s="57"/>
      <c r="F20" s="60"/>
      <c r="G20" s="60"/>
      <c r="H20" s="60"/>
      <c r="I20" s="60"/>
      <c r="J20" s="61">
        <f>IF($F20="","",ROUND($G20+$H20+$I20,2))</f>
        <v/>
      </c>
      <c r="K20" s="61">
        <f>IF($F20="","",$F20-$J20)</f>
        <v/>
      </c>
      <c r="L20" s="57"/>
      <c r="M20" s="84">
        <f>IF($F20="","",IF($K20&lt;=0,"🟢 Paid in full",IF($J20&gt;0,"🟠 Partial","🔴 Unpaid")))</f>
        <v/>
      </c>
    </row>
    <row r="21" spans="2:13" ht="20" customHeight="1">
      <c r="B21" s="63">
        <f>IF($C21="","",ROW()-7)</f>
        <v/>
      </c>
      <c r="C21" s="10"/>
      <c r="D21" s="9"/>
      <c r="E21" s="64"/>
      <c r="F21" s="66"/>
      <c r="G21" s="66"/>
      <c r="H21" s="66"/>
      <c r="I21" s="66"/>
      <c r="J21" s="61">
        <f>IF($F21="","",ROUND($G21+$H21+$I21,2))</f>
        <v/>
      </c>
      <c r="K21" s="61">
        <f>IF($F21="","",$F21-$J21)</f>
        <v/>
      </c>
      <c r="L21" s="64"/>
      <c r="M21" s="84">
        <f>IF($F21="","",IF($K21&lt;=0,"🟢 Paid in full",IF($J21&gt;0,"🟠 Partial","🔴 Unpaid")))</f>
        <v/>
      </c>
    </row>
    <row r="22" spans="2:13" ht="20" customHeight="1">
      <c r="B22" s="56">
        <f>IF($C22="","",ROW()-7)</f>
        <v/>
      </c>
      <c r="C22" s="58"/>
      <c r="D22" s="14"/>
      <c r="E22" s="57"/>
      <c r="F22" s="60"/>
      <c r="G22" s="60"/>
      <c r="H22" s="60"/>
      <c r="I22" s="60"/>
      <c r="J22" s="61">
        <f>IF($F22="","",ROUND($G22+$H22+$I22,2))</f>
        <v/>
      </c>
      <c r="K22" s="61">
        <f>IF($F22="","",$F22-$J22)</f>
        <v/>
      </c>
      <c r="L22" s="57"/>
      <c r="M22" s="84">
        <f>IF($F22="","",IF($K22&lt;=0,"🟢 Paid in full",IF($J22&gt;0,"🟠 Partial","🔴 Unpaid")))</f>
        <v/>
      </c>
    </row>
    <row r="23" spans="2:13" ht="20" customHeight="1">
      <c r="B23" s="63">
        <f>IF($C23="","",ROW()-7)</f>
        <v/>
      </c>
      <c r="C23" s="10"/>
      <c r="D23" s="9"/>
      <c r="E23" s="64"/>
      <c r="F23" s="66"/>
      <c r="G23" s="66"/>
      <c r="H23" s="66"/>
      <c r="I23" s="66"/>
      <c r="J23" s="61">
        <f>IF($F23="","",ROUND($G23+$H23+$I23,2))</f>
        <v/>
      </c>
      <c r="K23" s="61">
        <f>IF($F23="","",$F23-$J23)</f>
        <v/>
      </c>
      <c r="L23" s="64"/>
      <c r="M23" s="84">
        <f>IF($F23="","",IF($K23&lt;=0,"🟢 Paid in full",IF($J23&gt;0,"🟠 Partial","🔴 Unpaid")))</f>
        <v/>
      </c>
    </row>
    <row r="24" spans="2:13" ht="20" customHeight="1">
      <c r="B24" s="56">
        <f>IF($C24="","",ROW()-7)</f>
        <v/>
      </c>
      <c r="C24" s="58"/>
      <c r="D24" s="14"/>
      <c r="E24" s="57"/>
      <c r="F24" s="60"/>
      <c r="G24" s="60"/>
      <c r="H24" s="60"/>
      <c r="I24" s="60"/>
      <c r="J24" s="61">
        <f>IF($F24="","",ROUND($G24+$H24+$I24,2))</f>
        <v/>
      </c>
      <c r="K24" s="61">
        <f>IF($F24="","",$F24-$J24)</f>
        <v/>
      </c>
      <c r="L24" s="57"/>
      <c r="M24" s="84">
        <f>IF($F24="","",IF($K24&lt;=0,"🟢 Paid in full",IF($J24&gt;0,"🟠 Partial","🔴 Unpaid")))</f>
        <v/>
      </c>
    </row>
    <row r="25" spans="2:13" ht="20" customHeight="1">
      <c r="B25" s="63">
        <f>IF($C25="","",ROW()-7)</f>
        <v/>
      </c>
      <c r="C25" s="10"/>
      <c r="D25" s="9"/>
      <c r="E25" s="64"/>
      <c r="F25" s="66"/>
      <c r="G25" s="66"/>
      <c r="H25" s="66"/>
      <c r="I25" s="66"/>
      <c r="J25" s="61">
        <f>IF($F25="","",ROUND($G25+$H25+$I25,2))</f>
        <v/>
      </c>
      <c r="K25" s="61">
        <f>IF($F25="","",$F25-$J25)</f>
        <v/>
      </c>
      <c r="L25" s="64"/>
      <c r="M25" s="84">
        <f>IF($F25="","",IF($K25&lt;=0,"🟢 Paid in full",IF($J25&gt;0,"🟠 Partial","🔴 Unpaid")))</f>
        <v/>
      </c>
    </row>
    <row r="26" spans="2:13" ht="20" customHeight="1">
      <c r="B26" s="56">
        <f>IF($C26="","",ROW()-7)</f>
        <v/>
      </c>
      <c r="C26" s="58"/>
      <c r="D26" s="14"/>
      <c r="E26" s="57"/>
      <c r="F26" s="60"/>
      <c r="G26" s="60"/>
      <c r="H26" s="60"/>
      <c r="I26" s="60"/>
      <c r="J26" s="61">
        <f>IF($F26="","",ROUND($G26+$H26+$I26,2))</f>
        <v/>
      </c>
      <c r="K26" s="61">
        <f>IF($F26="","",$F26-$J26)</f>
        <v/>
      </c>
      <c r="L26" s="57"/>
      <c r="M26" s="84">
        <f>IF($F26="","",IF($K26&lt;=0,"🟢 Paid in full",IF($J26&gt;0,"🟠 Partial","🔴 Unpaid")))</f>
        <v/>
      </c>
    </row>
    <row r="27" spans="2:13" ht="20" customHeight="1">
      <c r="B27" s="63">
        <f>IF($C27="","",ROW()-7)</f>
        <v/>
      </c>
      <c r="C27" s="10"/>
      <c r="D27" s="9"/>
      <c r="E27" s="64"/>
      <c r="F27" s="66"/>
      <c r="G27" s="66"/>
      <c r="H27" s="66"/>
      <c r="I27" s="66"/>
      <c r="J27" s="61">
        <f>IF($F27="","",ROUND($G27+$H27+$I27,2))</f>
        <v/>
      </c>
      <c r="K27" s="61">
        <f>IF($F27="","",$F27-$J27)</f>
        <v/>
      </c>
      <c r="L27" s="64"/>
      <c r="M27" s="84">
        <f>IF($F27="","",IF($K27&lt;=0,"🟢 Paid in full",IF($J27&gt;0,"🟠 Partial","🔴 Unpaid")))</f>
        <v/>
      </c>
    </row>
    <row r="28" spans="2:13" ht="20" customHeight="1">
      <c r="B28" s="56">
        <f>IF($C28="","",ROW()-7)</f>
        <v/>
      </c>
      <c r="C28" s="58"/>
      <c r="D28" s="14"/>
      <c r="E28" s="57"/>
      <c r="F28" s="60"/>
      <c r="G28" s="60"/>
      <c r="H28" s="60"/>
      <c r="I28" s="60"/>
      <c r="J28" s="61">
        <f>IF($F28="","",ROUND($G28+$H28+$I28,2))</f>
        <v/>
      </c>
      <c r="K28" s="61">
        <f>IF($F28="","",$F28-$J28)</f>
        <v/>
      </c>
      <c r="L28" s="57"/>
      <c r="M28" s="84">
        <f>IF($F28="","",IF($K28&lt;=0,"🟢 Paid in full",IF($J28&gt;0,"🟠 Partial","🔴 Unpaid")))</f>
        <v/>
      </c>
    </row>
    <row r="29" spans="2:13" ht="20" customHeight="1">
      <c r="B29" s="63">
        <f>IF($C29="","",ROW()-7)</f>
        <v/>
      </c>
      <c r="C29" s="10"/>
      <c r="D29" s="9"/>
      <c r="E29" s="64"/>
      <c r="F29" s="66"/>
      <c r="G29" s="66"/>
      <c r="H29" s="66"/>
      <c r="I29" s="66"/>
      <c r="J29" s="61">
        <f>IF($F29="","",ROUND($G29+$H29+$I29,2))</f>
        <v/>
      </c>
      <c r="K29" s="61">
        <f>IF($F29="","",$F29-$J29)</f>
        <v/>
      </c>
      <c r="L29" s="64"/>
      <c r="M29" s="84">
        <f>IF($F29="","",IF($K29&lt;=0,"🟢 Paid in full",IF($J29&gt;0,"🟠 Partial","🔴 Unpaid")))</f>
        <v/>
      </c>
    </row>
    <row r="30" spans="2:13" ht="20" customHeight="1">
      <c r="B30" s="56">
        <f>IF($C30="","",ROW()-7)</f>
        <v/>
      </c>
      <c r="C30" s="58"/>
      <c r="D30" s="14"/>
      <c r="E30" s="57"/>
      <c r="F30" s="60"/>
      <c r="G30" s="60"/>
      <c r="H30" s="60"/>
      <c r="I30" s="60"/>
      <c r="J30" s="61">
        <f>IF($F30="","",ROUND($G30+$H30+$I30,2))</f>
        <v/>
      </c>
      <c r="K30" s="61">
        <f>IF($F30="","",$F30-$J30)</f>
        <v/>
      </c>
      <c r="L30" s="57"/>
      <c r="M30" s="84">
        <f>IF($F30="","",IF($K30&lt;=0,"🟢 Paid in full",IF($J30&gt;0,"🟠 Partial","🔴 Unpaid")))</f>
        <v/>
      </c>
    </row>
    <row r="31" spans="2:13" ht="20" customHeight="1">
      <c r="B31" s="63">
        <f>IF($C31="","",ROW()-7)</f>
        <v/>
      </c>
      <c r="C31" s="10"/>
      <c r="D31" s="9"/>
      <c r="E31" s="64"/>
      <c r="F31" s="66"/>
      <c r="G31" s="66"/>
      <c r="H31" s="66"/>
      <c r="I31" s="66"/>
      <c r="J31" s="61">
        <f>IF($F31="","",ROUND($G31+$H31+$I31,2))</f>
        <v/>
      </c>
      <c r="K31" s="61">
        <f>IF($F31="","",$F31-$J31)</f>
        <v/>
      </c>
      <c r="L31" s="64"/>
      <c r="M31" s="84">
        <f>IF($F31="","",IF($K31&lt;=0,"🟢 Paid in full",IF($J31&gt;0,"🟠 Partial","🔴 Unpaid")))</f>
        <v/>
      </c>
    </row>
    <row r="32" spans="2:13" ht="20" customHeight="1">
      <c r="B32" s="56">
        <f>IF($C32="","",ROW()-7)</f>
        <v/>
      </c>
      <c r="C32" s="58"/>
      <c r="D32" s="14"/>
      <c r="E32" s="57"/>
      <c r="F32" s="60"/>
      <c r="G32" s="60"/>
      <c r="H32" s="60"/>
      <c r="I32" s="60"/>
      <c r="J32" s="61">
        <f>IF($F32="","",ROUND($G32+$H32+$I32,2))</f>
        <v/>
      </c>
      <c r="K32" s="61">
        <f>IF($F32="","",$F32-$J32)</f>
        <v/>
      </c>
      <c r="L32" s="57"/>
      <c r="M32" s="84">
        <f>IF($F32="","",IF($K32&lt;=0,"🟢 Paid in full",IF($J32&gt;0,"🟠 Partial","🔴 Unpaid")))</f>
        <v/>
      </c>
    </row>
    <row r="33" spans="2:13" ht="20" customHeight="1">
      <c r="B33" s="63">
        <f>IF($C33="","",ROW()-7)</f>
        <v/>
      </c>
      <c r="C33" s="10"/>
      <c r="D33" s="9"/>
      <c r="E33" s="64"/>
      <c r="F33" s="66"/>
      <c r="G33" s="66"/>
      <c r="H33" s="66"/>
      <c r="I33" s="66"/>
      <c r="J33" s="61">
        <f>IF($F33="","",ROUND($G33+$H33+$I33,2))</f>
        <v/>
      </c>
      <c r="K33" s="61">
        <f>IF($F33="","",$F33-$J33)</f>
        <v/>
      </c>
      <c r="L33" s="64"/>
      <c r="M33" s="84">
        <f>IF($F33="","",IF($K33&lt;=0,"🟢 Paid in full",IF($J33&gt;0,"🟠 Partial","🔴 Unpaid")))</f>
        <v/>
      </c>
    </row>
    <row r="34" spans="2:13" ht="20" customHeight="1">
      <c r="B34" s="56">
        <f>IF($C34="","",ROW()-7)</f>
        <v/>
      </c>
      <c r="C34" s="58"/>
      <c r="D34" s="14"/>
      <c r="E34" s="57"/>
      <c r="F34" s="60"/>
      <c r="G34" s="60"/>
      <c r="H34" s="60"/>
      <c r="I34" s="60"/>
      <c r="J34" s="61">
        <f>IF($F34="","",ROUND($G34+$H34+$I34,2))</f>
        <v/>
      </c>
      <c r="K34" s="61">
        <f>IF($F34="","",$F34-$J34)</f>
        <v/>
      </c>
      <c r="L34" s="57"/>
      <c r="M34" s="84">
        <f>IF($F34="","",IF($K34&lt;=0,"🟢 Paid in full",IF($J34&gt;0,"🟠 Partial","🔴 Unpaid")))</f>
        <v/>
      </c>
    </row>
    <row r="35" spans="2:13" ht="20" customHeight="1">
      <c r="B35" s="63">
        <f>IF($C35="","",ROW()-7)</f>
        <v/>
      </c>
      <c r="C35" s="10"/>
      <c r="D35" s="9"/>
      <c r="E35" s="64"/>
      <c r="F35" s="66"/>
      <c r="G35" s="66"/>
      <c r="H35" s="66"/>
      <c r="I35" s="66"/>
      <c r="J35" s="61">
        <f>IF($F35="","",ROUND($G35+$H35+$I35,2))</f>
        <v/>
      </c>
      <c r="K35" s="61">
        <f>IF($F35="","",$F35-$J35)</f>
        <v/>
      </c>
      <c r="L35" s="64"/>
      <c r="M35" s="84">
        <f>IF($F35="","",IF($K35&lt;=0,"🟢 Paid in full",IF($J35&gt;0,"🟠 Partial","🔴 Unpaid")))</f>
        <v/>
      </c>
    </row>
    <row r="36" spans="2:13" ht="20" customHeight="1">
      <c r="B36" s="56">
        <f>IF($C36="","",ROW()-7)</f>
        <v/>
      </c>
      <c r="C36" s="58"/>
      <c r="D36" s="14"/>
      <c r="E36" s="57"/>
      <c r="F36" s="60"/>
      <c r="G36" s="60"/>
      <c r="H36" s="60"/>
      <c r="I36" s="60"/>
      <c r="J36" s="61">
        <f>IF($F36="","",ROUND($G36+$H36+$I36,2))</f>
        <v/>
      </c>
      <c r="K36" s="61">
        <f>IF($F36="","",$F36-$J36)</f>
        <v/>
      </c>
      <c r="L36" s="57"/>
      <c r="M36" s="84">
        <f>IF($F36="","",IF($K36&lt;=0,"🟢 Paid in full",IF($J36&gt;0,"🟠 Partial","🔴 Unpaid")))</f>
        <v/>
      </c>
    </row>
    <row r="37" spans="2:13" ht="20" customHeight="1">
      <c r="B37" s="63">
        <f>IF($C37="","",ROW()-7)</f>
        <v/>
      </c>
      <c r="C37" s="10"/>
      <c r="D37" s="9"/>
      <c r="E37" s="64"/>
      <c r="F37" s="66"/>
      <c r="G37" s="66"/>
      <c r="H37" s="66"/>
      <c r="I37" s="66"/>
      <c r="J37" s="61">
        <f>IF($F37="","",ROUND($G37+$H37+$I37,2))</f>
        <v/>
      </c>
      <c r="K37" s="61">
        <f>IF($F37="","",$F37-$J37)</f>
        <v/>
      </c>
      <c r="L37" s="64"/>
      <c r="M37" s="84">
        <f>IF($F37="","",IF($K37&lt;=0,"🟢 Paid in full",IF($J37&gt;0,"🟠 Partial","🔴 Unpaid")))</f>
        <v/>
      </c>
    </row>
    <row r="38" spans="2:13" ht="20" customHeight="1">
      <c r="B38" s="56">
        <f>IF($C38="","",ROW()-7)</f>
        <v/>
      </c>
      <c r="C38" s="58"/>
      <c r="D38" s="14"/>
      <c r="E38" s="57"/>
      <c r="F38" s="60"/>
      <c r="G38" s="60"/>
      <c r="H38" s="60"/>
      <c r="I38" s="60"/>
      <c r="J38" s="61">
        <f>IF($F38="","",ROUND($G38+$H38+$I38,2))</f>
        <v/>
      </c>
      <c r="K38" s="61">
        <f>IF($F38="","",$F38-$J38)</f>
        <v/>
      </c>
      <c r="L38" s="57"/>
      <c r="M38" s="84">
        <f>IF($F38="","",IF($K38&lt;=0,"🟢 Paid in full",IF($J38&gt;0,"🟠 Partial","🔴 Unpaid")))</f>
        <v/>
      </c>
    </row>
    <row r="39" spans="2:13" ht="20" customHeight="1">
      <c r="B39" s="63">
        <f>IF($C39="","",ROW()-7)</f>
        <v/>
      </c>
      <c r="C39" s="10"/>
      <c r="D39" s="9"/>
      <c r="E39" s="64"/>
      <c r="F39" s="66"/>
      <c r="G39" s="66"/>
      <c r="H39" s="66"/>
      <c r="I39" s="66"/>
      <c r="J39" s="61">
        <f>IF($F39="","",ROUND($G39+$H39+$I39,2))</f>
        <v/>
      </c>
      <c r="K39" s="61">
        <f>IF($F39="","",$F39-$J39)</f>
        <v/>
      </c>
      <c r="L39" s="64"/>
      <c r="M39" s="84">
        <f>IF($F39="","",IF($K39&lt;=0,"🟢 Paid in full",IF($J39&gt;0,"🟠 Partial","🔴 Unpaid")))</f>
        <v/>
      </c>
    </row>
    <row r="40" spans="2:13" ht="20" customHeight="1">
      <c r="B40" s="56">
        <f>IF($C40="","",ROW()-7)</f>
        <v/>
      </c>
      <c r="C40" s="58"/>
      <c r="D40" s="14"/>
      <c r="E40" s="57"/>
      <c r="F40" s="60"/>
      <c r="G40" s="60"/>
      <c r="H40" s="60"/>
      <c r="I40" s="60"/>
      <c r="J40" s="61">
        <f>IF($F40="","",ROUND($G40+$H40+$I40,2))</f>
        <v/>
      </c>
      <c r="K40" s="61">
        <f>IF($F40="","",$F40-$J40)</f>
        <v/>
      </c>
      <c r="L40" s="57"/>
      <c r="M40" s="84">
        <f>IF($F40="","",IF($K40&lt;=0,"🟢 Paid in full",IF($J40&gt;0,"🟠 Partial","🔴 Unpaid")))</f>
        <v/>
      </c>
    </row>
    <row r="41" spans="2:13" ht="20" customHeight="1">
      <c r="B41" s="63">
        <f>IF($C41="","",ROW()-7)</f>
        <v/>
      </c>
      <c r="C41" s="10"/>
      <c r="D41" s="9"/>
      <c r="E41" s="64"/>
      <c r="F41" s="66"/>
      <c r="G41" s="66"/>
      <c r="H41" s="66"/>
      <c r="I41" s="66"/>
      <c r="J41" s="61">
        <f>IF($F41="","",ROUND($G41+$H41+$I41,2))</f>
        <v/>
      </c>
      <c r="K41" s="61">
        <f>IF($F41="","",$F41-$J41)</f>
        <v/>
      </c>
      <c r="L41" s="64"/>
      <c r="M41" s="84">
        <f>IF($F41="","",IF($K41&lt;=0,"🟢 Paid in full",IF($J41&gt;0,"🟠 Partial","🔴 Unpaid")))</f>
        <v/>
      </c>
    </row>
    <row r="42" spans="2:13" ht="20" customHeight="1">
      <c r="B42" s="56">
        <f>IF($C42="","",ROW()-7)</f>
        <v/>
      </c>
      <c r="C42" s="58"/>
      <c r="D42" s="14"/>
      <c r="E42" s="57"/>
      <c r="F42" s="60"/>
      <c r="G42" s="60"/>
      <c r="H42" s="60"/>
      <c r="I42" s="60"/>
      <c r="J42" s="61">
        <f>IF($F42="","",ROUND($G42+$H42+$I42,2))</f>
        <v/>
      </c>
      <c r="K42" s="61">
        <f>IF($F42="","",$F42-$J42)</f>
        <v/>
      </c>
      <c r="L42" s="57"/>
      <c r="M42" s="84">
        <f>IF($F42="","",IF($K42&lt;=0,"🟢 Paid in full",IF($J42&gt;0,"🟠 Partial","🔴 Unpaid")))</f>
        <v/>
      </c>
    </row>
    <row r="43" spans="2:13" ht="20" customHeight="1">
      <c r="B43" s="63">
        <f>IF($C43="","",ROW()-7)</f>
        <v/>
      </c>
      <c r="C43" s="10"/>
      <c r="D43" s="9"/>
      <c r="E43" s="64"/>
      <c r="F43" s="66"/>
      <c r="G43" s="66"/>
      <c r="H43" s="66"/>
      <c r="I43" s="66"/>
      <c r="J43" s="61">
        <f>IF($F43="","",ROUND($G43+$H43+$I43,2))</f>
        <v/>
      </c>
      <c r="K43" s="61">
        <f>IF($F43="","",$F43-$J43)</f>
        <v/>
      </c>
      <c r="L43" s="64"/>
      <c r="M43" s="84">
        <f>IF($F43="","",IF($K43&lt;=0,"🟢 Paid in full",IF($J43&gt;0,"🟠 Partial","🔴 Unpaid")))</f>
        <v/>
      </c>
    </row>
    <row r="44" spans="2:13" ht="20" customHeight="1">
      <c r="B44" s="56">
        <f>IF($C44="","",ROW()-7)</f>
        <v/>
      </c>
      <c r="C44" s="58"/>
      <c r="D44" s="14"/>
      <c r="E44" s="57"/>
      <c r="F44" s="60"/>
      <c r="G44" s="60"/>
      <c r="H44" s="60"/>
      <c r="I44" s="60"/>
      <c r="J44" s="61">
        <f>IF($F44="","",ROUND($G44+$H44+$I44,2))</f>
        <v/>
      </c>
      <c r="K44" s="61">
        <f>IF($F44="","",$F44-$J44)</f>
        <v/>
      </c>
      <c r="L44" s="57"/>
      <c r="M44" s="84">
        <f>IF($F44="","",IF($K44&lt;=0,"🟢 Paid in full",IF($J44&gt;0,"🟠 Partial","🔴 Unpaid")))</f>
        <v/>
      </c>
    </row>
    <row r="45" spans="2:13" ht="20" customHeight="1">
      <c r="B45" s="63">
        <f>IF($C45="","",ROW()-7)</f>
        <v/>
      </c>
      <c r="C45" s="10"/>
      <c r="D45" s="9"/>
      <c r="E45" s="64"/>
      <c r="F45" s="66"/>
      <c r="G45" s="66"/>
      <c r="H45" s="66"/>
      <c r="I45" s="66"/>
      <c r="J45" s="61">
        <f>IF($F45="","",ROUND($G45+$H45+$I45,2))</f>
        <v/>
      </c>
      <c r="K45" s="61">
        <f>IF($F45="","",$F45-$J45)</f>
        <v/>
      </c>
      <c r="L45" s="64"/>
      <c r="M45" s="84">
        <f>IF($F45="","",IF($K45&lt;=0,"🟢 Paid in full",IF($J45&gt;0,"🟠 Partial","🔴 Unpaid")))</f>
        <v/>
      </c>
    </row>
    <row r="46" spans="2:13" ht="20" customHeight="1">
      <c r="B46" s="56">
        <f>IF($C46="","",ROW()-7)</f>
        <v/>
      </c>
      <c r="C46" s="58"/>
      <c r="D46" s="14"/>
      <c r="E46" s="57"/>
      <c r="F46" s="60"/>
      <c r="G46" s="60"/>
      <c r="H46" s="60"/>
      <c r="I46" s="60"/>
      <c r="J46" s="61">
        <f>IF($F46="","",ROUND($G46+$H46+$I46,2))</f>
        <v/>
      </c>
      <c r="K46" s="61">
        <f>IF($F46="","",$F46-$J46)</f>
        <v/>
      </c>
      <c r="L46" s="57"/>
      <c r="M46" s="84">
        <f>IF($F46="","",IF($K46&lt;=0,"🟢 Paid in full",IF($J46&gt;0,"🟠 Partial","🔴 Unpaid")))</f>
        <v/>
      </c>
    </row>
    <row r="47" spans="2:13" ht="20" customHeight="1">
      <c r="B47" s="63">
        <f>IF($C47="","",ROW()-7)</f>
        <v/>
      </c>
      <c r="C47" s="10"/>
      <c r="D47" s="9"/>
      <c r="E47" s="64"/>
      <c r="F47" s="66"/>
      <c r="G47" s="66"/>
      <c r="H47" s="66"/>
      <c r="I47" s="66"/>
      <c r="J47" s="61">
        <f>IF($F47="","",ROUND($G47+$H47+$I47,2))</f>
        <v/>
      </c>
      <c r="K47" s="61">
        <f>IF($F47="","",$F47-$J47)</f>
        <v/>
      </c>
      <c r="L47" s="64"/>
      <c r="M47" s="84">
        <f>IF($F47="","",IF($K47&lt;=0,"🟢 Paid in full",IF($J47&gt;0,"🟠 Partial","🔴 Unpaid")))</f>
        <v/>
      </c>
    </row>
    <row r="48" spans="2:13" ht="20" customHeight="1">
      <c r="B48" s="56">
        <f>IF($C48="","",ROW()-7)</f>
        <v/>
      </c>
      <c r="C48" s="58"/>
      <c r="D48" s="14"/>
      <c r="E48" s="57"/>
      <c r="F48" s="60"/>
      <c r="G48" s="60"/>
      <c r="H48" s="60"/>
      <c r="I48" s="60"/>
      <c r="J48" s="61">
        <f>IF($F48="","",ROUND($G48+$H48+$I48,2))</f>
        <v/>
      </c>
      <c r="K48" s="61">
        <f>IF($F48="","",$F48-$J48)</f>
        <v/>
      </c>
      <c r="L48" s="57"/>
      <c r="M48" s="84">
        <f>IF($F48="","",IF($K48&lt;=0,"🟢 Paid in full",IF($J48&gt;0,"🟠 Partial","🔴 Unpaid")))</f>
        <v/>
      </c>
    </row>
    <row r="49" spans="2:13" ht="20" customHeight="1">
      <c r="B49" s="63">
        <f>IF($C49="","",ROW()-7)</f>
        <v/>
      </c>
      <c r="C49" s="10"/>
      <c r="D49" s="9"/>
      <c r="E49" s="64"/>
      <c r="F49" s="66"/>
      <c r="G49" s="66"/>
      <c r="H49" s="66"/>
      <c r="I49" s="66"/>
      <c r="J49" s="61">
        <f>IF($F49="","",ROUND($G49+$H49+$I49,2))</f>
        <v/>
      </c>
      <c r="K49" s="61">
        <f>IF($F49="","",$F49-$J49)</f>
        <v/>
      </c>
      <c r="L49" s="64"/>
      <c r="M49" s="84">
        <f>IF($F49="","",IF($K49&lt;=0,"🟢 Paid in full",IF($J49&gt;0,"🟠 Partial","🔴 Unpaid")))</f>
        <v/>
      </c>
    </row>
    <row r="50" spans="2:13" ht="20" customHeight="1">
      <c r="B50" s="56">
        <f>IF($C50="","",ROW()-7)</f>
        <v/>
      </c>
      <c r="C50" s="58"/>
      <c r="D50" s="14"/>
      <c r="E50" s="57"/>
      <c r="F50" s="60"/>
      <c r="G50" s="60"/>
      <c r="H50" s="60"/>
      <c r="I50" s="60"/>
      <c r="J50" s="61">
        <f>IF($F50="","",ROUND($G50+$H50+$I50,2))</f>
        <v/>
      </c>
      <c r="K50" s="61">
        <f>IF($F50="","",$F50-$J50)</f>
        <v/>
      </c>
      <c r="L50" s="57"/>
      <c r="M50" s="84">
        <f>IF($F50="","",IF($K50&lt;=0,"🟢 Paid in full",IF($J50&gt;0,"🟠 Partial","🔴 Unpaid")))</f>
        <v/>
      </c>
    </row>
    <row r="51" spans="2:13" ht="20" customHeight="1">
      <c r="B51" s="63">
        <f>IF($C51="","",ROW()-7)</f>
        <v/>
      </c>
      <c r="C51" s="10"/>
      <c r="D51" s="9"/>
      <c r="E51" s="64"/>
      <c r="F51" s="66"/>
      <c r="G51" s="66"/>
      <c r="H51" s="66"/>
      <c r="I51" s="66"/>
      <c r="J51" s="61">
        <f>IF($F51="","",ROUND($G51+$H51+$I51,2))</f>
        <v/>
      </c>
      <c r="K51" s="61">
        <f>IF($F51="","",$F51-$J51)</f>
        <v/>
      </c>
      <c r="L51" s="64"/>
      <c r="M51" s="84">
        <f>IF($F51="","",IF($K51&lt;=0,"🟢 Paid in full",IF($J51&gt;0,"🟠 Partial","🔴 Unpaid")))</f>
        <v/>
      </c>
    </row>
    <row r="52" spans="2:13" ht="20" customHeight="1">
      <c r="B52" s="56">
        <f>IF($C52="","",ROW()-7)</f>
        <v/>
      </c>
      <c r="C52" s="58"/>
      <c r="D52" s="14"/>
      <c r="E52" s="57"/>
      <c r="F52" s="60"/>
      <c r="G52" s="60"/>
      <c r="H52" s="60"/>
      <c r="I52" s="60"/>
      <c r="J52" s="61">
        <f>IF($F52="","",ROUND($G52+$H52+$I52,2))</f>
        <v/>
      </c>
      <c r="K52" s="61">
        <f>IF($F52="","",$F52-$J52)</f>
        <v/>
      </c>
      <c r="L52" s="57"/>
      <c r="M52" s="84">
        <f>IF($F52="","",IF($K52&lt;=0,"🟢 Paid in full",IF($J52&gt;0,"🟠 Partial","🔴 Unpaid")))</f>
        <v/>
      </c>
    </row>
    <row r="53" spans="2:13" ht="20" customHeight="1">
      <c r="B53" s="63">
        <f>IF($C53="","",ROW()-7)</f>
        <v/>
      </c>
      <c r="C53" s="10"/>
      <c r="D53" s="9"/>
      <c r="E53" s="64"/>
      <c r="F53" s="66"/>
      <c r="G53" s="66"/>
      <c r="H53" s="66"/>
      <c r="I53" s="66"/>
      <c r="J53" s="61">
        <f>IF($F53="","",ROUND($G53+$H53+$I53,2))</f>
        <v/>
      </c>
      <c r="K53" s="61">
        <f>IF($F53="","",$F53-$J53)</f>
        <v/>
      </c>
      <c r="L53" s="64"/>
      <c r="M53" s="84">
        <f>IF($F53="","",IF($K53&lt;=0,"🟢 Paid in full",IF($J53&gt;0,"🟠 Partial","🔴 Unpaid")))</f>
        <v/>
      </c>
    </row>
    <row r="54" spans="2:13" ht="20" customHeight="1">
      <c r="B54" s="56">
        <f>IF($C54="","",ROW()-7)</f>
        <v/>
      </c>
      <c r="C54" s="58"/>
      <c r="D54" s="14"/>
      <c r="E54" s="57"/>
      <c r="F54" s="60"/>
      <c r="G54" s="60"/>
      <c r="H54" s="60"/>
      <c r="I54" s="60"/>
      <c r="J54" s="61">
        <f>IF($F54="","",ROUND($G54+$H54+$I54,2))</f>
        <v/>
      </c>
      <c r="K54" s="61">
        <f>IF($F54="","",$F54-$J54)</f>
        <v/>
      </c>
      <c r="L54" s="57"/>
      <c r="M54" s="84">
        <f>IF($F54="","",IF($K54&lt;=0,"🟢 Paid in full",IF($J54&gt;0,"🟠 Partial","🔴 Unpaid")))</f>
        <v/>
      </c>
    </row>
    <row r="55" spans="2:13" ht="20" customHeight="1">
      <c r="B55" s="63">
        <f>IF($C55="","",ROW()-7)</f>
        <v/>
      </c>
      <c r="C55" s="10"/>
      <c r="D55" s="9"/>
      <c r="E55" s="64"/>
      <c r="F55" s="66"/>
      <c r="G55" s="66"/>
      <c r="H55" s="66"/>
      <c r="I55" s="66"/>
      <c r="J55" s="61">
        <f>IF($F55="","",ROUND($G55+$H55+$I55,2))</f>
        <v/>
      </c>
      <c r="K55" s="61">
        <f>IF($F55="","",$F55-$J55)</f>
        <v/>
      </c>
      <c r="L55" s="64"/>
      <c r="M55" s="84">
        <f>IF($F55="","",IF($K55&lt;=0,"🟢 Paid in full",IF($J55&gt;0,"🟠 Partial","🔴 Unpaid")))</f>
        <v/>
      </c>
    </row>
    <row r="56" spans="2:13" ht="20" customHeight="1">
      <c r="B56" s="56">
        <f>IF($C56="","",ROW()-7)</f>
        <v/>
      </c>
      <c r="C56" s="58"/>
      <c r="D56" s="14"/>
      <c r="E56" s="57"/>
      <c r="F56" s="60"/>
      <c r="G56" s="60"/>
      <c r="H56" s="60"/>
      <c r="I56" s="60"/>
      <c r="J56" s="61">
        <f>IF($F56="","",ROUND($G56+$H56+$I56,2))</f>
        <v/>
      </c>
      <c r="K56" s="61">
        <f>IF($F56="","",$F56-$J56)</f>
        <v/>
      </c>
      <c r="L56" s="57"/>
      <c r="M56" s="84">
        <f>IF($F56="","",IF($K56&lt;=0,"🟢 Paid in full",IF($J56&gt;0,"🟠 Partial","🔴 Unpaid")))</f>
        <v/>
      </c>
    </row>
    <row r="57" spans="2:13" ht="20" customHeight="1">
      <c r="B57" s="63">
        <f>IF($C57="","",ROW()-7)</f>
        <v/>
      </c>
      <c r="C57" s="10"/>
      <c r="D57" s="9"/>
      <c r="E57" s="64"/>
      <c r="F57" s="66"/>
      <c r="G57" s="66"/>
      <c r="H57" s="66"/>
      <c r="I57" s="66"/>
      <c r="J57" s="61">
        <f>IF($F57="","",ROUND($G57+$H57+$I57,2))</f>
        <v/>
      </c>
      <c r="K57" s="61">
        <f>IF($F57="","",$F57-$J57)</f>
        <v/>
      </c>
      <c r="L57" s="64"/>
      <c r="M57" s="84">
        <f>IF($F57="","",IF($K57&lt;=0,"🟢 Paid in full",IF($J57&gt;0,"🟠 Partial","🔴 Unpaid")))</f>
        <v/>
      </c>
    </row>
    <row r="58" spans="2:13" ht="20" customHeight="1">
      <c r="B58" s="56">
        <f>IF($C58="","",ROW()-7)</f>
        <v/>
      </c>
      <c r="C58" s="58"/>
      <c r="D58" s="14"/>
      <c r="E58" s="57"/>
      <c r="F58" s="60"/>
      <c r="G58" s="60"/>
      <c r="H58" s="60"/>
      <c r="I58" s="60"/>
      <c r="J58" s="61">
        <f>IF($F58="","",ROUND($G58+$H58+$I58,2))</f>
        <v/>
      </c>
      <c r="K58" s="61">
        <f>IF($F58="","",$F58-$J58)</f>
        <v/>
      </c>
      <c r="L58" s="57"/>
      <c r="M58" s="84">
        <f>IF($F58="","",IF($K58&lt;=0,"🟢 Paid in full",IF($J58&gt;0,"🟠 Partial","🔴 Unpaid")))</f>
        <v/>
      </c>
    </row>
    <row r="59" spans="2:13" ht="20" customHeight="1">
      <c r="B59" s="63">
        <f>IF($C59="","",ROW()-7)</f>
        <v/>
      </c>
      <c r="C59" s="10"/>
      <c r="D59" s="9"/>
      <c r="E59" s="64"/>
      <c r="F59" s="66"/>
      <c r="G59" s="66"/>
      <c r="H59" s="66"/>
      <c r="I59" s="66"/>
      <c r="J59" s="61">
        <f>IF($F59="","",ROUND($G59+$H59+$I59,2))</f>
        <v/>
      </c>
      <c r="K59" s="61">
        <f>IF($F59="","",$F59-$J59)</f>
        <v/>
      </c>
      <c r="L59" s="64"/>
      <c r="M59" s="84">
        <f>IF($F59="","",IF($K59&lt;=0,"🟢 Paid in full",IF($J59&gt;0,"🟠 Partial","🔴 Unpaid")))</f>
        <v/>
      </c>
    </row>
    <row r="60" spans="2:13" ht="20" customHeight="1">
      <c r="B60" s="56">
        <f>IF($C60="","",ROW()-7)</f>
        <v/>
      </c>
      <c r="C60" s="58"/>
      <c r="D60" s="14"/>
      <c r="E60" s="57"/>
      <c r="F60" s="60"/>
      <c r="G60" s="60"/>
      <c r="H60" s="60"/>
      <c r="I60" s="60"/>
      <c r="J60" s="61">
        <f>IF($F60="","",ROUND($G60+$H60+$I60,2))</f>
        <v/>
      </c>
      <c r="K60" s="61">
        <f>IF($F60="","",$F60-$J60)</f>
        <v/>
      </c>
      <c r="L60" s="57"/>
      <c r="M60" s="84">
        <f>IF($F60="","",IF($K60&lt;=0,"🟢 Paid in full",IF($J60&gt;0,"🟠 Partial","🔴 Unpaid")))</f>
        <v/>
      </c>
    </row>
    <row r="61" spans="2:13" ht="20" customHeight="1">
      <c r="B61" s="63">
        <f>IF($C61="","",ROW()-7)</f>
        <v/>
      </c>
      <c r="C61" s="10"/>
      <c r="D61" s="9"/>
      <c r="E61" s="64"/>
      <c r="F61" s="66"/>
      <c r="G61" s="66"/>
      <c r="H61" s="66"/>
      <c r="I61" s="66"/>
      <c r="J61" s="61">
        <f>IF($F61="","",ROUND($G61+$H61+$I61,2))</f>
        <v/>
      </c>
      <c r="K61" s="61">
        <f>IF($F61="","",$F61-$J61)</f>
        <v/>
      </c>
      <c r="L61" s="64"/>
      <c r="M61" s="84">
        <f>IF($F61="","",IF($K61&lt;=0,"🟢 Paid in full",IF($J61&gt;0,"🟠 Partial","🔴 Unpaid")))</f>
        <v/>
      </c>
    </row>
    <row r="62" spans="2:13" ht="20" customHeight="1">
      <c r="B62" s="56">
        <f>IF($C62="","",ROW()-7)</f>
        <v/>
      </c>
      <c r="C62" s="58"/>
      <c r="D62" s="14"/>
      <c r="E62" s="57"/>
      <c r="F62" s="60"/>
      <c r="G62" s="60"/>
      <c r="H62" s="60"/>
      <c r="I62" s="60"/>
      <c r="J62" s="61">
        <f>IF($F62="","",ROUND($G62+$H62+$I62,2))</f>
        <v/>
      </c>
      <c r="K62" s="61">
        <f>IF($F62="","",$F62-$J62)</f>
        <v/>
      </c>
      <c r="L62" s="57"/>
      <c r="M62" s="84">
        <f>IF($F62="","",IF($K62&lt;=0,"🟢 Paid in full",IF($J62&gt;0,"🟠 Partial","🔴 Unpaid")))</f>
        <v/>
      </c>
    </row>
    <row r="63" spans="2:13" ht="20" customHeight="1">
      <c r="B63" s="63">
        <f>IF($C63="","",ROW()-7)</f>
        <v/>
      </c>
      <c r="C63" s="10"/>
      <c r="D63" s="9"/>
      <c r="E63" s="64"/>
      <c r="F63" s="66"/>
      <c r="G63" s="66"/>
      <c r="H63" s="66"/>
      <c r="I63" s="66"/>
      <c r="J63" s="61">
        <f>IF($F63="","",ROUND($G63+$H63+$I63,2))</f>
        <v/>
      </c>
      <c r="K63" s="61">
        <f>IF($F63="","",$F63-$J63)</f>
        <v/>
      </c>
      <c r="L63" s="64"/>
      <c r="M63" s="84">
        <f>IF($F63="","",IF($K63&lt;=0,"🟢 Paid in full",IF($J63&gt;0,"🟠 Partial","🔴 Unpaid")))</f>
        <v/>
      </c>
    </row>
    <row r="64" spans="2:13" ht="20" customHeight="1">
      <c r="B64" s="56">
        <f>IF($C64="","",ROW()-7)</f>
        <v/>
      </c>
      <c r="C64" s="58"/>
      <c r="D64" s="14"/>
      <c r="E64" s="57"/>
      <c r="F64" s="60"/>
      <c r="G64" s="60"/>
      <c r="H64" s="60"/>
      <c r="I64" s="60"/>
      <c r="J64" s="61">
        <f>IF($F64="","",ROUND($G64+$H64+$I64,2))</f>
        <v/>
      </c>
      <c r="K64" s="61">
        <f>IF($F64="","",$F64-$J64)</f>
        <v/>
      </c>
      <c r="L64" s="57"/>
      <c r="M64" s="84">
        <f>IF($F64="","",IF($K64&lt;=0,"🟢 Paid in full",IF($J64&gt;0,"🟠 Partial","🔴 Unpaid")))</f>
        <v/>
      </c>
    </row>
    <row r="65" spans="2:13" ht="20" customHeight="1">
      <c r="B65" s="63">
        <f>IF($C65="","",ROW()-7)</f>
        <v/>
      </c>
      <c r="C65" s="10"/>
      <c r="D65" s="9"/>
      <c r="E65" s="64"/>
      <c r="F65" s="66"/>
      <c r="G65" s="66"/>
      <c r="H65" s="66"/>
      <c r="I65" s="66"/>
      <c r="J65" s="61">
        <f>IF($F65="","",ROUND($G65+$H65+$I65,2))</f>
        <v/>
      </c>
      <c r="K65" s="61">
        <f>IF($F65="","",$F65-$J65)</f>
        <v/>
      </c>
      <c r="L65" s="64"/>
      <c r="M65" s="84">
        <f>IF($F65="","",IF($K65&lt;=0,"🟢 Paid in full",IF($J65&gt;0,"🟠 Partial","🔴 Unpaid")))</f>
        <v/>
      </c>
    </row>
    <row r="66" spans="2:13" ht="20" customHeight="1">
      <c r="B66" s="56">
        <f>IF($C66="","",ROW()-7)</f>
        <v/>
      </c>
      <c r="C66" s="58"/>
      <c r="D66" s="14"/>
      <c r="E66" s="57"/>
      <c r="F66" s="60"/>
      <c r="G66" s="60"/>
      <c r="H66" s="60"/>
      <c r="I66" s="60"/>
      <c r="J66" s="61">
        <f>IF($F66="","",ROUND($G66+$H66+$I66,2))</f>
        <v/>
      </c>
      <c r="K66" s="61">
        <f>IF($F66="","",$F66-$J66)</f>
        <v/>
      </c>
      <c r="L66" s="57"/>
      <c r="M66" s="84">
        <f>IF($F66="","",IF($K66&lt;=0,"🟢 Paid in full",IF($J66&gt;0,"🟠 Partial","🔴 Unpaid")))</f>
        <v/>
      </c>
    </row>
    <row r="67" spans="2:13" ht="20" customHeight="1">
      <c r="B67" s="63">
        <f>IF($C67="","",ROW()-7)</f>
        <v/>
      </c>
      <c r="C67" s="10"/>
      <c r="D67" s="9"/>
      <c r="E67" s="64"/>
      <c r="F67" s="66"/>
      <c r="G67" s="66"/>
      <c r="H67" s="66"/>
      <c r="I67" s="66"/>
      <c r="J67" s="61">
        <f>IF($F67="","",ROUND($G67+$H67+$I67,2))</f>
        <v/>
      </c>
      <c r="K67" s="61">
        <f>IF($F67="","",$F67-$J67)</f>
        <v/>
      </c>
      <c r="L67" s="64"/>
      <c r="M67" s="84">
        <f>IF($F67="","",IF($K67&lt;=0,"🟢 Paid in full",IF($J67&gt;0,"🟠 Partial","🔴 Unpaid")))</f>
        <v/>
      </c>
    </row>
    <row r="68" spans="2:13" ht="24" customHeight="1">
      <c r="B68" s="68" t="s">
        <v>201</v>
      </c>
      <c r="C68" s="68"/>
      <c r="D68" s="68"/>
      <c r="E68" s="69"/>
      <c r="F68" s="70">
        <f>SUM('💰 Payments'!$F$8:$F$67)</f>
        <v>0</v>
      </c>
      <c r="G68" s="69"/>
      <c r="H68" s="69"/>
      <c r="I68" s="69"/>
      <c r="J68" s="70">
        <f>SUM('💰 Payments'!$G$8:$G$67)+SUM('💰 Payments'!$H$8:$H$67)+SUM('💰 Payments'!$I$8:$I$67)</f>
        <v>0</v>
      </c>
      <c r="K68" s="70">
        <f>SUM('💰 Payments'!$F$8:$F$67)-SUM('💰 Payments'!$G$8:$G$67)-SUM('💰 Payments'!$H$8:$H$67)-SUM('💰 Payments'!$I$8:$I$67)</f>
        <v>0</v>
      </c>
      <c r="L68" s="69"/>
      <c r="M68" s="69"/>
    </row>
    <row r="88" spans="2:13" ht="22" customHeight="1">
      <c r="B88" s="15" t="s">
        <v>202</v>
      </c>
      <c r="C88" s="15"/>
      <c r="D88" s="15"/>
      <c r="E88" s="15"/>
      <c r="F88" s="15"/>
      <c r="G88" s="15"/>
      <c r="H88" s="15"/>
      <c r="I88" s="15"/>
      <c r="J88" s="15"/>
      <c r="K88" s="15"/>
      <c r="L88" s="15"/>
    </row>
    <row r="89" spans="2:13" ht="51.8" customHeight="1">
      <c r="B89" s="22" t="s">
        <v>260</v>
      </c>
      <c r="C89" s="22"/>
      <c r="D89" s="22"/>
      <c r="E89" s="22"/>
      <c r="F89" s="22"/>
      <c r="G89" s="22"/>
      <c r="H89" s="22"/>
      <c r="I89" s="22"/>
      <c r="J89" s="22"/>
      <c r="K89" s="22"/>
      <c r="L89" s="22"/>
    </row>
    <row r="95" spans="2:13">
      <c r="B95" s="23" t="s">
        <v>185</v>
      </c>
      <c r="C95" s="23"/>
      <c r="D95" s="24" t="s">
        <v>162</v>
      </c>
      <c r="E95" s="24"/>
      <c r="F95" s="25" t="s">
        <v>163</v>
      </c>
      <c r="G95" s="25"/>
      <c r="H95" s="26" t="s">
        <v>17</v>
      </c>
      <c r="I95" s="26"/>
      <c r="J95" s="27" t="s">
        <v>164</v>
      </c>
      <c r="K95" s="27"/>
      <c r="L95" s="28" t="s">
        <v>165</v>
      </c>
      <c r="M95" s="28"/>
    </row>
    <row r="96" spans="2:13" ht="24" customHeight="1">
      <c r="B96" s="29" t="s">
        <v>261</v>
      </c>
      <c r="C96" s="29"/>
      <c r="D96" s="30" t="s">
        <v>167</v>
      </c>
      <c r="E96" s="30"/>
    </row>
  </sheetData>
  <sheetProtection password="EC7C" sheet="1" formatCells="0" formatColumns="0" formatRows="0" insertColumns="0" insertRows="0" insertHyperlinks="0" deleteColumns="0" deleteRows="0" sort="0" autoFilter="0"/>
  <mergeCells count="18">
    <mergeCell ref="B2:J2"/>
    <mergeCell ref="B3:J3"/>
    <mergeCell ref="K3:M3"/>
    <mergeCell ref="B5:C5"/>
    <mergeCell ref="D5:E5"/>
    <mergeCell ref="F5:G5"/>
    <mergeCell ref="H5:I5"/>
    <mergeCell ref="B68:D68"/>
    <mergeCell ref="B88:L88"/>
    <mergeCell ref="B89:L89"/>
    <mergeCell ref="B95:C95"/>
    <mergeCell ref="D95:E95"/>
    <mergeCell ref="F95:G95"/>
    <mergeCell ref="H95:I95"/>
    <mergeCell ref="J95:K95"/>
    <mergeCell ref="L95:M95"/>
    <mergeCell ref="B96:C96"/>
    <mergeCell ref="D96:E96"/>
  </mergeCells>
  <conditionalFormatting sqref="L8:L67">
    <cfRule type="expression" dxfId="7" priority="4">
      <formula>AND($L8&lt;&gt;"",$L8&lt;TODAY(),$K8&gt;0)</formula>
    </cfRule>
    <cfRule type="expression" dxfId="8" priority="5">
      <formula>AND($L8&lt;&gt;"",$L8&gt;=TODAY(),$L8-TODAY()&lt;=DueSoonDays,$K8&gt;0)</formula>
    </cfRule>
  </conditionalFormatting>
  <conditionalFormatting sqref="M8:M67">
    <cfRule type="expression" dxfId="0" priority="1">
      <formula>$M8="🔴 Unpaid"</formula>
    </cfRule>
    <cfRule type="expression" dxfId="1" priority="2">
      <formula>$M8="🟠 Partial"</formula>
    </cfRule>
    <cfRule type="expression" dxfId="2" priority="3">
      <formula>$M8="🟢 Paid in full"</formula>
    </cfRule>
  </conditionalFormatting>
  <dataValidations count="7">
    <dataValidation type="list" allowBlank="1" showInputMessage="1" showErrorMessage="1" promptTitle="Client" prompt="Pick a client from the Clients tab." sqref="D8:D6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67">
      <formula1>36526</formula1>
      <formula2>73415</formula2>
    </dataValidation>
    <dataValidation type="date" errorStyle="warning" allowBlank="1" showInputMessage="1" showErrorMessage="1" errorTitle="That's not a date" error="Enter a date between 2000 and 2100." promptTitle="Date" prompt="Type a date, or pick one from the calendar picker." sqref="L8:L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F8:F67">
      <formula1>0</formula1>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decimal" operator="greaterThanOrEqual" errorStyle="warning" allowBlank="1" showInputMessage="1" showErrorMessage="1" errorTitle="Enter money" error="Please enter a positive number (no currency symbol) - the symbol comes from Setup." sqref="H8:H67">
      <formula1>0</formula1>
    </dataValidation>
    <dataValidation type="decimal" operator="greaterThanOrEqual" errorStyle="warning" allowBlank="1" showInputMessage="1" showErrorMessage="1" errorTitle="Enter money" error="Please enter a positive number (no currency symbol) - the symbol comes from Setup." sqref="I8:I67">
      <formula1>0</formula1>
    </dataValidation>
  </dataValidations>
  <hyperlinks>
    <hyperlink ref="K3" location="'📊 Dashboard'!A1" display="🏠  Back to Dashboard"/>
    <hyperlink ref="B95" location="'⚙️ Setup'!A1" display="Setup"/>
    <hyperlink ref="D95" location="'📊 Dashboard'!A1" display="🏠 Home"/>
    <hyperlink ref="F95" location="'👥 Clients'!A1" display="Clients"/>
    <hyperlink ref="H95" location="'📅 Events'!A1" display="Events"/>
    <hyperlink ref="J95" location="'🧮 Quote Calculator'!A1" display="Quote"/>
    <hyperlink ref="L95" location="'💸 Expenses'!A1" display="Expenses"/>
    <hyperlink ref="B96" location="'💰 Payments'!A1" display="▶ Payments"/>
    <hyperlink ref="D9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9.xml><?xml version="1.0" encoding="utf-8"?>
<worksheet xmlns="http://schemas.openxmlformats.org/spreadsheetml/2006/main" xmlns:r="http://schemas.openxmlformats.org/officeDocument/2006/relationships">
  <sheetPr>
    <tabColor rgb="FF7C8A82"/>
    <pageSetUpPr fitToPage="1"/>
  </sheetPr>
  <dimension ref="A1:H96"/>
  <sheetViews>
    <sheetView showGridLines="0" workbookViewId="0"/>
  </sheetViews>
  <sheetFormatPr defaultRowHeight="15"/>
  <cols>
    <col min="1" max="1" width="2.85546875" customWidth="1"/>
    <col min="2" max="3" width="15.7109375" customWidth="1"/>
    <col min="4" max="8" width="14.7109375" customWidth="1"/>
    <col min="9" max="9" width="3.7109375" customWidth="1"/>
  </cols>
  <sheetData>
    <row r="1" spans="2:8" ht="26" customHeight="1"/>
    <row r="2" spans="2:8" ht="26" customHeight="1"/>
    <row r="3" spans="2:8" ht="26" customHeight="1"/>
    <row r="4" spans="2:8" ht="26" customHeight="1"/>
    <row r="5" spans="2:8" ht="26" customHeight="1">
      <c r="B5" s="85" t="s">
        <v>262</v>
      </c>
      <c r="C5" s="85"/>
      <c r="D5" s="85"/>
      <c r="E5" s="85"/>
      <c r="F5" s="85"/>
      <c r="G5" s="85"/>
      <c r="H5" s="85"/>
    </row>
    <row r="6" spans="2:8" ht="26" customHeight="1">
      <c r="B6" s="85"/>
      <c r="C6" s="85"/>
      <c r="D6" s="85"/>
      <c r="E6" s="85"/>
      <c r="F6" s="85"/>
      <c r="G6" s="85"/>
      <c r="H6" s="85"/>
    </row>
    <row r="7" spans="2:8" ht="26" customHeight="1">
      <c r="B7" s="85"/>
      <c r="C7" s="85"/>
      <c r="D7" s="85"/>
      <c r="E7" s="85"/>
      <c r="F7" s="85"/>
      <c r="G7" s="85"/>
      <c r="H7" s="85"/>
    </row>
    <row r="8" spans="2:8" ht="26" customHeight="1">
      <c r="B8" s="86" t="s">
        <v>263</v>
      </c>
      <c r="C8" s="86"/>
      <c r="D8" s="86"/>
      <c r="E8" s="86"/>
      <c r="F8" s="86"/>
      <c r="G8" s="86"/>
      <c r="H8" s="86"/>
    </row>
    <row r="9" spans="2:8" ht="26" customHeight="1">
      <c r="B9" s="86"/>
      <c r="C9" s="86"/>
      <c r="D9" s="86"/>
      <c r="E9" s="86"/>
      <c r="F9" s="86"/>
      <c r="G9" s="86"/>
      <c r="H9" s="86"/>
    </row>
    <row r="10" spans="2:8" ht="26" customHeight="1"/>
    <row r="11" spans="2:8" ht="26" customHeight="1">
      <c r="B11" s="87" t="s">
        <v>264</v>
      </c>
      <c r="C11" s="87"/>
      <c r="D11" s="87"/>
      <c r="E11" s="87"/>
      <c r="F11" s="87"/>
    </row>
    <row r="12" spans="2:8" ht="26" customHeight="1">
      <c r="B12" s="87"/>
      <c r="C12" s="87"/>
      <c r="D12" s="87"/>
      <c r="E12" s="87"/>
      <c r="F12" s="87"/>
    </row>
    <row r="13" spans="2:8" ht="26" customHeight="1"/>
    <row r="14" spans="2:8" ht="26" customHeight="1"/>
    <row r="15" spans="2:8" ht="26" customHeight="1"/>
    <row r="16" spans="2:8" ht="19" customHeight="1"/>
    <row r="17" spans="2:8" ht="19" customHeight="1">
      <c r="B17" s="7" t="s">
        <v>265</v>
      </c>
      <c r="C17" s="7"/>
      <c r="D17" s="7"/>
      <c r="E17" s="7"/>
      <c r="F17" s="7"/>
      <c r="G17" s="7"/>
      <c r="H17" s="7"/>
    </row>
    <row r="18" spans="2:8" ht="51.8" customHeight="1">
      <c r="B18" s="88" t="s">
        <v>266</v>
      </c>
      <c r="C18" s="88"/>
      <c r="D18" s="88"/>
      <c r="E18" s="88"/>
      <c r="F18" s="88"/>
      <c r="G18" s="88"/>
      <c r="H18" s="88"/>
    </row>
    <row r="19" spans="2:8" ht="19" customHeight="1"/>
    <row r="20" spans="2:8" ht="19" customHeight="1">
      <c r="B20" s="7" t="s">
        <v>267</v>
      </c>
      <c r="C20" s="7"/>
      <c r="D20" s="7"/>
      <c r="E20" s="7"/>
      <c r="F20" s="7"/>
      <c r="G20" s="7"/>
      <c r="H20" s="7"/>
    </row>
    <row r="21" spans="2:8" ht="37.2" customHeight="1">
      <c r="B21" s="89" t="s">
        <v>268</v>
      </c>
      <c r="C21" s="88" t="s">
        <v>269</v>
      </c>
      <c r="D21" s="88"/>
      <c r="E21" s="88"/>
      <c r="F21" s="88"/>
      <c r="G21" s="88"/>
      <c r="H21" s="88"/>
    </row>
    <row r="22" spans="2:8" ht="19" customHeight="1">
      <c r="B22" s="89"/>
    </row>
    <row r="23" spans="2:8" ht="37.2" customHeight="1">
      <c r="B23" s="89" t="s">
        <v>270</v>
      </c>
      <c r="C23" s="88" t="s">
        <v>271</v>
      </c>
      <c r="D23" s="88"/>
      <c r="E23" s="88"/>
      <c r="F23" s="88"/>
      <c r="G23" s="88"/>
      <c r="H23" s="88"/>
    </row>
    <row r="24" spans="2:8" ht="19" customHeight="1">
      <c r="B24" s="89"/>
    </row>
    <row r="25" spans="2:8" ht="37.2" customHeight="1">
      <c r="B25" s="89" t="s">
        <v>272</v>
      </c>
      <c r="C25" s="88" t="s">
        <v>273</v>
      </c>
      <c r="D25" s="88"/>
      <c r="E25" s="88"/>
      <c r="F25" s="88"/>
      <c r="G25" s="88"/>
      <c r="H25" s="88"/>
    </row>
    <row r="26" spans="2:8" ht="19" customHeight="1">
      <c r="B26" s="89"/>
    </row>
    <row r="27" spans="2:8" ht="19" customHeight="1"/>
    <row r="28" spans="2:8" ht="19" customHeight="1">
      <c r="B28" s="7" t="s">
        <v>274</v>
      </c>
      <c r="C28" s="7"/>
      <c r="D28" s="7"/>
      <c r="E28" s="7"/>
      <c r="F28" s="7"/>
      <c r="G28" s="7"/>
      <c r="H28" s="7"/>
    </row>
    <row r="29" spans="2:8" ht="37.2" customHeight="1">
      <c r="B29" s="90" t="s">
        <v>275</v>
      </c>
      <c r="C29" s="90"/>
      <c r="D29" s="91" t="s">
        <v>276</v>
      </c>
      <c r="E29" s="91"/>
      <c r="F29" s="91"/>
      <c r="G29" s="91"/>
      <c r="H29" s="91"/>
    </row>
    <row r="30" spans="2:8" ht="37.2" customHeight="1">
      <c r="B30" s="92" t="s">
        <v>277</v>
      </c>
      <c r="C30" s="92"/>
      <c r="D30" s="91" t="s">
        <v>278</v>
      </c>
      <c r="E30" s="91"/>
      <c r="F30" s="91"/>
      <c r="G30" s="91"/>
      <c r="H30" s="91"/>
    </row>
    <row r="31" spans="2:8" ht="22.6" customHeight="1">
      <c r="B31" s="93" t="s">
        <v>279</v>
      </c>
      <c r="C31" s="93"/>
      <c r="D31" s="91" t="s">
        <v>280</v>
      </c>
      <c r="E31" s="91"/>
      <c r="F31" s="91"/>
      <c r="G31" s="91"/>
      <c r="H31" s="91"/>
    </row>
    <row r="32" spans="2:8" ht="37.2" customHeight="1">
      <c r="B32" s="94" t="s">
        <v>281</v>
      </c>
      <c r="C32" s="94"/>
      <c r="D32" s="91" t="s">
        <v>282</v>
      </c>
      <c r="E32" s="91"/>
      <c r="F32" s="91"/>
      <c r="G32" s="91"/>
      <c r="H32" s="91"/>
    </row>
    <row r="33" spans="2:8" ht="37.2" customHeight="1">
      <c r="B33" s="95" t="s">
        <v>283</v>
      </c>
      <c r="C33" s="95"/>
      <c r="D33" s="91" t="s">
        <v>284</v>
      </c>
      <c r="E33" s="91"/>
      <c r="F33" s="91"/>
      <c r="G33" s="91"/>
      <c r="H33" s="91"/>
    </row>
    <row r="34" spans="2:8" ht="37.2" customHeight="1">
      <c r="B34" s="96" t="s">
        <v>285</v>
      </c>
      <c r="C34" s="96"/>
      <c r="D34" s="91" t="s">
        <v>286</v>
      </c>
      <c r="E34" s="91"/>
      <c r="F34" s="91"/>
      <c r="G34" s="91"/>
      <c r="H34" s="91"/>
    </row>
    <row r="35" spans="2:8" ht="22.6" customHeight="1">
      <c r="B35" s="97" t="s">
        <v>287</v>
      </c>
      <c r="C35" s="97"/>
      <c r="D35" s="91" t="s">
        <v>288</v>
      </c>
      <c r="E35" s="91"/>
      <c r="F35" s="91"/>
      <c r="G35" s="91"/>
      <c r="H35" s="91"/>
    </row>
    <row r="36" spans="2:8" ht="22.6" customHeight="1">
      <c r="B36" s="98" t="s">
        <v>289</v>
      </c>
      <c r="C36" s="98"/>
      <c r="D36" s="91" t="s">
        <v>290</v>
      </c>
      <c r="E36" s="91"/>
      <c r="F36" s="91"/>
      <c r="G36" s="91"/>
      <c r="H36" s="91"/>
    </row>
    <row r="37" spans="2:8" ht="19" customHeight="1"/>
    <row r="38" spans="2:8" ht="19" customHeight="1">
      <c r="B38" s="7" t="s">
        <v>291</v>
      </c>
      <c r="C38" s="7"/>
      <c r="D38" s="7"/>
      <c r="E38" s="7"/>
      <c r="F38" s="7"/>
      <c r="G38" s="7"/>
      <c r="H38" s="7"/>
    </row>
    <row r="39" spans="2:8" ht="37.2" customHeight="1">
      <c r="B39" s="99"/>
      <c r="C39" s="88" t="s">
        <v>292</v>
      </c>
      <c r="D39" s="88"/>
      <c r="E39" s="88"/>
      <c r="F39" s="88"/>
      <c r="G39" s="88"/>
      <c r="H39" s="88"/>
    </row>
    <row r="40" spans="2:8" ht="51.8" customHeight="1">
      <c r="B40" s="99"/>
      <c r="C40" s="88" t="s">
        <v>293</v>
      </c>
      <c r="D40" s="88"/>
      <c r="E40" s="88"/>
      <c r="F40" s="88"/>
      <c r="G40" s="88"/>
      <c r="H40" s="88"/>
    </row>
    <row r="41" spans="2:8" ht="37.2" customHeight="1">
      <c r="B41" s="99"/>
      <c r="C41" s="88" t="s">
        <v>294</v>
      </c>
      <c r="D41" s="88"/>
      <c r="E41" s="88"/>
      <c r="F41" s="88"/>
      <c r="G41" s="88"/>
      <c r="H41" s="88"/>
    </row>
    <row r="42" spans="2:8" ht="37.2" customHeight="1">
      <c r="B42" s="99"/>
      <c r="C42" s="88" t="s">
        <v>295</v>
      </c>
      <c r="D42" s="88"/>
      <c r="E42" s="88"/>
      <c r="F42" s="88"/>
      <c r="G42" s="88"/>
      <c r="H42" s="88"/>
    </row>
    <row r="43" spans="2:8" ht="37.2" customHeight="1">
      <c r="B43" s="99"/>
      <c r="C43" s="88" t="s">
        <v>296</v>
      </c>
      <c r="D43" s="88"/>
      <c r="E43" s="88"/>
      <c r="F43" s="88"/>
      <c r="G43" s="88"/>
      <c r="H43" s="88"/>
    </row>
    <row r="44" spans="2:8" ht="37.2" customHeight="1">
      <c r="B44" s="99"/>
      <c r="C44" s="88" t="s">
        <v>297</v>
      </c>
      <c r="D44" s="88"/>
      <c r="E44" s="88"/>
      <c r="F44" s="88"/>
      <c r="G44" s="88"/>
      <c r="H44" s="88"/>
    </row>
    <row r="45" spans="2:8" ht="19" customHeight="1"/>
    <row r="46" spans="2:8" ht="19" customHeight="1">
      <c r="B46" s="7" t="s">
        <v>298</v>
      </c>
      <c r="C46" s="7"/>
      <c r="D46" s="7"/>
      <c r="E46" s="7"/>
      <c r="F46" s="7"/>
      <c r="G46" s="7"/>
      <c r="H46" s="7"/>
    </row>
    <row r="47" spans="2:8" ht="51.8" customHeight="1">
      <c r="B47" s="88" t="s">
        <v>299</v>
      </c>
      <c r="C47" s="88"/>
      <c r="D47" s="88"/>
      <c r="E47" s="88"/>
      <c r="F47" s="88"/>
      <c r="G47" s="88"/>
      <c r="H47" s="88"/>
    </row>
    <row r="48" spans="2:8" ht="19" customHeight="1"/>
    <row r="49" spans="1:8" ht="8" customHeight="1">
      <c r="A49" s="4"/>
      <c r="B49" s="4"/>
      <c r="C49" s="4"/>
      <c r="D49" s="4"/>
      <c r="E49" s="4"/>
      <c r="F49" s="4"/>
      <c r="G49" s="4"/>
      <c r="H49" s="4"/>
    </row>
    <row r="50" spans="1:8" ht="19" customHeight="1"/>
    <row r="51" spans="1:8" ht="19" customHeight="1">
      <c r="B51" s="23" t="s">
        <v>185</v>
      </c>
      <c r="C51" s="23"/>
      <c r="D51" s="24" t="s">
        <v>162</v>
      </c>
      <c r="E51" s="24"/>
      <c r="F51" s="25" t="s">
        <v>163</v>
      </c>
      <c r="G51" s="25"/>
    </row>
    <row r="52" spans="1:8" ht="24" customHeight="1">
      <c r="B52" s="26" t="s">
        <v>17</v>
      </c>
      <c r="C52" s="26"/>
      <c r="D52" s="27" t="s">
        <v>164</v>
      </c>
      <c r="E52" s="27"/>
      <c r="F52" s="28" t="s">
        <v>165</v>
      </c>
      <c r="G52" s="28"/>
    </row>
    <row r="53" spans="1:8" ht="24" customHeight="1">
      <c r="B53" s="29" t="s">
        <v>166</v>
      </c>
      <c r="C53" s="29"/>
      <c r="D53" s="30" t="s">
        <v>300</v>
      </c>
      <c r="E53" s="30"/>
    </row>
    <row r="54" spans="1:8" ht="19" customHeight="1"/>
    <row r="55" spans="1:8" ht="19" customHeight="1"/>
    <row r="56" spans="1:8" ht="19" customHeight="1"/>
    <row r="57" spans="1:8" ht="19" customHeight="1"/>
    <row r="58" spans="1:8" ht="19" customHeight="1"/>
    <row r="59" spans="1:8" ht="19" customHeight="1"/>
    <row r="60" spans="1:8" ht="19" customHeight="1"/>
    <row r="61" spans="1:8" ht="19" customHeight="1"/>
    <row r="62" spans="1:8" ht="19" customHeight="1"/>
    <row r="63" spans="1:8" ht="19" customHeight="1"/>
    <row r="64" spans="1:8" ht="19" customHeight="1"/>
    <row r="65" ht="19" customHeight="1"/>
    <row r="66" ht="19" customHeight="1"/>
    <row r="67" ht="19" customHeight="1"/>
    <row r="68" ht="19" customHeight="1"/>
    <row r="69" ht="19" customHeight="1"/>
    <row r="70" ht="19" customHeight="1"/>
    <row r="71" ht="19" customHeight="1"/>
    <row r="72" ht="19" customHeight="1"/>
    <row r="73" ht="19" customHeight="1"/>
    <row r="74" ht="19" customHeight="1"/>
    <row r="75" ht="19" customHeight="1"/>
    <row r="76" ht="19" customHeight="1"/>
    <row r="77" ht="19" customHeight="1"/>
    <row r="78" ht="19" customHeight="1"/>
    <row r="79" ht="19" customHeight="1"/>
    <row r="80" ht="19" customHeight="1"/>
    <row r="81" ht="19" customHeight="1"/>
    <row r="82" ht="19" customHeight="1"/>
    <row r="83" ht="19" customHeight="1"/>
    <row r="84" ht="19" customHeight="1"/>
    <row r="85" ht="19" customHeight="1"/>
    <row r="86" ht="19" customHeight="1"/>
    <row r="87" ht="19" customHeight="1"/>
    <row r="88" ht="19" customHeight="1"/>
    <row r="89" ht="19" customHeight="1"/>
    <row r="90" ht="19" customHeight="1"/>
    <row r="91" ht="19" customHeight="1"/>
    <row r="92" ht="19" customHeight="1"/>
    <row r="93" ht="19" customHeight="1"/>
    <row r="94" ht="19" customHeight="1"/>
    <row r="95" ht="19" customHeight="1"/>
    <row r="96" ht="19" customHeight="1"/>
  </sheetData>
  <sheetProtection password="EC7C" sheet="1" formatCells="0" formatColumns="0" formatRows="0" insertColumns="0" insertRows="0" insertHyperlinks="0" deleteColumns="0" deleteRows="0" sort="0" autoFilter="0"/>
  <mergeCells count="46">
    <mergeCell ref="B5:H7"/>
    <mergeCell ref="B8:H9"/>
    <mergeCell ref="B11:F12"/>
    <mergeCell ref="B17:H17"/>
    <mergeCell ref="B18:H18"/>
    <mergeCell ref="B20:H20"/>
    <mergeCell ref="B21:B22"/>
    <mergeCell ref="C21:H21"/>
    <mergeCell ref="B23:B24"/>
    <mergeCell ref="C23:H23"/>
    <mergeCell ref="B25:B26"/>
    <mergeCell ref="C25:H25"/>
    <mergeCell ref="B28:H28"/>
    <mergeCell ref="B29:C29"/>
    <mergeCell ref="D29:H29"/>
    <mergeCell ref="B30:C30"/>
    <mergeCell ref="D30:H30"/>
    <mergeCell ref="B31:C31"/>
    <mergeCell ref="D31:H31"/>
    <mergeCell ref="B32:C32"/>
    <mergeCell ref="D32:H32"/>
    <mergeCell ref="B33:C33"/>
    <mergeCell ref="D33:H33"/>
    <mergeCell ref="B34:C34"/>
    <mergeCell ref="D34:H34"/>
    <mergeCell ref="B35:C35"/>
    <mergeCell ref="D35:H35"/>
    <mergeCell ref="B36:C36"/>
    <mergeCell ref="D36:H36"/>
    <mergeCell ref="B38:H38"/>
    <mergeCell ref="C39:H39"/>
    <mergeCell ref="C40:H40"/>
    <mergeCell ref="C41:H41"/>
    <mergeCell ref="C42:H42"/>
    <mergeCell ref="C43:H43"/>
    <mergeCell ref="C44:H44"/>
    <mergeCell ref="B46:H46"/>
    <mergeCell ref="B47:H47"/>
    <mergeCell ref="B51:C51"/>
    <mergeCell ref="D51:E51"/>
    <mergeCell ref="F51:G51"/>
    <mergeCell ref="B52:C52"/>
    <mergeCell ref="D52:E52"/>
    <mergeCell ref="F52:G52"/>
    <mergeCell ref="B53:C53"/>
    <mergeCell ref="D53:E53"/>
  </mergeCells>
  <hyperlinks>
    <hyperlink ref="B29" location="'📊 Dashboard'!A1" display="📊 Dashboard"/>
    <hyperlink ref="B30" location="'⚙️ Setup'!A1" display="⚙️ Setup"/>
    <hyperlink ref="B31" location="'👥 Clients'!A1" display="👥 Clients"/>
    <hyperlink ref="B32" location="'📅 Events'!A1" display="📅 Events"/>
    <hyperlink ref="B33" location="'🧮 Quote Calculator'!A1" display="🧮 Quote Calculator"/>
    <hyperlink ref="B34" location="'💸 Expenses'!A1" display="💸 Expenses"/>
    <hyperlink ref="B35" location="'💰 Payments'!A1" display="💰 Payments"/>
    <hyperlink ref="B36" location="'📖 Start Here'!A1" display="📖 Start Here"/>
    <hyperlink ref="B51" location="'⚙️ Setup'!A1" display="Setup"/>
    <hyperlink ref="D51" location="'📊 Dashboard'!A1" display="🏠 Home"/>
    <hyperlink ref="F51" location="'👥 Clients'!A1" display="Clients"/>
    <hyperlink ref="B52" location="'📅 Events'!A1" display="Events"/>
    <hyperlink ref="D52" location="'🧮 Quote Calculator'!A1" display="Quote"/>
    <hyperlink ref="F52" location="'💸 Expenses'!A1" display="Expenses"/>
    <hyperlink ref="B53" location="'💰 Payments'!A1" display="Payments"/>
    <hyperlink ref="D53" location="'📖 Start Here'!A1" display="▶ 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33</vt:i4>
      </vt:variant>
    </vt:vector>
  </HeadingPairs>
  <TitlesOfParts>
    <vt:vector size="42" baseType="lpstr">
      <vt:lpstr>_Data</vt:lpstr>
      <vt:lpstr>⚙️ Setup</vt:lpstr>
      <vt:lpstr>📊 Dashboard</vt:lpstr>
      <vt:lpstr>👥 Clients</vt:lpstr>
      <vt:lpstr>📅 Events</vt:lpstr>
      <vt:lpstr>🧮 Quote Calculator</vt:lpstr>
      <vt:lpstr>💸 Expenses</vt:lpstr>
      <vt:lpstr>💰 Payments</vt:lpstr>
      <vt:lpstr>📖 Start Here</vt:lpstr>
      <vt:lpstr>BusinessName</vt:lpstr>
      <vt:lpstr>CalMonth</vt:lpstr>
      <vt:lpstr>CalYear</vt:lpstr>
      <vt:lpstr>ClientsList</vt:lpstr>
      <vt:lpstr>Currency</vt:lpstr>
      <vt:lpstr>DefaultMargin</vt:lpstr>
      <vt:lpstr>DepositPct</vt:lpstr>
      <vt:lpstr>DueSoonDays</vt:lpstr>
      <vt:lpstr>EventList</vt:lpstr>
      <vt:lpstr>EventStatuses</vt:lpstr>
      <vt:lpstr>EventTypes</vt:lpstr>
      <vt:lpstr>ExpenseCategories</vt:lpstr>
      <vt:lpstr>IngredientCategories</vt:lpstr>
      <vt:lpstr>MenuCategories</vt:lpstr>
      <vt:lpstr>PaymentMethods</vt:lpstr>
      <vt:lpstr>PaymentStatuses</vt:lpstr>
      <vt:lpstr>_Data!Print_Area</vt:lpstr>
      <vt:lpstr>'⚙️ Setup'!Print_Area</vt:lpstr>
      <vt:lpstr>'👥 Clients'!Print_Area</vt:lpstr>
      <vt:lpstr>'💰 Payments'!Print_Area</vt:lpstr>
      <vt:lpstr>'💸 Expenses'!Print_Area</vt:lpstr>
      <vt:lpstr>'📅 Events'!Print_Area</vt:lpstr>
      <vt:lpstr>'📊 Dashboard'!Print_Area</vt:lpstr>
      <vt:lpstr>'📖 Start Here'!Print_Area</vt:lpstr>
      <vt:lpstr>'🧮 Quote Calculator'!Print_Area</vt:lpstr>
      <vt:lpstr>'👥 Clients'!Print_Titles</vt:lpstr>
      <vt:lpstr>'💰 Payments'!Print_Titles</vt:lpstr>
      <vt:lpstr>'💸 Expenses'!Print_Titles</vt:lpstr>
      <vt:lpstr>'📅 Events'!Print_Titles</vt:lpstr>
      <vt:lpstr>ReportYear</vt:lpstr>
      <vt:lpstr>StaffRoles</vt:lpstr>
      <vt:lpstr>TaxRate</vt:lpstr>
      <vt:lpstr>Tick</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Ultimate Catering Business Spreadsheet</dc:title>
  <dc:subject>Events • Clients • Quotes • Food Cost • Profit</dc:subject>
  <dc:creator>Novality Store</dc:creator>
  <cp:keywords>catering business, catering planner, food cost calculator, event tracker, client tracker, quote calculator, recipe costing, inventory, profit dashboard, excel template, google sheets, etsy spreadsheet</cp:keywords>
  <dc:description>Ultimate Catering Business Spreadsheet v1.0 - Events • Clients • Quotes • Food Cost • Profit. Works in Excel 2016+ and Google Sheets. No macros, nothing to install.</dc:description>
  <cp:lastModifiedBy>Novality Store</cp:lastModifiedBy>
  <dcterms:created xsi:type="dcterms:W3CDTF">2026-09-13T07:07:02Z</dcterms:created>
  <dcterms:modified xsi:type="dcterms:W3CDTF">2026-09-13T07:07:02Z</dcterms:modified>
  <cp:category>Catering Business Management Spreadsheet</cp:category>
</cp:coreProperties>
</file>