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firstSheet="3" activeTab="2"/>
  </bookViews>
  <sheets>
    <sheet name="_Data" sheetId="1" state="hidden" r:id="rId1"/>
    <sheet name="⚙️ Lists &amp; Settings" sheetId="2" r:id="rId2"/>
    <sheet name="📊 Dashboard" sheetId="3" r:id="rId3"/>
    <sheet name="🧶 Product Catalog" sheetId="4" r:id="rId4"/>
    <sheet name="🧵 Yarn &amp; Materials" sheetId="5" r:id="rId5"/>
    <sheet name="📦 Made &amp; Stocked" sheetId="6" r:id="rId6"/>
    <sheet name="🏪 Craft Fairs" sheetId="7" r:id="rId7"/>
    <sheet name="💰 Sales Log" sheetId="8" r:id="rId8"/>
    <sheet name="🧮 Event Profit" sheetId="9" r:id="rId9"/>
    <sheet name="🔄 Reorder List" sheetId="10" r:id="rId10"/>
    <sheet name="🎒 Packing Checklist" sheetId="11" r:id="rId11"/>
    <sheet name="💵 Pricing Calculator" sheetId="12" r:id="rId12"/>
    <sheet name="📅 Monthly Summary" sheetId="13" r:id="rId13"/>
    <sheet name="📖 Start Here" sheetId="14" r:id="rId14"/>
  </sheets>
  <definedNames>
    <definedName name="BusinessName">'⚙️ Lists &amp; Settings'!$C$6</definedName>
    <definedName name="Categories">OFFSET('⚙️ Lists &amp; Settings'!$C$23,0,0,MAX(1,COUNTA('⚙️ Lists &amp; Settings'!$C$23:$C$42)),1)</definedName>
    <definedName name="Currency">'⚙️ Lists &amp; Settings'!$C$10</definedName>
    <definedName name="EventList">OFFSET('🏪 Craft Fairs'!$B$8,0,0,MAX(1,COUNTA('🏪 Craft Fairs'!$B$8:$B$31)),1)</definedName>
    <definedName name="HourlyWage">'⚙️ Lists &amp; Settings'!$C$12</definedName>
    <definedName name="MaterialsList">OFFSET('🧵 Yarn &amp; Materials'!$B$8,0,0,MAX(1,COUNTA('🧵 Yarn &amp; Materials'!$B$8:$B$31)),1)</definedName>
    <definedName name="Message">'⚙️ Lists &amp; Settings'!$C$7</definedName>
    <definedName name="OverheadPct">'⚙️ Lists &amp; Settings'!$C$13</definedName>
    <definedName name="PaymentMethods">OFFSET('⚙️ Lists &amp; Settings'!$D$23,0,0,MAX(1,COUNTA('⚙️ Lists &amp; Settings'!$D$23:$D$42)),1)</definedName>
    <definedName name="_xlnm.Print_Area" localSheetId="1">'⚙️ Lists &amp; Settings'!$A$1:$J$55</definedName>
    <definedName name="_xlnm.Print_Area" localSheetId="10">'🎒 Packing Checklist'!$A$1:$F$45</definedName>
    <definedName name="_xlnm.Print_Area" localSheetId="6">'🏪 Craft Fairs'!$A$1:$R$43</definedName>
    <definedName name="_xlnm.Print_Area" localSheetId="7">'💰 Sales Log'!$A$1:$M$79</definedName>
    <definedName name="_xlnm.Print_Area" localSheetId="11">'💵 Pricing Calculator'!$A$1:$J$31</definedName>
    <definedName name="_xlnm.Print_Area" localSheetId="12">'📅 Monthly Summary'!$A$1:$K$30</definedName>
    <definedName name="_xlnm.Print_Area" localSheetId="2">'📊 Dashboard'!$A$1:$M$84</definedName>
    <definedName name="_xlnm.Print_Area" localSheetId="13">'📖 Start Here'!$A$1:$J$74</definedName>
    <definedName name="_xlnm.Print_Area" localSheetId="5">'📦 Made &amp; Stocked'!$A$1:$L$49</definedName>
    <definedName name="_xlnm.Print_Area" localSheetId="9">'🔄 Reorder List'!$A$1:$J$46</definedName>
    <definedName name="_xlnm.Print_Area" localSheetId="8">'🧮 Event Profit'!$A$1:$J$43</definedName>
    <definedName name="_xlnm.Print_Area" localSheetId="4">'🧵 Yarn &amp; Materials'!$A$1:$N$43</definedName>
    <definedName name="_xlnm.Print_Area" localSheetId="3">'🧶 Product Catalog'!$A$1:$P$43</definedName>
    <definedName name="ProductsList">OFFSET('🧶 Product Catalog'!$C$8,0,0,MAX(1,COUNTA('🧶 Product Catalog'!$C$8:$C$31)),1)</definedName>
    <definedName name="ReportYear">'⚙️ Lists &amp; Settings'!$C$11</definedName>
    <definedName name="Suppliers">OFFSET('⚙️ Lists &amp; Settings'!$G$23,0,0,MAX(1,COUNTA('⚙️ Lists &amp; Settings'!$G$23:$G$42)),1)</definedName>
    <definedName name="TargetMargin">'⚙️ Lists &amp; Settings'!$C$14</definedName>
    <definedName name="Tick">'⚙️ Lists &amp; Settings'!$C$47:$C$48</definedName>
    <definedName name="Units">OFFSET('⚙️ Lists &amp; Settings'!$F$23,0,0,MAX(1,COUNTA('⚙️ Lists &amp; Settings'!$F$23:$F$42)),1)</definedName>
    <definedName name="YarnWeights">OFFSET('⚙️ Lists &amp; Settings'!$E$23,0,0,MAX(1,COUNTA('⚙️ Lists &amp; Settings'!$E$23:$E$42)),1)</definedName>
  </definedNames>
  <calcPr calcId="124519" fullCalcOnLoad="1"/>
</workbook>
</file>

<file path=xl/sharedStrings.xml><?xml version="1.0" encoding="utf-8"?>
<sst xmlns="http://schemas.openxmlformats.org/spreadsheetml/2006/main" count="906" uniqueCount="486">
  <si>
    <t>Ultimate Crochet Craft Fair Tracker v1.0 - calculation engine (hidden; do not edit)</t>
  </si>
  <si>
    <t>#</t>
  </si>
  <si>
    <t>Month</t>
  </si>
  <si>
    <t>Revenue</t>
  </si>
  <si>
    <t>COGS</t>
  </si>
  <si>
    <t>Fees</t>
  </si>
  <si>
    <t>Net</t>
  </si>
  <si>
    <t>Margin</t>
  </si>
  <si>
    <t>January</t>
  </si>
  <si>
    <t>February</t>
  </si>
  <si>
    <t>March</t>
  </si>
  <si>
    <t>April</t>
  </si>
  <si>
    <t>May</t>
  </si>
  <si>
    <t>June</t>
  </si>
  <si>
    <t>July</t>
  </si>
  <si>
    <t>August</t>
  </si>
  <si>
    <t>September</t>
  </si>
  <si>
    <t>October</t>
  </si>
  <si>
    <t>November</t>
  </si>
  <si>
    <t>December</t>
  </si>
  <si>
    <t>Method</t>
  </si>
  <si>
    <t>Value</t>
  </si>
  <si>
    <t>Cash</t>
  </si>
  <si>
    <t>Card</t>
  </si>
  <si>
    <t>Bank transfer</t>
  </si>
  <si>
    <t>Mobile wallet</t>
  </si>
  <si>
    <t>Online order</t>
  </si>
  <si>
    <t>Other</t>
  </si>
  <si>
    <t>Category</t>
  </si>
  <si>
    <t>Booth fees</t>
  </si>
  <si>
    <t>Travel</t>
  </si>
  <si>
    <t>Parking</t>
  </si>
  <si>
    <t>Food &amp; drinks</t>
  </si>
  <si>
    <t>Display &amp; decor</t>
  </si>
  <si>
    <t>Product</t>
  </si>
  <si>
    <t>Units</t>
  </si>
  <si>
    <t>Stock</t>
  </si>
  <si>
    <t>Profit</t>
  </si>
  <si>
    <t>Event</t>
  </si>
  <si>
    <t>Sales</t>
  </si>
  <si>
    <t>Gross sales (all time)</t>
  </si>
  <si>
    <t>Discounts given</t>
  </si>
  <si>
    <t>Cost of products sold</t>
  </si>
  <si>
    <t>Event expenses (all fairs)</t>
  </si>
  <si>
    <t>Net profit</t>
  </si>
  <si>
    <t>Profit margin</t>
  </si>
  <si>
    <t>Units sold</t>
  </si>
  <si>
    <t>Sales log entries</t>
  </si>
  <si>
    <t>Average sale value</t>
  </si>
  <si>
    <t>Average profit per item</t>
  </si>
  <si>
    <t>Fairs on the books</t>
  </si>
  <si>
    <t>Fairs worked</t>
  </si>
  <si>
    <t>Inventory value (at unit cost)</t>
  </si>
  <si>
    <t>Products below minimum</t>
  </si>
  <si>
    <t>Materials below threshold</t>
  </si>
  <si>
    <t>Estimated reorder cost</t>
  </si>
  <si>
    <t>Sell-through rate</t>
  </si>
  <si>
    <t>Units made (all batches)</t>
  </si>
  <si>
    <t>Best-selling product</t>
  </si>
  <si>
    <t>Best craft fair</t>
  </si>
  <si>
    <t>Most units sold</t>
  </si>
  <si>
    <t>Highest revenue product</t>
  </si>
  <si>
    <t>Highest profit product</t>
  </si>
  <si>
    <t>Highest margin product</t>
  </si>
  <si>
    <t>Slowest mover</t>
  </si>
  <si>
    <t>Pricing calculator: suggested price</t>
  </si>
  <si>
    <t>Ordered</t>
  </si>
  <si>
    <t>Item</t>
  </si>
  <si>
    <t>⚙️  Lists &amp; Settings</t>
  </si>
  <si>
    <t xml:space="preserve">  Your studio basics + every dropdown list in one place</t>
  </si>
  <si>
    <t>🏠  Dashboard</t>
  </si>
  <si>
    <t xml:space="preserve">  Your studio</t>
  </si>
  <si>
    <t>Business name</t>
  </si>
  <si>
    <t>Willow &amp; Wren Crochet Studio</t>
  </si>
  <si>
    <t>Shown big on the Dashboard banner.</t>
  </si>
  <si>
    <t>Season note</t>
  </si>
  <si>
    <t>Autumn fair season - stock up on chunky yarn!</t>
  </si>
  <si>
    <t>A little reminder for yourself (optional).</t>
  </si>
  <si>
    <t xml:space="preserve">  Money &amp; targets</t>
  </si>
  <si>
    <t>Currency symbol</t>
  </si>
  <si>
    <t>$</t>
  </si>
  <si>
    <t>Every money column shows this symbol.</t>
  </si>
  <si>
    <t>Report year</t>
  </si>
  <si>
    <t>The Dashboard's month chart follows this year.</t>
  </si>
  <si>
    <t>Your hourly wage</t>
  </si>
  <si>
    <t>Used by the Pricing Calculator to pay yourself properly.</t>
  </si>
  <si>
    <t>Overhead %</t>
  </si>
  <si>
    <t>Card fees, electricity, glue, parking... a little on top of everything.</t>
  </si>
  <si>
    <t>Target profit margin</t>
  </si>
  <si>
    <t>The default margin the Pricing Calculator aims for.</t>
  </si>
  <si>
    <t>These five columns feed every dropdown in the workbook. Rename anything, add new rows or delete ones you don't use - the dropdowns update automatically. Keep each list inside its own column and leave no big gaps between entries.</t>
  </si>
  <si>
    <t>Product categories</t>
  </si>
  <si>
    <t>Payment methods</t>
  </si>
  <si>
    <t>Yarn weights</t>
  </si>
  <si>
    <t>Suppliers</t>
  </si>
  <si>
    <t>Toys &amp; Amigurumi</t>
  </si>
  <si>
    <t>Lace</t>
  </si>
  <si>
    <t>balls</t>
  </si>
  <si>
    <t>Local yarn shop</t>
  </si>
  <si>
    <t>Wearables</t>
  </si>
  <si>
    <t>Sock / 4-ply</t>
  </si>
  <si>
    <t>metres</t>
  </si>
  <si>
    <t>Online yarn store</t>
  </si>
  <si>
    <t>Home &amp; Decor</t>
  </si>
  <si>
    <t>DK / light</t>
  </si>
  <si>
    <t>grams</t>
  </si>
  <si>
    <t>Wholesale craft</t>
  </si>
  <si>
    <t>Accessories</t>
  </si>
  <si>
    <t>Worsted / aran</t>
  </si>
  <si>
    <t>skeins</t>
  </si>
  <si>
    <t>Market stall</t>
  </si>
  <si>
    <t>Baby &amp; Kids</t>
  </si>
  <si>
    <t>Chunky</t>
  </si>
  <si>
    <t>cones</t>
  </si>
  <si>
    <t>Second-hand / stash</t>
  </si>
  <si>
    <t>Seasonal</t>
  </si>
  <si>
    <t>Super chunky</t>
  </si>
  <si>
    <t>pieces</t>
  </si>
  <si>
    <t>Mixed / other</t>
  </si>
  <si>
    <t xml:space="preserve">  Built-in marks (fixed)</t>
  </si>
  <si>
    <t>The tick marks below power every ✓ box in the workbook. They're fixed on purpose so the green tick highlights keep working - just pick them from the dropdowns.</t>
  </si>
  <si>
    <t>Tick marks</t>
  </si>
  <si>
    <t>✓</t>
  </si>
  <si>
    <t>✗ Skip</t>
  </si>
  <si>
    <t xml:space="preserve">  💡  Change a setting once and every sheet follows - currency, year, wage and dropdowns all live here.</t>
  </si>
  <si>
    <t>▶ Settings</t>
  </si>
  <si>
    <t>🏠 Home</t>
  </si>
  <si>
    <t>Products</t>
  </si>
  <si>
    <t>Yarn</t>
  </si>
  <si>
    <t>Fairs</t>
  </si>
  <si>
    <t>Event $</t>
  </si>
  <si>
    <t>Reorder</t>
  </si>
  <si>
    <t>Packing</t>
  </si>
  <si>
    <t>Pricing</t>
  </si>
  <si>
    <t>Monthly</t>
  </si>
  <si>
    <t>Help</t>
  </si>
  <si>
    <t xml:space="preserve">  🧶  Your craft fair business at a glance</t>
  </si>
  <si>
    <t>PREMIUM EDITION  •  14 tabs</t>
  </si>
  <si>
    <t>GROSS SALES</t>
  </si>
  <si>
    <t>NET PROFIT</t>
  </si>
  <si>
    <t>PROFIT MARGIN</t>
  </si>
  <si>
    <t>UNITS SOLD</t>
  </si>
  <si>
    <t>AVERAGE SALE</t>
  </si>
  <si>
    <t>STOCK VALUE</t>
  </si>
  <si>
    <t>FAIRS WORKED</t>
  </si>
  <si>
    <t>BEST CRAFT FAIR</t>
  </si>
  <si>
    <t>TOP SELLER</t>
  </si>
  <si>
    <t>TOP EARNER</t>
  </si>
  <si>
    <t>ITEMS MADE</t>
  </si>
  <si>
    <t>REORDER BILL</t>
  </si>
  <si>
    <t xml:space="preserve">  Your year at a glance</t>
  </si>
  <si>
    <t xml:space="preserve">  Top products (by revenue)</t>
  </si>
  <si>
    <t xml:space="preserve">  Restock radar</t>
  </si>
  <si>
    <t>The Reorder List tab turns these into a ready-to-buy shopping list with suppliers and costs - tick items off as you order.</t>
  </si>
  <si>
    <t xml:space="preserve">  💡  Every number on this page is live - log a sale on the Sales Log tab and watch it land here instantly.</t>
  </si>
  <si>
    <t>Settings</t>
  </si>
  <si>
    <t>▶ 🏠 Home</t>
  </si>
  <si>
    <t>🧶  Product Catalog</t>
  </si>
  <si>
    <t xml:space="preserve">  One row for everything you make - prices, costs and stock at a glance</t>
  </si>
  <si>
    <t>SKU / code</t>
  </si>
  <si>
    <t>Description</t>
  </si>
  <si>
    <t>Price</t>
  </si>
  <si>
    <t>Yarn cost</t>
  </si>
  <si>
    <t>Packaging</t>
  </si>
  <si>
    <t>Cost / item</t>
  </si>
  <si>
    <t>Profit / item</t>
  </si>
  <si>
    <t>Hours to make</t>
  </si>
  <si>
    <t>In stock</t>
  </si>
  <si>
    <t>Keep min.</t>
  </si>
  <si>
    <t>Stock status</t>
  </si>
  <si>
    <t>Photo / link</t>
  </si>
  <si>
    <t>CB-001</t>
  </si>
  <si>
    <t>Amigurumi Bunny</t>
  </si>
  <si>
    <t>Soft cotton bunny with safety eyes</t>
  </si>
  <si>
    <t>photos/bunny.jpg</t>
  </si>
  <si>
    <t>CB-002</t>
  </si>
  <si>
    <t>Chunky Beanie</t>
  </si>
  <si>
    <t>Super chunky merino beanie</t>
  </si>
  <si>
    <t>photos/beanie.jpg</t>
  </si>
  <si>
    <t>CB-003</t>
  </si>
  <si>
    <t>Granny Square Cardigan</t>
  </si>
  <si>
    <t>Hand-joined granny squares</t>
  </si>
  <si>
    <t>photos/cardigan.jpg</t>
  </si>
  <si>
    <t>CB-004</t>
  </si>
  <si>
    <t>Market Tote Bag</t>
  </si>
  <si>
    <t>Sturdy cotton market tote</t>
  </si>
  <si>
    <t>photos/tote.jpg</t>
  </si>
  <si>
    <t>CB-005</t>
  </si>
  <si>
    <t>Cozy Scarf</t>
  </si>
  <si>
    <t>Worsted wool scarf</t>
  </si>
  <si>
    <t>photos/scarf.jpg</t>
  </si>
  <si>
    <t>CB-006</t>
  </si>
  <si>
    <t>Baby Booties</t>
  </si>
  <si>
    <t>Tiny soft booties, pair</t>
  </si>
  <si>
    <t>photos/booties.jpg</t>
  </si>
  <si>
    <t>CB-007</t>
  </si>
  <si>
    <t>Flower Coaster Set</t>
  </si>
  <si>
    <t>Set of 4 cotton coasters</t>
  </si>
  <si>
    <t>photos/coasters.jpg</t>
  </si>
  <si>
    <t>CB-008</t>
  </si>
  <si>
    <t>Lap Blanket</t>
  </si>
  <si>
    <t>Granny stripe lap blanket</t>
  </si>
  <si>
    <t>photos/blanket.jpg</t>
  </si>
  <si>
    <t>CB-009</t>
  </si>
  <si>
    <t>Ear Warmer Headband</t>
  </si>
  <si>
    <t>Twisted ear warmer</t>
  </si>
  <si>
    <t>photos/earwarmer.jpg</t>
  </si>
  <si>
    <t>CB-010</t>
  </si>
  <si>
    <t>Stuffed Octopus</t>
  </si>
  <si>
    <t>Squishy friend octopus</t>
  </si>
  <si>
    <t>photos/octopus.jpg</t>
  </si>
  <si>
    <t>CB-011</t>
  </si>
  <si>
    <t>Table Runner</t>
  </si>
  <si>
    <t>Lacy cotton table runner</t>
  </si>
  <si>
    <t>photos/runner.jpg</t>
  </si>
  <si>
    <t>CB-012</t>
  </si>
  <si>
    <t>Keychain Charm</t>
  </si>
  <si>
    <t>Mini amigurumi keychain</t>
  </si>
  <si>
    <t>photos/charm.jpg</t>
  </si>
  <si>
    <t>TOTALS / AVERAGES</t>
  </si>
  <si>
    <t xml:space="preserve">  How this tab works</t>
  </si>
  <si>
    <t>Cost / item = yarn + packaging. Profit and margin follow your price automatically.
In stock is live from the Made &amp; Stocked tab - every batch you log updates it instantly.
Keep min. is your reorder trigger - dip below it and the item appears on the Reorder List tab.</t>
  </si>
  <si>
    <t xml:space="preserve">  💡  Cream cells are yours to type in; white cells calculate.  Dropdowns keep every column honest.</t>
  </si>
  <si>
    <t>▶ Products</t>
  </si>
  <si>
    <t>🧵  Yarn &amp; Materials</t>
  </si>
  <si>
    <t xml:space="preserve">  Your whole stash with costs - and what's left on the shelf</t>
  </si>
  <si>
    <t>Material</t>
  </si>
  <si>
    <t>Colour</t>
  </si>
  <si>
    <t>Brand</t>
  </si>
  <si>
    <t>Yarn weight</t>
  </si>
  <si>
    <t>Purchased</t>
  </si>
  <si>
    <t>Unit</t>
  </si>
  <si>
    <t>Cost / unit</t>
  </si>
  <si>
    <t>Total cost</t>
  </si>
  <si>
    <t>Used so far</t>
  </si>
  <si>
    <t>Remaining</t>
  </si>
  <si>
    <t>Supplier</t>
  </si>
  <si>
    <t>Low at</t>
  </si>
  <si>
    <t>Reorder?</t>
  </si>
  <si>
    <t>Cotton yarn - natural</t>
  </si>
  <si>
    <t>Natural</t>
  </si>
  <si>
    <t>Cotton Craft Co</t>
  </si>
  <si>
    <t>Acrylic yarn - raspberry</t>
  </si>
  <si>
    <t>Raspberry</t>
  </si>
  <si>
    <t>Value Yarns</t>
  </si>
  <si>
    <t>Merino wool - sage</t>
  </si>
  <si>
    <t>Sage</t>
  </si>
  <si>
    <t>Highland Fibres</t>
  </si>
  <si>
    <t>Chenille chunky - cream</t>
  </si>
  <si>
    <t>Cream</t>
  </si>
  <si>
    <t>Snuggle Spun</t>
  </si>
  <si>
    <t>Cotton yarn - mustard</t>
  </si>
  <si>
    <t>Mustard</t>
  </si>
  <si>
    <t>Wool blend - lavender</t>
  </si>
  <si>
    <t>Lavender</t>
  </si>
  <si>
    <t>Polyester stuffing</t>
  </si>
  <si>
    <t>White</t>
  </si>
  <si>
    <t>Craft Basics</t>
  </si>
  <si>
    <t>Bamboo buttons</t>
  </si>
  <si>
    <t>Safety eyes</t>
  </si>
  <si>
    <t>Black</t>
  </si>
  <si>
    <t>Paper gift tags</t>
  </si>
  <si>
    <t>Kraft</t>
  </si>
  <si>
    <t>Print &amp; Tag</t>
  </si>
  <si>
    <t>TOTALS</t>
  </si>
  <si>
    <t>Remaining = purchased - used. Update 'Used so far' as you work through a ball (rough counts are fine).
When remaining drops to the 'Low at' number, the Reorder List tab adds it to your shopping list with an estimated cost.</t>
  </si>
  <si>
    <t>▶ Yarn</t>
  </si>
  <si>
    <t>📦  Made &amp; Stocked</t>
  </si>
  <si>
    <t xml:space="preserve">  Log what you make - stock counts itself, batch by batch</t>
  </si>
  <si>
    <t>Date made</t>
  </si>
  <si>
    <t>Made</t>
  </si>
  <si>
    <t>Reserved</t>
  </si>
  <si>
    <t>Taken to fair</t>
  </si>
  <si>
    <t>Sold</t>
  </si>
  <si>
    <t>Returned</t>
  </si>
  <si>
    <t>Damaged / gifted</t>
  </si>
  <si>
    <t>In stock now</t>
  </si>
  <si>
    <t>Free to sell</t>
  </si>
  <si>
    <t>Notes</t>
  </si>
  <si>
    <t>Best spring seller</t>
  </si>
  <si>
    <t>Made to order</t>
  </si>
  <si>
    <t>Autumn stock</t>
  </si>
  <si>
    <t>One water damaged</t>
  </si>
  <si>
    <t>Sold out online</t>
  </si>
  <si>
    <t>Sold out at fete</t>
  </si>
  <si>
    <t>Reserved for market</t>
  </si>
  <si>
    <t>Impulse buy winner</t>
  </si>
  <si>
    <t>In stock now = made + returned - sold - damaged. Free to sell also removes items you've reserved (custom orders, prizes).
The same product can span several batches - the Product Catalog adds them all up automatically.
Negative 'Free to sell' glows red: you've promised more than you made.</t>
  </si>
  <si>
    <t>▶ Stock</t>
  </si>
  <si>
    <t>🏪  Craft Fairs</t>
  </si>
  <si>
    <t xml:space="preserve">  Book the fair, log the costs - the profit maths runs itself</t>
  </si>
  <si>
    <t>Craft fair</t>
  </si>
  <si>
    <t>Date</t>
  </si>
  <si>
    <t>Location</t>
  </si>
  <si>
    <t>Organiser</t>
  </si>
  <si>
    <t>Booth fee</t>
  </si>
  <si>
    <t>Food</t>
  </si>
  <si>
    <t>Display</t>
  </si>
  <si>
    <t>Fair cost</t>
  </si>
  <si>
    <t>Items taken</t>
  </si>
  <si>
    <t>Items sold</t>
  </si>
  <si>
    <t>Cost of goods</t>
  </si>
  <si>
    <t>Top seller (fill in)</t>
  </si>
  <si>
    <t>Spring Makers Market</t>
  </si>
  <si>
    <t>Town Hall</t>
  </si>
  <si>
    <t>Makers Guild</t>
  </si>
  <si>
    <t>Easter Craft Bazaar</t>
  </si>
  <si>
    <t>Church Hall</t>
  </si>
  <si>
    <t>St Mary's</t>
  </si>
  <si>
    <t>School Fete Stall</t>
  </si>
  <si>
    <t>Primary School</t>
  </si>
  <si>
    <t>PTA</t>
  </si>
  <si>
    <t>Summer Night Bazaar</t>
  </si>
  <si>
    <t>Riverside Park</t>
  </si>
  <si>
    <t>City Council</t>
  </si>
  <si>
    <t>Farmers Market Pop-up</t>
  </si>
  <si>
    <t>Market Square</t>
  </si>
  <si>
    <t>Growers Co-op</t>
  </si>
  <si>
    <t>Online Order Batch</t>
  </si>
  <si>
    <t>Online</t>
  </si>
  <si>
    <t>Own shop</t>
  </si>
  <si>
    <t>Autumn Craft Fair</t>
  </si>
  <si>
    <t>Exhibition Centre</t>
  </si>
  <si>
    <t>Craft Collective</t>
  </si>
  <si>
    <t>Winter Holiday Market</t>
  </si>
  <si>
    <t>Civic Square</t>
  </si>
  <si>
    <t>Fair cost adds up the five expense columns; Sales, cost of goods and net profit pull straight from the Sales Log.
Net = sales - fair cost - cost of goods. Red means that fair lost money - worth knowing before you book it again!
The fair names you type here power the dropdowns on the Sales Log, Event Profit and Packing tabs.</t>
  </si>
  <si>
    <t>▶ Fairs</t>
  </si>
  <si>
    <t>💰  Sales Log</t>
  </si>
  <si>
    <t xml:space="preserve">  Log every sale - totals, costs and dashboards update live</t>
  </si>
  <si>
    <t>Craft fair / channel</t>
  </si>
  <si>
    <t>Qty</t>
  </si>
  <si>
    <t>Unit price</t>
  </si>
  <si>
    <t>Discount</t>
  </si>
  <si>
    <t>Line total</t>
  </si>
  <si>
    <t>Payment</t>
  </si>
  <si>
    <t>Receipt / ref</t>
  </si>
  <si>
    <t>Gift wrap ✓</t>
  </si>
  <si>
    <t>SPR-01</t>
  </si>
  <si>
    <t>SPR-02</t>
  </si>
  <si>
    <t>EAS-01</t>
  </si>
  <si>
    <t>Kids loved these</t>
  </si>
  <si>
    <t>SUM-01</t>
  </si>
  <si>
    <t>SUM-02</t>
  </si>
  <si>
    <t>SUM-03</t>
  </si>
  <si>
    <t>FAR-01</t>
  </si>
  <si>
    <t>FAR-02</t>
  </si>
  <si>
    <t>Friend discount</t>
  </si>
  <si>
    <t>INV-2041</t>
  </si>
  <si>
    <t>Commission</t>
  </si>
  <si>
    <t>INV-2042</t>
  </si>
  <si>
    <t>INV-2043</t>
  </si>
  <si>
    <t>Line total = qty x unit price - discount. Cost of goods uses each product's cost from the Product Catalog.
One row per product per sale - if someone buys two different things, that's two happy rows.
Discounts glow amber so you can see how generous you've been this season.</t>
  </si>
  <si>
    <t>▶ Sales</t>
  </si>
  <si>
    <t>🧮  Event Profit</t>
  </si>
  <si>
    <t xml:space="preserve">  Pick a craft fair and see exactly what it earned you</t>
  </si>
  <si>
    <t xml:space="preserve">  Pick a craft fair</t>
  </si>
  <si>
    <t>Craft fair:</t>
  </si>
  <si>
    <t xml:space="preserve">  Money in</t>
  </si>
  <si>
    <t>Gross sales</t>
  </si>
  <si>
    <t xml:space="preserve">  Money out</t>
  </si>
  <si>
    <t>Cost of goods sold</t>
  </si>
  <si>
    <t xml:space="preserve">  The verdict</t>
  </si>
  <si>
    <t>Gross profit (sales - goods)</t>
  </si>
  <si>
    <t>True cost of the fair</t>
  </si>
  <si>
    <t>Average sale</t>
  </si>
  <si>
    <t>Breakeven sales</t>
  </si>
  <si>
    <t>Return on investment</t>
  </si>
  <si>
    <t xml:space="preserve">  Reading the numbers</t>
  </si>
  <si>
    <t>Gross profit = sales - cost of goods. True cost adds the booth, travel, parking, food and display you logged on the Craft Fairs tab.
Breakeven is the sales figure where the fair stops costing you money - anything above it is profit.
Return on investment: for every 1 of fair cost, how much profit came back. Above 100% = a very good day.</t>
  </si>
  <si>
    <t xml:space="preserve">  💡  Every number here is pulled live from your Sales Log and Craft Fairs tabs - nothing to re-type.</t>
  </si>
  <si>
    <t>▶ Event $</t>
  </si>
  <si>
    <t>🔄  Reorder List</t>
  </si>
  <si>
    <t xml:space="preserve">  Everything running low, in one shopping list</t>
  </si>
  <si>
    <t xml:space="preserve">  Products to restitch</t>
  </si>
  <si>
    <t>Have now</t>
  </si>
  <si>
    <t>Buy</t>
  </si>
  <si>
    <t>Est. cost</t>
  </si>
  <si>
    <t>Priority</t>
  </si>
  <si>
    <t>Ordered ✓</t>
  </si>
  <si>
    <t>Ordered on</t>
  </si>
  <si>
    <t xml:space="preserve">  Yarn &amp; materials to buy</t>
  </si>
  <si>
    <t>SHOPPING LIST TOTAL</t>
  </si>
  <si>
    <t xml:space="preserve">  How the list builds itself</t>
  </si>
  <si>
    <t>Products appear when stock drops below the 'Keep min.' level you set on the Product Catalog; materials when the stash reaches its 'Low at' number.
Buy = double your minimum minus what's left - enough to rebuild the buffer without over-buying yarn.
Tick the ✓ once it's ordered and add the date - the list becomes your paper trail.</t>
  </si>
  <si>
    <t>▶ Reorder</t>
  </si>
  <si>
    <t>🎒  Packing Checklist</t>
  </si>
  <si>
    <t xml:space="preserve">  Tick your way out the door - nothing left behind</t>
  </si>
  <si>
    <t>Packing for:</t>
  </si>
  <si>
    <t>Where it lives</t>
  </si>
  <si>
    <t xml:space="preserve">  Products</t>
  </si>
  <si>
    <t>Finished products</t>
  </si>
  <si>
    <t>Extra inventory</t>
  </si>
  <si>
    <t>Price tags</t>
  </si>
  <si>
    <t>Product labels / care cards</t>
  </si>
  <si>
    <t xml:space="preserve">  Booth</t>
  </si>
  <si>
    <t>Table</t>
  </si>
  <si>
    <t>Tablecloth</t>
  </si>
  <si>
    <t>Display stands / risers</t>
  </si>
  <si>
    <t>Baskets &amp; bins</t>
  </si>
  <si>
    <t>Signage &amp; banner</t>
  </si>
  <si>
    <t>Business cards</t>
  </si>
  <si>
    <t xml:space="preserve">  Payments</t>
  </si>
  <si>
    <t>Cash float</t>
  </si>
  <si>
    <t>Card reader</t>
  </si>
  <si>
    <t>Phone / tablet</t>
  </si>
  <si>
    <t>Charger</t>
  </si>
  <si>
    <t>Payment QR code</t>
  </si>
  <si>
    <t xml:space="preserve">  Supplies</t>
  </si>
  <si>
    <t>Shopping bags</t>
  </si>
  <si>
    <t>Tissue paper</t>
  </si>
  <si>
    <t>Tape &amp; scissors</t>
  </si>
  <si>
    <t>Pens</t>
  </si>
  <si>
    <t>Receipt book</t>
  </si>
  <si>
    <t>Sticky tack / clips</t>
  </si>
  <si>
    <t xml:space="preserve">  Packing pro tips</t>
  </si>
  <si>
    <t>Fill in 'Where it lives' once - next season you'll pack from muscle memory.
Use ✗ Skip for things a specific fair doesn't need (some venues provide tables, some ban card readers).</t>
  </si>
  <si>
    <t>▶ Packing</t>
  </si>
  <si>
    <t>💵  Pricing Calculator</t>
  </si>
  <si>
    <t xml:space="preserve">  Never underprice a hand-made item again</t>
  </si>
  <si>
    <t xml:space="preserve">  What goes into one item</t>
  </si>
  <si>
    <t>Yarn cost for this item</t>
  </si>
  <si>
    <t>Packaging, labels, cards</t>
  </si>
  <si>
    <t xml:space="preserve">  What to charge</t>
  </si>
  <si>
    <t>Your labour</t>
  </si>
  <si>
    <t>Overhead</t>
  </si>
  <si>
    <t>True cost to make</t>
  </si>
  <si>
    <t>Price at your margin</t>
  </si>
  <si>
    <t>Charm price (….95)</t>
  </si>
  <si>
    <t>Profit per item</t>
  </si>
  <si>
    <t>Margin check</t>
  </si>
  <si>
    <t xml:space="preserve">  How to use it</t>
  </si>
  <si>
    <t>True cost = yarn + packaging + your labour + overhead. The suggested price is true cost divided by (1 - margin), the classic retail formula.
The charm price rounds up to the nearest .95 - prices ending in 5 or 9 feel friendlier and keep the difference in your pocket.
Wage, overhead and margin start from your Lists &amp; Settings values - overwrite them here any time for a one-off item.</t>
  </si>
  <si>
    <t xml:space="preserve">  💡  A quick sanity check: if the suggested price makes you wince, your hours or wage are telling you something.</t>
  </si>
  <si>
    <t>▶ Pricing</t>
  </si>
  <si>
    <t>📅  Monthly Summary</t>
  </si>
  <si>
    <t xml:space="preserve">  Your whole year, one row per month</t>
  </si>
  <si>
    <t>Fair fees</t>
  </si>
  <si>
    <t>Avg sale</t>
  </si>
  <si>
    <t>YEAR TOTAL</t>
  </si>
  <si>
    <t xml:space="preserve">  Reading the months</t>
  </si>
  <si>
    <t>Months follow the Report year on your Lists &amp; Settings tab. Red net months usually mean fair fees paid before the fair happened - they catch up next month.
Fair fees land in the month of the fair itself, so a booked Autumn fair shows its booth fee in September.</t>
  </si>
  <si>
    <t>▶ Monthly</t>
  </si>
  <si>
    <t>Ultimate Crochet Craft Fair Tracker is a complete little business system for crochet sellers: products and pricing, yarn stash, stock, craft fairs, sales and profit - all in one tidy workbook that does the maths for you.</t>
  </si>
  <si>
    <t>Berry theme</t>
  </si>
  <si>
    <t>Excel 2016+  •  Google Sheets</t>
  </si>
  <si>
    <t>No macros</t>
  </si>
  <si>
    <t xml:space="preserve">  Set up in three minutes</t>
  </si>
  <si>
    <t>1.  Tell it about your studio</t>
  </si>
  <si>
    <t>Open Lists &amp; Settings: type your business name, pick your currency symbol, set the report year, your hourly wage, overhead % and target margin. Rename any dropdown list while you're there - categories, payment methods, yarn weights, suppliers.</t>
  </si>
  <si>
    <t>2.  List what you make</t>
  </si>
  <si>
    <t>On the Product Catalog tab, add one row per product with its price, yarn cost and packaging. Cost per item, profit and margin calculate themselves. Set a 'Keep min.' level for each - that's your reorder trigger.</t>
  </si>
  <si>
    <t>3.  Book a fair and sell</t>
  </si>
  <si>
    <t>Add the fair (and its costs) on the Craft Fairs tab, then log every sale on the Sales Log - pick the fair and product from the dropdowns. The Dashboard, Event Profit and Monthly Summary update instantly.</t>
  </si>
  <si>
    <t xml:space="preserve">  Your tabs, left to right</t>
  </si>
  <si>
    <t>Tab</t>
  </si>
  <si>
    <t>What it does</t>
  </si>
  <si>
    <t>Your studio name, money settings and every dropdown list.</t>
  </si>
  <si>
    <t>Live KPIs, charts and your top products.</t>
  </si>
  <si>
    <t>One row per product: price, costs, margin, stock.</t>
  </si>
  <si>
    <t>Your whole stash with costs and what's left.</t>
  </si>
  <si>
    <t>Log making sessions; stock counts itself.</t>
  </si>
  <si>
    <t>Book fairs and their costs; profit maths runs itself.</t>
  </si>
  <si>
    <t>One row per line item sold - at fairs or online.</t>
  </si>
  <si>
    <t>Was that fair worth it? Net, breakeven and ROI.</t>
  </si>
  <si>
    <t>An auto-built shopping list for stock and yarn.</t>
  </si>
  <si>
    <t>Tick your way out the door - nothing left behind.</t>
  </si>
  <si>
    <t>Price items so crafting actually pays you.</t>
  </si>
  <si>
    <t>Your whole year, one row per month.</t>
  </si>
  <si>
    <t xml:space="preserve">  The golden rules</t>
  </si>
  <si>
    <t>•  White cells are yours to type in. Tinted cells calculate themselves and are locked, so a stray keystroke can't break the maths.</t>
  </si>
  <si>
    <t>•  Dropdown lists are yours: rename, add or delete entries on the Lists &amp; Settings tab and every dropdown follows.</t>
  </si>
  <si>
    <t>•  Type new data in the blank rows inside each table - the formulas are already waiting for you there.</t>
  </si>
  <si>
    <t>•  The _Data tab is the engine room that feeds the Dashboard and charts. It stays hidden on purpose and needs no attention.</t>
  </si>
  <si>
    <t>•  No macros, nothing to install: works in Microsoft Excel 2016 and newer, and uploads cleanly to Google Sheets (Drive → open with Google Sheets).</t>
  </si>
  <si>
    <t xml:space="preserve">  Work like a pro</t>
  </si>
  <si>
    <t>•  Price before you stitch: run every new design through the Pricing Calculator so your wage and overhead are inside the price, not wishes.</t>
  </si>
  <si>
    <t>•  Log production on Made &amp; Stocked as you finish items - stock levels, the status pills and the Reorder List all follow automatically.</t>
  </si>
  <si>
    <t>•  Check the Reorder List a fortnight before a fair: buy what the list suggests and you won't sell out of your bestseller at 11am.</t>
  </si>
  <si>
    <t>•  After each fair, open Event Profit and compare net profit and ROI. Book the winners again next season; let the losers go.</t>
  </si>
  <si>
    <t>•  Once a month, glance at the Monthly Summary - a red net month usually just means a fair fee paid before the fair happened.</t>
  </si>
  <si>
    <t>This EXAMPLE copy is filled with Willow &amp; Wren Crochet Studio - a fictional small crochet business - so you can see every formula, chart and pill doing its job. Browse the tabs, then make it yours: type over the example rows or delete them and start fresh. Nothing breaks when you clear the data out.</t>
  </si>
  <si>
    <t>Questions or a wish for the next version? Message me through Etsy - I read and answer everything.</t>
  </si>
  <si>
    <t>Ultimate Crochet Craft Fair Tracker v1.0  •  14-tab Premium edition  •  © Novality Store</t>
  </si>
  <si>
    <t xml:space="preserve">  💡  Start on the Dashboard tab - it's the front door to everything else.</t>
  </si>
  <si>
    <t>▶ Help</t>
  </si>
</sst>
</file>

<file path=xl/styles.xml><?xml version="1.0" encoding="utf-8"?>
<styleSheet xmlns="http://schemas.openxmlformats.org/spreadsheetml/2006/main">
  <numFmts count="6">
    <numFmt numFmtId="164" formatCode="#,##0.00"/>
    <numFmt numFmtId="165" formatCode="0%"/>
    <numFmt numFmtId="166" formatCode="#,##0"/>
    <numFmt numFmtId="167" formatCode="0.0%"/>
    <numFmt numFmtId="168" formatCode="#,##0.0"/>
    <numFmt numFmtId="169" formatCode="dd mmm yyyy"/>
  </numFmts>
  <fonts count="55">
    <font>
      <sz val="11"/>
      <color theme="1"/>
      <name val="Calibri"/>
      <family val="2"/>
      <scheme val="minor"/>
    </font>
    <font>
      <i/>
      <sz val="9"/>
      <color rgb="FF97818D"/>
      <name val="Calibri"/>
      <family val="2"/>
      <scheme val="minor"/>
    </font>
    <font>
      <b/>
      <sz val="9"/>
      <color rgb="FF97818D"/>
      <name val="Calibri"/>
      <family val="2"/>
      <scheme val="minor"/>
    </font>
    <font>
      <b/>
      <sz val="20"/>
      <color rgb="FF5C3A50"/>
      <name val="Georgia"/>
      <family val="2"/>
    </font>
    <font>
      <i/>
      <sz val="10.5"/>
      <color rgb="FF97818D"/>
      <name val="Calibri"/>
      <family val="2"/>
      <scheme val="minor"/>
    </font>
    <font>
      <b/>
      <sz val="10"/>
      <color rgb="FFFFFFFF"/>
      <name val="Calibri"/>
      <family val="2"/>
      <scheme val="minor"/>
    </font>
    <font>
      <b/>
      <sz val="13"/>
      <color rgb="FFFFFFFF"/>
      <name val="Georgia"/>
      <family val="2"/>
    </font>
    <font>
      <b/>
      <sz val="10.5"/>
      <color rgb="FF33222C"/>
      <name val="Calibri"/>
      <family val="2"/>
      <scheme val="minor"/>
    </font>
    <font>
      <sz val="10.5"/>
      <color rgb="FF33222C"/>
      <name val="Calibri"/>
      <family val="2"/>
      <scheme val="minor"/>
    </font>
    <font>
      <i/>
      <sz val="9.5"/>
      <color rgb="FF97818D"/>
      <name val="Calibri"/>
      <family val="2"/>
      <scheme val="minor"/>
    </font>
    <font>
      <i/>
      <sz val="10"/>
      <color rgb="FF97818D"/>
      <name val="Calibri"/>
      <family val="2"/>
      <scheme val="minor"/>
    </font>
    <font>
      <b/>
      <sz val="13"/>
      <color rgb="FF33222C"/>
      <name val="Georgia"/>
      <family val="2"/>
    </font>
    <font>
      <b/>
      <sz val="13"/>
      <color rgb="FF2F7D4F"/>
      <name val="Calibri"/>
      <family val="2"/>
      <scheme val="minor"/>
    </font>
    <font>
      <i/>
      <sz val="10"/>
      <color rgb="FF33222C"/>
      <name val="Calibri"/>
      <family val="2"/>
      <scheme val="minor"/>
    </font>
    <font>
      <b/>
      <sz val="10.5"/>
      <color rgb="FFFFFFFF"/>
      <name val="Calibri"/>
      <family val="2"/>
      <scheme val="minor"/>
    </font>
    <font>
      <b/>
      <sz val="26"/>
      <color rgb="FFFFFFFF"/>
      <name val="Georgia"/>
      <family val="2"/>
    </font>
    <font>
      <b/>
      <sz val="10.5"/>
      <color rgb="FF5C3A50"/>
      <name val="Calibri"/>
      <family val="2"/>
      <scheme val="minor"/>
    </font>
    <font>
      <b/>
      <sz val="10.5"/>
      <color rgb="FF4C7A4C"/>
      <name val="Calibri"/>
      <family val="2"/>
      <scheme val="minor"/>
    </font>
    <font>
      <b/>
      <sz val="10.5"/>
      <color rgb="FFB98A2E"/>
      <name val="Calibri"/>
      <family val="2"/>
      <scheme val="minor"/>
    </font>
    <font>
      <b/>
      <sz val="10.5"/>
      <color rgb="FFB4761A"/>
      <name val="Calibri"/>
      <family val="2"/>
      <scheme val="minor"/>
    </font>
    <font>
      <b/>
      <sz val="9.5"/>
      <color rgb="FFFFFFFF"/>
      <name val="Calibri"/>
      <family val="2"/>
      <scheme val="minor"/>
    </font>
    <font>
      <b/>
      <sz val="17"/>
      <color rgb="FF5C3A50"/>
      <name val="Calibri"/>
      <family val="2"/>
      <scheme val="minor"/>
    </font>
    <font>
      <b/>
      <sz val="17"/>
      <color rgb="FF4C7A4C"/>
      <name val="Calibri"/>
      <family val="2"/>
      <scheme val="minor"/>
    </font>
    <font>
      <b/>
      <sz val="17"/>
      <color rgb="FFC05268"/>
      <name val="Calibri"/>
      <family val="2"/>
      <scheme val="minor"/>
    </font>
    <font>
      <b/>
      <sz val="17"/>
      <color rgb="FF5E6FA3"/>
      <name val="Calibri"/>
      <family val="2"/>
      <scheme val="minor"/>
    </font>
    <font>
      <b/>
      <sz val="17"/>
      <color rgb="FFB98A2E"/>
      <name val="Calibri"/>
      <family val="2"/>
      <scheme val="minor"/>
    </font>
    <font>
      <b/>
      <sz val="17"/>
      <color rgb="FF7A5273"/>
      <name val="Calibri"/>
      <family val="2"/>
      <scheme val="minor"/>
    </font>
    <font>
      <b/>
      <sz val="15"/>
      <color rgb="FF8A5F79"/>
      <name val="Calibri"/>
      <family val="2"/>
      <scheme val="minor"/>
    </font>
    <font>
      <b/>
      <sz val="13"/>
      <color rgb="FFB98A2E"/>
      <name val="Calibri"/>
      <family val="2"/>
      <scheme val="minor"/>
    </font>
    <font>
      <b/>
      <sz val="13"/>
      <color rgb="FFC05268"/>
      <name val="Calibri"/>
      <family val="2"/>
      <scheme val="minor"/>
    </font>
    <font>
      <b/>
      <sz val="13"/>
      <color rgb="FF4C7A4C"/>
      <name val="Calibri"/>
      <family val="2"/>
      <scheme val="minor"/>
    </font>
    <font>
      <b/>
      <sz val="15"/>
      <color rgb="FF5E6FA3"/>
      <name val="Calibri"/>
      <family val="2"/>
      <scheme val="minor"/>
    </font>
    <font>
      <b/>
      <sz val="15"/>
      <color rgb="FFAC2F2F"/>
      <name val="Calibri"/>
      <family val="2"/>
      <scheme val="minor"/>
    </font>
    <font>
      <b/>
      <sz val="12"/>
      <color rgb="FF5C3A50"/>
      <name val="Georgia"/>
      <family val="2"/>
    </font>
    <font>
      <sz val="9"/>
      <color rgb="FF97818D"/>
      <name val="Calibri"/>
      <family val="2"/>
      <scheme val="minor"/>
    </font>
    <font>
      <sz val="10.5"/>
      <color rgb="FF5C3A50"/>
      <name val="Calibri"/>
      <family val="2"/>
      <scheme val="minor"/>
    </font>
    <font>
      <b/>
      <sz val="10.5"/>
      <color rgb="FFAC2F2F"/>
      <name val="Calibri"/>
      <family val="2"/>
      <scheme val="minor"/>
    </font>
    <font>
      <b/>
      <sz val="10.5"/>
      <color rgb="FFC05268"/>
      <name val="Calibri"/>
      <family val="2"/>
      <scheme val="minor"/>
    </font>
    <font>
      <b/>
      <sz val="10.5"/>
      <color rgb="FF5E6FA3"/>
      <name val="Calibri"/>
      <family val="2"/>
      <scheme val="minor"/>
    </font>
    <font>
      <b/>
      <sz val="11"/>
      <color rgb="FFFFFFFF"/>
      <name val="Calibri"/>
      <family val="2"/>
      <scheme val="minor"/>
    </font>
    <font>
      <b/>
      <sz val="10.5"/>
      <color rgb="FF7A5273"/>
      <name val="Calibri"/>
      <family val="2"/>
      <scheme val="minor"/>
    </font>
    <font>
      <b/>
      <sz val="12"/>
      <color rgb="FF33222C"/>
      <name val="Calibri"/>
      <family val="2"/>
      <scheme val="minor"/>
    </font>
    <font>
      <b/>
      <sz val="13"/>
      <color rgb="FF5C3A50"/>
      <name val="Calibri"/>
      <family val="2"/>
      <scheme val="minor"/>
    </font>
    <font>
      <sz val="10.5"/>
      <color rgb="FF33222C"/>
      <name val="Calibri"/>
      <family val="2"/>
      <scheme val="minor"/>
    </font>
    <font>
      <b/>
      <sz val="15"/>
      <color rgb="FF5C3A50"/>
      <name val="Calibri"/>
      <family val="2"/>
      <scheme val="minor"/>
    </font>
    <font>
      <b/>
      <sz val="18"/>
      <color rgb="FF4C7A4C"/>
      <name val="Georgia"/>
      <family val="2"/>
    </font>
    <font>
      <b/>
      <sz val="11"/>
      <color rgb="FF33222C"/>
      <name val="Calibri"/>
      <family val="2"/>
      <scheme val="minor"/>
    </font>
    <font>
      <b/>
      <sz val="12"/>
      <color rgb="FF5C3A50"/>
      <name val="Calibri"/>
      <family val="2"/>
      <scheme val="minor"/>
    </font>
    <font>
      <b/>
      <sz val="16"/>
      <color rgb="FF5C3A50"/>
      <name val="Calibri"/>
      <family val="2"/>
      <scheme val="minor"/>
    </font>
    <font>
      <sz val="10.5"/>
      <color rgb="FF33222C"/>
      <name val="Calibri"/>
      <family val="2"/>
      <scheme val="minor"/>
    </font>
    <font>
      <b/>
      <sz val="10"/>
      <color rgb="FF5C3A50"/>
      <name val="Calibri"/>
      <family val="2"/>
      <scheme val="minor"/>
    </font>
    <font>
      <b/>
      <sz val="10"/>
      <color rgb="FFC05268"/>
      <name val="Calibri"/>
      <family val="2"/>
      <scheme val="minor"/>
    </font>
    <font>
      <b/>
      <sz val="10"/>
      <color rgb="FF4C7A4C"/>
      <name val="Calibri"/>
      <family val="2"/>
      <scheme val="minor"/>
    </font>
    <font>
      <b/>
      <sz val="10"/>
      <color rgb="FF5E6FA3"/>
      <name val="Calibri"/>
      <family val="2"/>
      <scheme val="minor"/>
    </font>
    <font>
      <i/>
      <sz val="10.5"/>
      <color rgb="FF33222C"/>
      <name val="Calibri"/>
      <family val="2"/>
      <scheme val="minor"/>
    </font>
  </fonts>
  <fills count="23">
    <fill>
      <patternFill patternType="none"/>
    </fill>
    <fill>
      <patternFill patternType="gray125"/>
    </fill>
    <fill>
      <patternFill patternType="solid">
        <fgColor rgb="FFFAF6F1"/>
        <bgColor indexed="64"/>
      </patternFill>
    </fill>
    <fill>
      <patternFill patternType="solid">
        <fgColor rgb="FFFBF7F3"/>
        <bgColor indexed="64"/>
      </patternFill>
    </fill>
    <fill>
      <patternFill patternType="solid">
        <fgColor rgb="FFC05268"/>
        <bgColor indexed="64"/>
      </patternFill>
    </fill>
    <fill>
      <patternFill patternType="solid">
        <fgColor rgb="FF5C3A50"/>
        <bgColor indexed="64"/>
      </patternFill>
    </fill>
    <fill>
      <patternFill patternType="solid">
        <fgColor rgb="FFFFFFFF"/>
        <bgColor indexed="64"/>
      </patternFill>
    </fill>
    <fill>
      <patternFill patternType="solid">
        <fgColor rgb="FF4C7A4C"/>
        <bgColor indexed="64"/>
      </patternFill>
    </fill>
    <fill>
      <patternFill patternType="solid">
        <fgColor rgb="FF7A5273"/>
        <bgColor indexed="64"/>
      </patternFill>
    </fill>
    <fill>
      <patternFill patternType="solid">
        <fgColor rgb="FF5E6FA3"/>
        <bgColor indexed="64"/>
      </patternFill>
    </fill>
    <fill>
      <patternFill patternType="solid">
        <fgColor rgb="FFB98A2E"/>
        <bgColor indexed="64"/>
      </patternFill>
    </fill>
    <fill>
      <patternFill patternType="solid">
        <fgColor rgb="FFF6EDD8"/>
        <bgColor indexed="64"/>
      </patternFill>
    </fill>
    <fill>
      <patternFill patternType="solid">
        <fgColor rgb="FF8A5F79"/>
        <bgColor indexed="64"/>
      </patternFill>
    </fill>
    <fill>
      <patternFill patternType="solid">
        <fgColor rgb="FFB4761A"/>
        <bgColor indexed="64"/>
      </patternFill>
    </fill>
    <fill>
      <patternFill patternType="solid">
        <fgColor rgb="FFEDE2E8"/>
        <bgColor indexed="64"/>
      </patternFill>
    </fill>
    <fill>
      <patternFill patternType="solid">
        <fgColor rgb="FFE2EEE0"/>
        <bgColor indexed="64"/>
      </patternFill>
    </fill>
    <fill>
      <patternFill patternType="solid">
        <fgColor rgb="FFFBF0D9"/>
        <bgColor indexed="64"/>
      </patternFill>
    </fill>
    <fill>
      <patternFill patternType="solid">
        <fgColor rgb="FFAC2F2F"/>
        <bgColor indexed="64"/>
      </patternFill>
    </fill>
    <fill>
      <patternFill patternType="solid">
        <fgColor rgb="FF97818D"/>
        <bgColor indexed="64"/>
      </patternFill>
    </fill>
    <fill>
      <patternFill patternType="solid">
        <fgColor rgb="FFF7E2E0"/>
        <bgColor indexed="64"/>
      </patternFill>
    </fill>
    <fill>
      <patternFill patternType="solid">
        <fgColor rgb="FFF8E3E7"/>
        <bgColor indexed="64"/>
      </patternFill>
    </fill>
    <fill>
      <patternFill patternType="solid">
        <fgColor rgb="FFE5E9F4"/>
        <bgColor indexed="64"/>
      </patternFill>
    </fill>
    <fill>
      <patternFill patternType="solid">
        <fgColor rgb="FFF0E6EE"/>
        <bgColor indexed="64"/>
      </patternFill>
    </fill>
  </fills>
  <borders count="22">
    <border>
      <left/>
      <right/>
      <top/>
      <bottom/>
      <diagonal/>
    </border>
    <border>
      <left style="thin">
        <color rgb="FFC05268"/>
      </left>
      <right style="thin">
        <color rgb="FFC05268"/>
      </right>
      <top style="thin">
        <color rgb="FFC05268"/>
      </top>
      <bottom style="thin">
        <color rgb="FFC05268"/>
      </bottom>
      <diagonal/>
    </border>
    <border>
      <left style="thin">
        <color rgb="FFE6D9D2"/>
      </left>
      <right style="thin">
        <color rgb="FFE6D9D2"/>
      </right>
      <top style="thin">
        <color rgb="FFE6D9D2"/>
      </top>
      <bottom style="thin">
        <color rgb="FFE6D9D2"/>
      </bottom>
      <diagonal/>
    </border>
    <border>
      <left style="thin">
        <color rgb="FF4C7A4C"/>
      </left>
      <right style="thin">
        <color rgb="FF4C7A4C"/>
      </right>
      <top style="thin">
        <color rgb="FF4C7A4C"/>
      </top>
      <bottom style="thin">
        <color rgb="FF4C7A4C"/>
      </bottom>
      <diagonal/>
    </border>
    <border>
      <left style="thin">
        <color rgb="FF7A5273"/>
      </left>
      <right style="thin">
        <color rgb="FF7A5273"/>
      </right>
      <top style="thin">
        <color rgb="FF7A5273"/>
      </top>
      <bottom style="thin">
        <color rgb="FF7A5273"/>
      </bottom>
      <diagonal/>
    </border>
    <border>
      <left style="thin">
        <color rgb="FF5E6FA3"/>
      </left>
      <right style="thin">
        <color rgb="FF5E6FA3"/>
      </right>
      <top style="thin">
        <color rgb="FF5E6FA3"/>
      </top>
      <bottom style="thin">
        <color rgb="FF5E6FA3"/>
      </bottom>
      <diagonal/>
    </border>
    <border>
      <left style="thin">
        <color rgb="FFB98A2E"/>
      </left>
      <right style="thin">
        <color rgb="FFB98A2E"/>
      </right>
      <top style="thin">
        <color rgb="FFB98A2E"/>
      </top>
      <bottom style="thin">
        <color rgb="FFB98A2E"/>
      </bottom>
      <diagonal/>
    </border>
    <border>
      <left/>
      <right/>
      <top/>
      <bottom style="medium">
        <color rgb="FFB98A2E"/>
      </bottom>
      <diagonal/>
    </border>
    <border>
      <left style="thin">
        <color rgb="FF5C3A50"/>
      </left>
      <right style="thin">
        <color rgb="FF5C3A50"/>
      </right>
      <top style="thin">
        <color rgb="FF5C3A50"/>
      </top>
      <bottom style="thin">
        <color rgb="FF5C3A50"/>
      </bottom>
      <diagonal/>
    </border>
    <border>
      <left style="thin">
        <color rgb="FF8A5F79"/>
      </left>
      <right style="thin">
        <color rgb="FF8A5F79"/>
      </right>
      <top style="thin">
        <color rgb="FF8A5F79"/>
      </top>
      <bottom style="thin">
        <color rgb="FF8A5F79"/>
      </bottom>
      <diagonal/>
    </border>
    <border>
      <left style="thin">
        <color rgb="FFB4761A"/>
      </left>
      <right style="thin">
        <color rgb="FFB4761A"/>
      </right>
      <top style="thin">
        <color rgb="FFB4761A"/>
      </top>
      <bottom style="thin">
        <color rgb="FFB4761A"/>
      </bottom>
      <diagonal/>
    </border>
    <border>
      <left style="thin">
        <color rgb="FFEDE2E8"/>
      </left>
      <right style="thin">
        <color rgb="FFEDE2E8"/>
      </right>
      <top style="thin">
        <color rgb="FFEDE2E8"/>
      </top>
      <bottom style="thin">
        <color rgb="FFEDE2E8"/>
      </bottom>
      <diagonal/>
    </border>
    <border>
      <left style="thin">
        <color rgb="FFE2EEE0"/>
      </left>
      <right style="thin">
        <color rgb="FFE2EEE0"/>
      </right>
      <top style="thin">
        <color rgb="FFE2EEE0"/>
      </top>
      <bottom style="thin">
        <color rgb="FFE2EEE0"/>
      </bottom>
      <diagonal/>
    </border>
    <border>
      <left style="thin">
        <color rgb="FFF6EDD8"/>
      </left>
      <right style="thin">
        <color rgb="FFF6EDD8"/>
      </right>
      <top style="thin">
        <color rgb="FFF6EDD8"/>
      </top>
      <bottom style="thin">
        <color rgb="FFF6EDD8"/>
      </bottom>
      <diagonal/>
    </border>
    <border>
      <left style="thin">
        <color rgb="FFFBF0D9"/>
      </left>
      <right style="thin">
        <color rgb="FFFBF0D9"/>
      </right>
      <top style="thin">
        <color rgb="FFFBF0D9"/>
      </top>
      <bottom style="thin">
        <color rgb="FFFBF0D9"/>
      </bottom>
      <diagonal/>
    </border>
    <border>
      <left style="thin">
        <color rgb="FFAC2F2F"/>
      </left>
      <right style="thin">
        <color rgb="FFAC2F2F"/>
      </right>
      <top style="thin">
        <color rgb="FFAC2F2F"/>
      </top>
      <bottom style="thin">
        <color rgb="FFAC2F2F"/>
      </bottom>
      <diagonal/>
    </border>
    <border>
      <left style="dotted">
        <color rgb="FFB98A2E"/>
      </left>
      <right/>
      <top/>
      <bottom/>
      <diagonal/>
    </border>
    <border>
      <left style="thin">
        <color rgb="FF97818D"/>
      </left>
      <right style="thin">
        <color rgb="FF97818D"/>
      </right>
      <top style="thin">
        <color rgb="FF97818D"/>
      </top>
      <bottom style="thin">
        <color rgb="FF97818D"/>
      </bottom>
      <diagonal/>
    </border>
    <border>
      <left style="thin">
        <color rgb="FFF7E2E0"/>
      </left>
      <right style="thin">
        <color rgb="FFF7E2E0"/>
      </right>
      <top style="thin">
        <color rgb="FFF7E2E0"/>
      </top>
      <bottom style="thin">
        <color rgb="FFF7E2E0"/>
      </bottom>
      <diagonal/>
    </border>
    <border>
      <left style="thin">
        <color rgb="FFF8E3E7"/>
      </left>
      <right style="thin">
        <color rgb="FFF8E3E7"/>
      </right>
      <top style="thin">
        <color rgb="FFF8E3E7"/>
      </top>
      <bottom style="thin">
        <color rgb="FFF8E3E7"/>
      </bottom>
      <diagonal/>
    </border>
    <border>
      <left style="thin">
        <color rgb="FFE5E9F4"/>
      </left>
      <right style="thin">
        <color rgb="FFE5E9F4"/>
      </right>
      <top style="thin">
        <color rgb="FFE5E9F4"/>
      </top>
      <bottom style="thin">
        <color rgb="FFE5E9F4"/>
      </bottom>
      <diagonal/>
    </border>
    <border>
      <left style="thin">
        <color rgb="FFF0E6EE"/>
      </left>
      <right style="thin">
        <color rgb="FFF0E6EE"/>
      </right>
      <top style="thin">
        <color rgb="FFF0E6EE"/>
      </top>
      <bottom style="thin">
        <color rgb="FFF0E6EE"/>
      </bottom>
      <diagonal/>
    </border>
  </borders>
  <cellStyleXfs count="1">
    <xf numFmtId="0" fontId="0" fillId="0" borderId="0"/>
  </cellStyleXfs>
  <cellXfs count="110">
    <xf numFmtId="0" fontId="0" fillId="0" borderId="0" xfId="0"/>
    <xf numFmtId="0" fontId="1" fillId="2" borderId="0" xfId="0" applyFont="1" applyFill="1" applyAlignment="1">
      <alignment horizontal="left" vertical="center"/>
    </xf>
    <xf numFmtId="0" fontId="2" fillId="3" borderId="0" xfId="0" applyFont="1" applyFill="1" applyAlignment="1">
      <alignment horizontal="center" vertical="center"/>
    </xf>
    <xf numFmtId="0" fontId="0" fillId="2" borderId="0" xfId="0" applyFill="1"/>
    <xf numFmtId="0" fontId="3" fillId="2" borderId="0" xfId="0" applyFont="1" applyFill="1" applyAlignment="1">
      <alignment horizontal="left" vertical="center" indent="1"/>
    </xf>
    <xf numFmtId="0" fontId="4" fillId="2" borderId="0" xfId="0" applyFont="1" applyFill="1" applyAlignment="1">
      <alignment horizontal="left" vertical="center" indent="1"/>
    </xf>
    <xf numFmtId="0" fontId="5" fillId="4" borderId="1" xfId="0" applyFont="1" applyFill="1" applyBorder="1" applyAlignment="1">
      <alignment horizontal="center" vertical="center"/>
    </xf>
    <xf numFmtId="0" fontId="6" fillId="5" borderId="0" xfId="0" applyFont="1" applyFill="1" applyAlignment="1">
      <alignment horizontal="left" vertical="center" indent="1"/>
    </xf>
    <xf numFmtId="0" fontId="7" fillId="6" borderId="2" xfId="0" applyFont="1" applyFill="1" applyBorder="1" applyAlignment="1">
      <alignment horizontal="left" vertical="center" indent="1"/>
    </xf>
    <xf numFmtId="0" fontId="8" fillId="6" borderId="2" xfId="0" applyFont="1" applyFill="1" applyBorder="1" applyAlignment="1" applyProtection="1">
      <alignment horizontal="left" vertical="center"/>
      <protection locked="0"/>
    </xf>
    <xf numFmtId="0" fontId="9" fillId="6" borderId="2" xfId="0" applyFont="1" applyFill="1" applyBorder="1" applyAlignment="1">
      <alignment horizontal="left" vertical="center" indent="1"/>
    </xf>
    <xf numFmtId="0" fontId="6" fillId="4" borderId="0" xfId="0" applyFont="1" applyFill="1" applyAlignment="1">
      <alignment horizontal="left" vertical="center" indent="1"/>
    </xf>
    <xf numFmtId="1" fontId="8" fillId="6" borderId="2" xfId="0" applyNumberFormat="1" applyFont="1" applyFill="1" applyBorder="1" applyAlignment="1" applyProtection="1">
      <alignment horizontal="right" vertical="center"/>
      <protection locked="0"/>
    </xf>
    <xf numFmtId="164" fontId="8" fillId="6" borderId="2" xfId="0" applyNumberFormat="1" applyFont="1" applyFill="1" applyBorder="1" applyAlignment="1" applyProtection="1">
      <alignment horizontal="right" vertical="center"/>
      <protection locked="0"/>
    </xf>
    <xf numFmtId="165" fontId="8" fillId="6" borderId="2" xfId="0" applyNumberFormat="1" applyFont="1" applyFill="1" applyBorder="1" applyAlignment="1" applyProtection="1">
      <alignment horizontal="center" vertical="center"/>
      <protection locked="0"/>
    </xf>
    <xf numFmtId="0" fontId="10" fillId="3" borderId="2" xfId="0" applyFont="1" applyFill="1" applyBorder="1" applyAlignment="1" applyProtection="1">
      <alignment horizontal="left" vertical="top" indent="1" wrapText="1"/>
      <protection locked="0"/>
    </xf>
    <xf numFmtId="0" fontId="5" fillId="4" borderId="1"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5" fillId="9" borderId="5" xfId="0" applyFont="1" applyFill="1" applyBorder="1" applyAlignment="1">
      <alignment horizontal="center" vertical="center" wrapText="1"/>
    </xf>
    <xf numFmtId="0" fontId="5" fillId="10" borderId="6" xfId="0" applyFont="1" applyFill="1" applyBorder="1" applyAlignment="1">
      <alignment horizontal="center" vertical="center" wrapText="1"/>
    </xf>
    <xf numFmtId="0" fontId="8" fillId="3" borderId="2" xfId="0" applyFont="1" applyFill="1" applyBorder="1" applyAlignment="1" applyProtection="1">
      <alignment horizontal="left" vertical="center"/>
      <protection locked="0"/>
    </xf>
    <xf numFmtId="0" fontId="11" fillId="11" borderId="7" xfId="0" applyFont="1" applyFill="1" applyBorder="1" applyAlignment="1">
      <alignment horizontal="left" vertical="center" indent="1"/>
    </xf>
    <xf numFmtId="0" fontId="12" fillId="6" borderId="2" xfId="0" applyFont="1" applyFill="1" applyBorder="1" applyAlignment="1" applyProtection="1">
      <alignment horizontal="center" vertical="center"/>
      <protection locked="0"/>
    </xf>
    <xf numFmtId="0" fontId="8" fillId="6" borderId="2" xfId="0" applyFont="1" applyFill="1" applyBorder="1" applyAlignment="1" applyProtection="1">
      <alignment horizontal="center" vertical="center"/>
      <protection locked="0"/>
    </xf>
    <xf numFmtId="0" fontId="13" fillId="11" borderId="0" xfId="0" applyFont="1" applyFill="1" applyAlignment="1">
      <alignment horizontal="left" vertical="center" indent="1"/>
    </xf>
    <xf numFmtId="0" fontId="14" fillId="5" borderId="8" xfId="0" applyFont="1" applyFill="1" applyBorder="1" applyAlignment="1">
      <alignment horizontal="center" vertical="center"/>
    </xf>
    <xf numFmtId="0" fontId="14" fillId="4" borderId="1" xfId="0" applyFont="1" applyFill="1" applyBorder="1" applyAlignment="1">
      <alignment horizontal="center" vertical="center"/>
    </xf>
    <xf numFmtId="0" fontId="14" fillId="10" borderId="6" xfId="0" applyFont="1" applyFill="1" applyBorder="1" applyAlignment="1">
      <alignment horizontal="center" vertical="center"/>
    </xf>
    <xf numFmtId="0" fontId="14" fillId="9" borderId="5" xfId="0" applyFont="1" applyFill="1" applyBorder="1" applyAlignment="1">
      <alignment horizontal="center" vertical="center"/>
    </xf>
    <xf numFmtId="0" fontId="14" fillId="8" borderId="4" xfId="0" applyFont="1" applyFill="1" applyBorder="1" applyAlignment="1">
      <alignment horizontal="center" vertical="center"/>
    </xf>
    <xf numFmtId="0" fontId="14" fillId="7" borderId="3" xfId="0" applyFont="1" applyFill="1" applyBorder="1" applyAlignment="1">
      <alignment horizontal="center" vertical="center"/>
    </xf>
    <xf numFmtId="0" fontId="14" fillId="12" borderId="9" xfId="0" applyFont="1" applyFill="1" applyBorder="1" applyAlignment="1">
      <alignment horizontal="center" vertical="center"/>
    </xf>
    <xf numFmtId="0" fontId="14" fillId="13" borderId="10" xfId="0" applyFont="1" applyFill="1" applyBorder="1" applyAlignment="1">
      <alignment horizontal="center" vertical="center"/>
    </xf>
    <xf numFmtId="0" fontId="15" fillId="5" borderId="0" xfId="0" applyFont="1" applyFill="1" applyAlignment="1">
      <alignment horizontal="left" vertical="center" indent="1"/>
    </xf>
    <xf numFmtId="0" fontId="16" fillId="14" borderId="11" xfId="0" applyFont="1" applyFill="1" applyBorder="1" applyAlignment="1">
      <alignment horizontal="center" vertical="center"/>
    </xf>
    <xf numFmtId="0" fontId="17" fillId="15" borderId="12" xfId="0" applyFont="1" applyFill="1" applyBorder="1" applyAlignment="1">
      <alignment horizontal="left" vertical="center"/>
    </xf>
    <xf numFmtId="0" fontId="18" fillId="11" borderId="13" xfId="0" applyFont="1" applyFill="1" applyBorder="1" applyAlignment="1">
      <alignment horizontal="left" vertical="center"/>
    </xf>
    <xf numFmtId="0" fontId="16" fillId="14" borderId="11" xfId="0" applyFont="1" applyFill="1" applyBorder="1" applyAlignment="1">
      <alignment horizontal="left" vertical="center"/>
    </xf>
    <xf numFmtId="0" fontId="19" fillId="16" borderId="14" xfId="0" applyFont="1" applyFill="1" applyBorder="1" applyAlignment="1">
      <alignment horizontal="left" vertical="center"/>
    </xf>
    <xf numFmtId="0" fontId="20" fillId="5" borderId="8" xfId="0" applyFont="1" applyFill="1" applyBorder="1" applyAlignment="1">
      <alignment horizontal="left" vertical="center" indent="1"/>
    </xf>
    <xf numFmtId="0" fontId="20" fillId="7" borderId="3" xfId="0" applyFont="1" applyFill="1" applyBorder="1" applyAlignment="1">
      <alignment horizontal="left" vertical="center" indent="1"/>
    </xf>
    <xf numFmtId="0" fontId="20" fillId="4" borderId="1" xfId="0" applyFont="1" applyFill="1" applyBorder="1" applyAlignment="1">
      <alignment horizontal="left" vertical="center" indent="1"/>
    </xf>
    <xf numFmtId="0" fontId="20" fillId="9" borderId="5" xfId="0" applyFont="1" applyFill="1" applyBorder="1" applyAlignment="1">
      <alignment horizontal="left" vertical="center" indent="1"/>
    </xf>
    <xf numFmtId="0" fontId="20" fillId="10" borderId="6" xfId="0" applyFont="1" applyFill="1" applyBorder="1" applyAlignment="1">
      <alignment horizontal="left" vertical="center" indent="1"/>
    </xf>
    <xf numFmtId="0" fontId="20" fillId="8" borderId="4" xfId="0" applyFont="1" applyFill="1" applyBorder="1" applyAlignment="1">
      <alignment horizontal="left" vertical="center" indent="1"/>
    </xf>
    <xf numFmtId="0" fontId="21" fillId="6" borderId="2" xfId="0" applyFont="1" applyFill="1" applyBorder="1" applyAlignment="1">
      <alignment horizontal="center" vertical="center"/>
    </xf>
    <xf numFmtId="0" fontId="22" fillId="6" borderId="2" xfId="0" applyFont="1" applyFill="1" applyBorder="1" applyAlignment="1">
      <alignment horizontal="center" vertical="center"/>
    </xf>
    <xf numFmtId="0" fontId="23" fillId="6" borderId="2" xfId="0" applyFont="1" applyFill="1" applyBorder="1" applyAlignment="1">
      <alignment horizontal="center" vertical="center"/>
    </xf>
    <xf numFmtId="0" fontId="24" fillId="6" borderId="2" xfId="0" applyFont="1" applyFill="1" applyBorder="1" applyAlignment="1">
      <alignment horizontal="center" vertical="center"/>
    </xf>
    <xf numFmtId="0" fontId="25" fillId="6" borderId="2" xfId="0" applyFont="1" applyFill="1" applyBorder="1" applyAlignment="1">
      <alignment horizontal="center" vertical="center"/>
    </xf>
    <xf numFmtId="0" fontId="26" fillId="6" borderId="2" xfId="0" applyFont="1" applyFill="1" applyBorder="1" applyAlignment="1">
      <alignment horizontal="center" vertical="center"/>
    </xf>
    <xf numFmtId="0" fontId="20" fillId="12" borderId="9" xfId="0" applyFont="1" applyFill="1" applyBorder="1" applyAlignment="1">
      <alignment horizontal="left" vertical="center" indent="1"/>
    </xf>
    <xf numFmtId="0" fontId="20" fillId="17" borderId="15" xfId="0" applyFont="1" applyFill="1" applyBorder="1" applyAlignment="1">
      <alignment horizontal="left" vertical="center" indent="1"/>
    </xf>
    <xf numFmtId="0" fontId="27" fillId="6" borderId="2" xfId="0" applyFont="1" applyFill="1" applyBorder="1" applyAlignment="1">
      <alignment horizontal="center" vertical="center"/>
    </xf>
    <xf numFmtId="0" fontId="28" fillId="6" borderId="2" xfId="0" applyFont="1" applyFill="1" applyBorder="1" applyAlignment="1">
      <alignment horizontal="center" vertical="center"/>
    </xf>
    <xf numFmtId="0" fontId="29" fillId="6" borderId="2" xfId="0" applyFont="1" applyFill="1" applyBorder="1" applyAlignment="1">
      <alignment horizontal="center" vertical="center"/>
    </xf>
    <xf numFmtId="0" fontId="30" fillId="6" borderId="2" xfId="0" applyFont="1" applyFill="1" applyBorder="1" applyAlignment="1">
      <alignment horizontal="center" vertical="center"/>
    </xf>
    <xf numFmtId="0" fontId="31" fillId="6" borderId="2" xfId="0" applyFont="1" applyFill="1" applyBorder="1" applyAlignment="1">
      <alignment horizontal="center" vertical="center"/>
    </xf>
    <xf numFmtId="0" fontId="32" fillId="6" borderId="2" xfId="0" applyFont="1" applyFill="1" applyBorder="1" applyAlignment="1">
      <alignment horizontal="center" vertical="center"/>
    </xf>
    <xf numFmtId="0" fontId="33" fillId="14" borderId="16" xfId="0" applyFont="1" applyFill="1" applyBorder="1" applyAlignment="1">
      <alignment horizontal="left" vertical="center" indent="1"/>
    </xf>
    <xf numFmtId="0" fontId="5" fillId="18" borderId="17" xfId="0" applyFont="1" applyFill="1" applyBorder="1" applyAlignment="1">
      <alignment horizontal="center" vertical="center" wrapText="1"/>
    </xf>
    <xf numFmtId="0" fontId="5" fillId="5" borderId="8" xfId="0" applyFont="1" applyFill="1" applyBorder="1" applyAlignment="1">
      <alignment horizontal="center" vertical="center" wrapText="1"/>
    </xf>
    <xf numFmtId="1" fontId="34" fillId="6" borderId="2" xfId="0" applyNumberFormat="1" applyFont="1" applyFill="1" applyBorder="1" applyAlignment="1">
      <alignment horizontal="center" vertical="center"/>
    </xf>
    <xf numFmtId="0" fontId="8" fillId="14" borderId="2" xfId="0" applyFont="1" applyFill="1" applyBorder="1" applyAlignment="1">
      <alignment horizontal="left" vertical="center"/>
    </xf>
    <xf numFmtId="166" fontId="35" fillId="14" borderId="2" xfId="0" applyNumberFormat="1" applyFont="1" applyFill="1" applyBorder="1" applyAlignment="1">
      <alignment horizontal="center" vertical="center"/>
    </xf>
    <xf numFmtId="164" fontId="35" fillId="14" borderId="2" xfId="0" applyNumberFormat="1" applyFont="1" applyFill="1" applyBorder="1" applyAlignment="1">
      <alignment horizontal="right" vertical="center"/>
    </xf>
    <xf numFmtId="167" fontId="35" fillId="14" borderId="2" xfId="0" applyNumberFormat="1" applyFont="1" applyFill="1" applyBorder="1" applyAlignment="1">
      <alignment horizontal="center" vertical="center"/>
    </xf>
    <xf numFmtId="1" fontId="34" fillId="3" borderId="2" xfId="0" applyNumberFormat="1" applyFont="1" applyFill="1" applyBorder="1" applyAlignment="1">
      <alignment horizontal="center" vertical="center"/>
    </xf>
    <xf numFmtId="0" fontId="36" fillId="19" borderId="18" xfId="0" applyFont="1" applyFill="1" applyBorder="1" applyAlignment="1">
      <alignment horizontal="left" vertical="center"/>
    </xf>
    <xf numFmtId="0" fontId="37" fillId="20" borderId="19" xfId="0" applyFont="1" applyFill="1" applyBorder="1" applyAlignment="1">
      <alignment horizontal="left" vertical="center"/>
    </xf>
    <xf numFmtId="0" fontId="38" fillId="21" borderId="20" xfId="0" applyFont="1" applyFill="1" applyBorder="1" applyAlignment="1">
      <alignment horizontal="left" vertical="center"/>
    </xf>
    <xf numFmtId="0" fontId="8" fillId="3" borderId="2" xfId="0" applyFont="1" applyFill="1" applyBorder="1" applyAlignment="1" applyProtection="1">
      <alignment horizontal="left" vertical="top" wrapText="1"/>
      <protection locked="0"/>
    </xf>
    <xf numFmtId="164" fontId="8" fillId="3" borderId="2" xfId="0" applyNumberFormat="1" applyFont="1" applyFill="1" applyBorder="1" applyAlignment="1" applyProtection="1">
      <alignment horizontal="right" vertical="center"/>
      <protection locked="0"/>
    </xf>
    <xf numFmtId="168" fontId="8" fillId="3" borderId="2" xfId="0" applyNumberFormat="1" applyFont="1" applyFill="1" applyBorder="1" applyAlignment="1" applyProtection="1">
      <alignment horizontal="center" vertical="center"/>
      <protection locked="0"/>
    </xf>
    <xf numFmtId="166" fontId="8" fillId="3" borderId="2" xfId="0" applyNumberFormat="1" applyFont="1" applyFill="1" applyBorder="1" applyAlignment="1" applyProtection="1">
      <alignment horizontal="center" vertical="center"/>
      <protection locked="0"/>
    </xf>
    <xf numFmtId="0" fontId="8" fillId="14" borderId="2" xfId="0" applyFont="1" applyFill="1" applyBorder="1" applyAlignment="1">
      <alignment horizontal="center" vertical="center"/>
    </xf>
    <xf numFmtId="0" fontId="8" fillId="6" borderId="2" xfId="0" applyFont="1" applyFill="1" applyBorder="1" applyAlignment="1" applyProtection="1">
      <alignment horizontal="left" vertical="top" wrapText="1"/>
      <protection locked="0"/>
    </xf>
    <xf numFmtId="168" fontId="8" fillId="6" borderId="2" xfId="0" applyNumberFormat="1" applyFont="1" applyFill="1" applyBorder="1" applyAlignment="1" applyProtection="1">
      <alignment horizontal="center" vertical="center"/>
      <protection locked="0"/>
    </xf>
    <xf numFmtId="166" fontId="8" fillId="6" borderId="2" xfId="0" applyNumberFormat="1" applyFont="1" applyFill="1" applyBorder="1" applyAlignment="1" applyProtection="1">
      <alignment horizontal="center" vertical="center"/>
      <protection locked="0"/>
    </xf>
    <xf numFmtId="0" fontId="8" fillId="5" borderId="8" xfId="0" applyFont="1" applyFill="1" applyBorder="1" applyAlignment="1">
      <alignment vertical="center"/>
    </xf>
    <xf numFmtId="1" fontId="39" fillId="5" borderId="8" xfId="0" applyNumberFormat="1" applyFont="1" applyFill="1" applyBorder="1" applyAlignment="1">
      <alignment horizontal="right" vertical="center"/>
    </xf>
    <xf numFmtId="0" fontId="39" fillId="5" borderId="8" xfId="0" applyFont="1" applyFill="1" applyBorder="1" applyAlignment="1">
      <alignment horizontal="right" vertical="center" indent="1"/>
    </xf>
    <xf numFmtId="164" fontId="39" fillId="5" borderId="8" xfId="0" applyNumberFormat="1" applyFont="1" applyFill="1" applyBorder="1" applyAlignment="1">
      <alignment horizontal="right" vertical="center"/>
    </xf>
    <xf numFmtId="166" fontId="39" fillId="5" borderId="8" xfId="0" applyNumberFormat="1" applyFont="1" applyFill="1" applyBorder="1" applyAlignment="1">
      <alignment horizontal="right" vertical="center"/>
    </xf>
    <xf numFmtId="0" fontId="40" fillId="22" borderId="21" xfId="0" applyFont="1" applyFill="1" applyBorder="1" applyAlignment="1">
      <alignment horizontal="left" vertical="center"/>
    </xf>
    <xf numFmtId="0" fontId="8" fillId="3" borderId="2" xfId="0" applyFont="1" applyFill="1" applyBorder="1" applyAlignment="1" applyProtection="1">
      <alignment horizontal="center" vertical="center"/>
      <protection locked="0"/>
    </xf>
    <xf numFmtId="169" fontId="8" fillId="3" borderId="2" xfId="0" applyNumberFormat="1" applyFont="1" applyFill="1" applyBorder="1" applyAlignment="1" applyProtection="1">
      <alignment horizontal="center" vertical="center"/>
      <protection locked="0"/>
    </xf>
    <xf numFmtId="169" fontId="8" fillId="6" borderId="2" xfId="0" applyNumberFormat="1"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0" fontId="41" fillId="6" borderId="2" xfId="0" applyFont="1" applyFill="1" applyBorder="1" applyAlignment="1">
      <alignment horizontal="left" vertical="center" indent="1"/>
    </xf>
    <xf numFmtId="0" fontId="42" fillId="6" borderId="2" xfId="0" applyFont="1" applyFill="1" applyBorder="1" applyAlignment="1" applyProtection="1">
      <alignment horizontal="left" vertical="center" indent="1"/>
      <protection locked="0"/>
    </xf>
    <xf numFmtId="0" fontId="43" fillId="6" borderId="2" xfId="0" applyFont="1" applyFill="1" applyBorder="1" applyAlignment="1">
      <alignment horizontal="left" vertical="center" indent="1"/>
    </xf>
    <xf numFmtId="166" fontId="35" fillId="14" borderId="2" xfId="0" applyNumberFormat="1" applyFont="1" applyFill="1" applyBorder="1" applyAlignment="1">
      <alignment horizontal="right" vertical="center"/>
    </xf>
    <xf numFmtId="164" fontId="44" fillId="14" borderId="2" xfId="0" applyNumberFormat="1" applyFont="1" applyFill="1" applyBorder="1" applyAlignment="1">
      <alignment horizontal="right" vertical="center"/>
    </xf>
    <xf numFmtId="164" fontId="45" fillId="6" borderId="2" xfId="0" applyNumberFormat="1" applyFont="1" applyFill="1" applyBorder="1" applyAlignment="1">
      <alignment horizontal="center" vertical="center"/>
    </xf>
    <xf numFmtId="0" fontId="46" fillId="6" borderId="2" xfId="0" applyFont="1" applyFill="1" applyBorder="1" applyAlignment="1">
      <alignment horizontal="left" vertical="center" indent="1"/>
    </xf>
    <xf numFmtId="0" fontId="47" fillId="6" borderId="2" xfId="0" applyFont="1" applyFill="1" applyBorder="1" applyAlignment="1" applyProtection="1">
      <alignment horizontal="left" vertical="center" indent="1"/>
      <protection locked="0"/>
    </xf>
    <xf numFmtId="0" fontId="8" fillId="6" borderId="2" xfId="0" applyFont="1" applyFill="1" applyBorder="1" applyAlignment="1">
      <alignment horizontal="left" vertical="center" indent="1"/>
    </xf>
    <xf numFmtId="164" fontId="48" fillId="14" borderId="2" xfId="0" applyNumberFormat="1" applyFont="1" applyFill="1" applyBorder="1" applyAlignment="1">
      <alignment horizontal="center" vertical="center"/>
    </xf>
    <xf numFmtId="0" fontId="49" fillId="6" borderId="2" xfId="0" applyFont="1" applyFill="1" applyBorder="1" applyAlignment="1" applyProtection="1">
      <alignment horizontal="left" vertical="top" wrapText="1"/>
      <protection locked="0"/>
    </xf>
    <xf numFmtId="0" fontId="50" fillId="14" borderId="11" xfId="0" applyFont="1" applyFill="1" applyBorder="1" applyAlignment="1">
      <alignment horizontal="center" vertical="center"/>
    </xf>
    <xf numFmtId="0" fontId="51" fillId="20" borderId="19" xfId="0" applyFont="1" applyFill="1" applyBorder="1" applyAlignment="1">
      <alignment horizontal="center" vertical="center"/>
    </xf>
    <xf numFmtId="0" fontId="52" fillId="15" borderId="12" xfId="0" applyFont="1" applyFill="1" applyBorder="1" applyAlignment="1">
      <alignment horizontal="center" vertical="center"/>
    </xf>
    <xf numFmtId="0" fontId="53" fillId="21" borderId="20" xfId="0" applyFont="1" applyFill="1" applyBorder="1" applyAlignment="1">
      <alignment horizontal="center" vertical="center"/>
    </xf>
    <xf numFmtId="0" fontId="33" fillId="6" borderId="2" xfId="0" applyFont="1" applyFill="1" applyBorder="1" applyAlignment="1">
      <alignment horizontal="left" vertical="center" indent="1"/>
    </xf>
    <xf numFmtId="0" fontId="16" fillId="3" borderId="2" xfId="0" applyFont="1" applyFill="1" applyBorder="1" applyAlignment="1">
      <alignment horizontal="left" vertical="center" indent="1"/>
    </xf>
    <xf numFmtId="0" fontId="16" fillId="6" borderId="2" xfId="0" applyFont="1" applyFill="1" applyBorder="1" applyAlignment="1">
      <alignment horizontal="left" vertical="center" indent="1"/>
    </xf>
    <xf numFmtId="0" fontId="54" fillId="11" borderId="6" xfId="0" applyFont="1" applyFill="1" applyBorder="1" applyAlignment="1">
      <alignment horizontal="left" vertical="center" indent="1" wrapText="1"/>
    </xf>
    <xf numFmtId="0" fontId="16" fillId="14" borderId="2" xfId="0" applyFont="1" applyFill="1" applyBorder="1" applyAlignment="1">
      <alignment horizontal="left" vertical="center" indent="1" wrapText="1"/>
    </xf>
  </cellXfs>
  <cellStyles count="1">
    <cellStyle name="Normal" xfId="0" builtinId="0"/>
  </cellStyles>
  <dxfs count="9">
    <dxf>
      <font>
        <b/>
        <color rgb="FFAC2F2F"/>
      </font>
      <fill>
        <patternFill>
          <bgColor rgb="FFF7E2E0"/>
        </patternFill>
      </fill>
      <border>
        <left style="thin">
          <color rgb="FFE6D9D2"/>
        </left>
        <right style="thin">
          <color rgb="FFE6D9D2"/>
        </right>
        <top style="thin">
          <color rgb="FFE6D9D2"/>
        </top>
        <bottom style="thin">
          <color rgb="FFE6D9D2"/>
        </bottom>
        <vertical/>
        <horizontal/>
      </border>
    </dxf>
    <dxf>
      <font>
        <b/>
        <color rgb="FFB4761A"/>
      </font>
      <fill>
        <patternFill>
          <bgColor rgb="FFFBF0D9"/>
        </patternFill>
      </fill>
      <border>
        <left style="thin">
          <color rgb="FFE6D9D2"/>
        </left>
        <right style="thin">
          <color rgb="FFE6D9D2"/>
        </right>
        <top style="thin">
          <color rgb="FFE6D9D2"/>
        </top>
        <bottom style="thin">
          <color rgb="FFE6D9D2"/>
        </bottom>
        <vertical/>
        <horizontal/>
      </border>
    </dxf>
    <dxf>
      <font>
        <b/>
        <color rgb="FF4C7A4C"/>
      </font>
      <fill>
        <patternFill>
          <bgColor rgb="FFE2EEE0"/>
        </patternFill>
      </fill>
      <border>
        <left style="thin">
          <color rgb="FFE6D9D2"/>
        </left>
        <right style="thin">
          <color rgb="FFE6D9D2"/>
        </right>
        <top style="thin">
          <color rgb="FFE6D9D2"/>
        </top>
        <bottom style="thin">
          <color rgb="FFE6D9D2"/>
        </bottom>
        <vertical/>
        <horizontal/>
      </border>
    </dxf>
    <dxf>
      <font>
        <b/>
        <color rgb="FFAC2F2F"/>
      </font>
      <fill>
        <patternFill>
          <bgColor rgb="FFF7E2E0"/>
        </patternFill>
      </fill>
    </dxf>
    <dxf>
      <font>
        <b/>
        <color rgb="FF4C7A4C"/>
      </font>
      <fill>
        <patternFill>
          <bgColor rgb="FFE2EEE0"/>
        </patternFill>
      </fill>
    </dxf>
    <dxf>
      <font>
        <b/>
        <color rgb="FFB4761A"/>
      </font>
      <fill>
        <patternFill>
          <bgColor rgb="FFFBF0D9"/>
        </patternFill>
      </fill>
    </dxf>
    <dxf>
      <font>
        <b/>
        <color rgb="FF4C7A4C"/>
      </font>
      <fill>
        <patternFill>
          <bgColor rgb="FFE2EEE0"/>
        </patternFill>
      </fill>
      <border>
        <left style="thin">
          <color rgb="FFE6D9D2"/>
        </left>
        <right style="thin">
          <color rgb="FFE6D9D2"/>
        </right>
        <top style="thin">
          <color rgb="FFE6D9D2"/>
        </top>
        <bottom style="thin">
          <color rgb="FFE6D9D2"/>
        </bottom>
        <vertical/>
        <horizontal/>
      </border>
    </dxf>
    <dxf>
      <font>
        <b/>
        <color rgb="FF4C7A4C"/>
      </font>
      <fill>
        <patternFill>
          <bgColor rgb="FFE2EEE0"/>
        </patternFill>
      </fill>
    </dxf>
    <dxf>
      <font>
        <b/>
        <color rgb="FF97818D"/>
      </font>
      <fill>
        <patternFill>
          <bgColor rgb="FFFBF7F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5C3A50"/>
                </a:solidFill>
                <a:latin typeface="Georgia"/>
              </a:defRPr>
            </a:pPr>
            <a:r>
              <a:rPr lang="en-US" sz="1200" b="1" baseline="0">
                <a:solidFill>
                  <a:srgbClr val="5C3A50"/>
                </a:solidFill>
                <a:latin typeface="Georgia"/>
              </a:rPr>
              <a:t>Sales by month</a:t>
            </a:r>
          </a:p>
        </c:rich>
      </c:tx>
      <c:layout/>
    </c:title>
    <c:plotArea>
      <c:layout/>
      <c:barChart>
        <c:barDir val="col"/>
        <c:grouping val="clustered"/>
        <c:ser>
          <c:idx val="0"/>
          <c:order val="0"/>
          <c:tx>
            <c:v>Sales by month</c:v>
          </c:tx>
          <c:spPr>
            <a:solidFill>
              <a:srgbClr val="5C3A50"/>
            </a:solidFill>
            <a:ln>
              <a:noFill/>
            </a:ln>
          </c:spPr>
          <c:cat>
            <c:strRef>
              <c:f>'_Data'!$I$2:$I$13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'_Data'!$J$2:$J$13</c:f>
              <c:numCache>
                <c:formatCode>General</c:formatCode>
                <c:ptCount val="12"/>
                <c:pt idx="0">
                  <c:v>0</c:v>
                </c:pt>
                <c:pt idx="1">
                  <c:v>0</c:v>
                </c:pt>
                <c:pt idx="2">
                  <c:v>300.0</c:v>
                </c:pt>
                <c:pt idx="3">
                  <c:v>174.0</c:v>
                </c:pt>
                <c:pt idx="4">
                  <c:v>244.0</c:v>
                </c:pt>
                <c:pt idx="5">
                  <c:v>398.0</c:v>
                </c:pt>
                <c:pt idx="6">
                  <c:v>309.0</c:v>
                </c:pt>
                <c:pt idx="7">
                  <c:v>335.0</c:v>
                </c:pt>
                <c:pt idx="8">
                  <c:v>0</c:v>
                </c:pt>
                <c:pt idx="9">
                  <c:v>0</c:v>
                </c:pt>
                <c:pt idx="10">
                  <c:v>0</c:v>
                </c:pt>
                <c:pt idx="11">
                  <c:v>0</c:v>
                </c:pt>
              </c:numCache>
            </c:numRef>
          </c:val>
        </c:ser>
        <c:gapWidth val="40"/>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spPr>
            <a:ln>
              <a:solidFill>
                <a:srgbClr val="E6D9D2"/>
              </a:solidFill>
            </a:ln>
          </c:spPr>
        </c:majorGridlines>
        <c:numFmt formatCode="#,##0" sourceLinked="0"/>
        <c:tickLblPos val="nextTo"/>
        <c:crossAx val="50010001"/>
        <c:crosses val="autoZero"/>
        <c:crossBetween val="between"/>
      </c:valAx>
      <c:spPr>
        <a:ln>
          <a:noFill/>
        </a:ln>
      </c:spPr>
    </c:plotArea>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5C3A50"/>
                </a:solidFill>
                <a:latin typeface="Georgia"/>
              </a:defRPr>
            </a:pPr>
            <a:r>
              <a:rPr lang="en-US" sz="1200" b="1" baseline="0">
                <a:solidFill>
                  <a:srgbClr val="5C3A50"/>
                </a:solidFill>
                <a:latin typeface="Georgia"/>
              </a:rPr>
              <a:t>How customers paid</a:t>
            </a:r>
          </a:p>
        </c:rich>
      </c:tx>
      <c:layout/>
    </c:title>
    <c:plotArea>
      <c:layout/>
      <c:pieChart>
        <c:varyColors val="1"/>
        <c:ser>
          <c:idx val="0"/>
          <c:order val="0"/>
          <c:tx>
            <c:v>How customers paid</c:v>
          </c:tx>
          <c:dPt>
            <c:idx val="0"/>
            <c:spPr>
              <a:solidFill>
                <a:srgbClr val="5C3A50"/>
              </a:solidFill>
            </c:spPr>
          </c:dPt>
          <c:dPt>
            <c:idx val="1"/>
            <c:spPr>
              <a:solidFill>
                <a:srgbClr val="C05268"/>
              </a:solidFill>
            </c:spPr>
          </c:dPt>
          <c:dPt>
            <c:idx val="2"/>
            <c:spPr>
              <a:solidFill>
                <a:srgbClr val="B98A2E"/>
              </a:solidFill>
            </c:spPr>
          </c:dPt>
          <c:dPt>
            <c:idx val="3"/>
            <c:spPr>
              <a:solidFill>
                <a:srgbClr val="5E6FA3"/>
              </a:solidFill>
            </c:spPr>
          </c:dPt>
          <c:dPt>
            <c:idx val="4"/>
            <c:spPr>
              <a:solidFill>
                <a:srgbClr val="7A5273"/>
              </a:solidFill>
            </c:spPr>
          </c:dPt>
          <c:dPt>
            <c:idx val="5"/>
            <c:spPr>
              <a:solidFill>
                <a:srgbClr val="8A5F79"/>
              </a:solidFill>
            </c:spPr>
          </c:dPt>
          <c:dLbls>
            <c:txPr>
              <a:bodyPr/>
              <a:lstStyle/>
              <a:p>
                <a:pPr>
                  <a:defRPr sz="900" b="1" baseline="0">
                    <a:solidFill>
                      <a:srgbClr val="FFFFFF"/>
                    </a:solidFill>
                    <a:latin typeface="Calibri"/>
                  </a:defRPr>
                </a:pPr>
                <a:endParaRPr lang="en-US"/>
              </a:p>
            </c:txPr>
            <c:showPercent val="1"/>
          </c:dLbls>
          <c:cat>
            <c:strRef>
              <c:f>'_Data'!$P$2:$P$7</c:f>
              <c:strCache>
                <c:ptCount val="6"/>
                <c:pt idx="0">
                  <c:v>Cash</c:v>
                </c:pt>
                <c:pt idx="1">
                  <c:v>Card</c:v>
                </c:pt>
                <c:pt idx="2">
                  <c:v>Bank transfer</c:v>
                </c:pt>
                <c:pt idx="3">
                  <c:v>Mobile wallet</c:v>
                </c:pt>
                <c:pt idx="4">
                  <c:v>Online order</c:v>
                </c:pt>
                <c:pt idx="5">
                  <c:v>Other</c:v>
                </c:pt>
              </c:strCache>
            </c:strRef>
          </c:cat>
          <c:val>
            <c:numRef>
              <c:f>'_Data'!$Q$2:$Q$7</c:f>
              <c:numCache>
                <c:formatCode>General</c:formatCode>
                <c:ptCount val="6"/>
                <c:pt idx="0">
                  <c:v>816.0</c:v>
                </c:pt>
                <c:pt idx="1">
                  <c:v>609.0</c:v>
                </c:pt>
                <c:pt idx="2">
                  <c:v>170.0</c:v>
                </c:pt>
                <c:pt idx="3">
                  <c:v>0</c:v>
                </c:pt>
                <c:pt idx="4">
                  <c:v>165.0</c:v>
                </c:pt>
                <c:pt idx="5">
                  <c:v>0</c:v>
                </c:pt>
              </c:numCache>
            </c:numRef>
          </c:val>
        </c:ser>
        <c:firstSliceAng val="0"/>
      </c:pieChart>
      <c:spPr>
        <a:ln>
          <a:noFill/>
        </a:ln>
      </c:spPr>
    </c:plotArea>
    <c:legend>
      <c:legendPos val="r"/>
      <c:layout/>
      <c:txPr>
        <a:bodyPr/>
        <a:lstStyle/>
        <a:p>
          <a:pPr rtl="0">
            <a:defRPr sz="900" baseline="0">
              <a:solidFill>
                <a:srgbClr val="33222C"/>
              </a:solidFill>
              <a:latin typeface="Calibri"/>
            </a:defRPr>
          </a:pPr>
          <a:endParaRPr lang="en-US"/>
        </a:p>
      </c:txPr>
    </c:legend>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5C3A50"/>
                </a:solidFill>
                <a:latin typeface="Georgia"/>
              </a:defRPr>
            </a:pPr>
            <a:r>
              <a:rPr lang="en-US" sz="1200" b="1" baseline="0">
                <a:solidFill>
                  <a:srgbClr val="5C3A50"/>
                </a:solidFill>
                <a:latin typeface="Georgia"/>
              </a:rPr>
              <a:t>Top products by revenue</a:t>
            </a:r>
          </a:p>
        </c:rich>
      </c:tx>
      <c:layout/>
    </c:title>
    <c:plotArea>
      <c:layout/>
      <c:barChart>
        <c:barDir val="bar"/>
        <c:grouping val="clustered"/>
        <c:ser>
          <c:idx val="0"/>
          <c:order val="0"/>
          <c:tx>
            <c:v>Top products by revenue</c:v>
          </c:tx>
          <c:spPr>
            <a:solidFill>
              <a:srgbClr val="C05268"/>
            </a:solidFill>
            <a:ln>
              <a:noFill/>
            </a:ln>
          </c:spPr>
          <c:cat>
            <c:strRef>
              <c:f>'_Data'!$W$2:$W$13</c:f>
              <c:strCache>
                <c:ptCount val="12"/>
                <c:pt idx="0">
                  <c:v>Amigurumi Bunny</c:v>
                </c:pt>
                <c:pt idx="1">
                  <c:v>Chunky Beanie</c:v>
                </c:pt>
                <c:pt idx="2">
                  <c:v>Granny Square Cardigan</c:v>
                </c:pt>
                <c:pt idx="3">
                  <c:v>Market Tote Bag</c:v>
                </c:pt>
                <c:pt idx="4">
                  <c:v>Cozy Scarf</c:v>
                </c:pt>
                <c:pt idx="5">
                  <c:v>Baby Booties</c:v>
                </c:pt>
                <c:pt idx="6">
                  <c:v>Flower Coaster Set</c:v>
                </c:pt>
                <c:pt idx="7">
                  <c:v>Lap Blanket</c:v>
                </c:pt>
                <c:pt idx="8">
                  <c:v>Ear Warmer Headband</c:v>
                </c:pt>
                <c:pt idx="9">
                  <c:v>Stuffed Octopus</c:v>
                </c:pt>
                <c:pt idx="10">
                  <c:v>Table Runner</c:v>
                </c:pt>
                <c:pt idx="11">
                  <c:v>Keychain Charm</c:v>
                </c:pt>
              </c:strCache>
            </c:strRef>
          </c:cat>
          <c:val>
            <c:numRef>
              <c:f>'_Data'!$Y$2:$Y$13</c:f>
              <c:numCache>
                <c:formatCode>General</c:formatCode>
                <c:ptCount val="12"/>
                <c:pt idx="0">
                  <c:v>168.0</c:v>
                </c:pt>
                <c:pt idx="1">
                  <c:v>120.0</c:v>
                </c:pt>
                <c:pt idx="2">
                  <c:v>95.0</c:v>
                </c:pt>
                <c:pt idx="3">
                  <c:v>256.0</c:v>
                </c:pt>
                <c:pt idx="4">
                  <c:v>76.0</c:v>
                </c:pt>
                <c:pt idx="5">
                  <c:v>90.0</c:v>
                </c:pt>
                <c:pt idx="6">
                  <c:v>222.0</c:v>
                </c:pt>
                <c:pt idx="7">
                  <c:v>150.0</c:v>
                </c:pt>
                <c:pt idx="8">
                  <c:v>160.0</c:v>
                </c:pt>
                <c:pt idx="9">
                  <c:v>78.0</c:v>
                </c:pt>
                <c:pt idx="10">
                  <c:v>165.0</c:v>
                </c:pt>
                <c:pt idx="11">
                  <c:v>180.0</c:v>
                </c:pt>
              </c:numCache>
            </c:numRef>
          </c:val>
        </c:ser>
        <c:gapWidth val="30"/>
        <c:axId val="50030001"/>
        <c:axId val="50030002"/>
      </c:barChart>
      <c:catAx>
        <c:axId val="50030001"/>
        <c:scaling>
          <c:orientation val="minMax"/>
        </c:scaling>
        <c:axPos val="l"/>
        <c:tickLblPos val="nextTo"/>
        <c:crossAx val="50030002"/>
        <c:crosses val="autoZero"/>
        <c:auto val="1"/>
        <c:lblAlgn val="ctr"/>
        <c:lblOffset val="100"/>
      </c:catAx>
      <c:valAx>
        <c:axId val="50030002"/>
        <c:scaling>
          <c:orientation val="minMax"/>
        </c:scaling>
        <c:axPos val="b"/>
        <c:majorGridlines/>
        <c:numFmt formatCode="#,##0" sourceLinked="0"/>
        <c:tickLblPos val="nextTo"/>
        <c:crossAx val="50030001"/>
        <c:crosses val="autoZero"/>
        <c:crossBetween val="between"/>
      </c:valAx>
      <c:spPr>
        <a:ln>
          <a:noFill/>
        </a:ln>
      </c:spPr>
    </c:plotArea>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5C3A50"/>
                </a:solidFill>
                <a:latin typeface="Georgia"/>
              </a:defRPr>
            </a:pPr>
            <a:r>
              <a:rPr lang="en-US" sz="1200" b="1" baseline="0">
                <a:solidFill>
                  <a:srgbClr val="5C3A50"/>
                </a:solidFill>
                <a:latin typeface="Georgia"/>
              </a:rPr>
              <a:t>Where the fair money went</a:t>
            </a:r>
          </a:p>
        </c:rich>
      </c:tx>
      <c:layout/>
    </c:title>
    <c:plotArea>
      <c:layout/>
      <c:pieChart>
        <c:varyColors val="1"/>
        <c:ser>
          <c:idx val="0"/>
          <c:order val="0"/>
          <c:tx>
            <c:v>Where the fair money went</c:v>
          </c:tx>
          <c:dPt>
            <c:idx val="0"/>
            <c:spPr>
              <a:solidFill>
                <a:srgbClr val="B98A2E"/>
              </a:solidFill>
            </c:spPr>
          </c:dPt>
          <c:dPt>
            <c:idx val="1"/>
            <c:spPr>
              <a:solidFill>
                <a:srgbClr val="5E6FA3"/>
              </a:solidFill>
            </c:spPr>
          </c:dPt>
          <c:dPt>
            <c:idx val="2"/>
            <c:spPr>
              <a:solidFill>
                <a:srgbClr val="7A5273"/>
              </a:solidFill>
            </c:spPr>
          </c:dPt>
          <c:dPt>
            <c:idx val="3"/>
            <c:spPr>
              <a:solidFill>
                <a:srgbClr val="4C7A4C"/>
              </a:solidFill>
            </c:spPr>
          </c:dPt>
          <c:dPt>
            <c:idx val="4"/>
            <c:spPr>
              <a:solidFill>
                <a:srgbClr val="B4761A"/>
              </a:solidFill>
            </c:spPr>
          </c:dPt>
          <c:dLbls>
            <c:txPr>
              <a:bodyPr/>
              <a:lstStyle/>
              <a:p>
                <a:pPr>
                  <a:defRPr sz="900" b="1" baseline="0">
                    <a:solidFill>
                      <a:srgbClr val="FFFFFF"/>
                    </a:solidFill>
                    <a:latin typeface="Calibri"/>
                  </a:defRPr>
                </a:pPr>
                <a:endParaRPr lang="en-US"/>
              </a:p>
            </c:txPr>
            <c:showPercent val="1"/>
          </c:dLbls>
          <c:cat>
            <c:strRef>
              <c:f>'_Data'!$S$2:$S$6</c:f>
              <c:strCache>
                <c:ptCount val="5"/>
                <c:pt idx="0">
                  <c:v>Booth fees</c:v>
                </c:pt>
                <c:pt idx="1">
                  <c:v>Travel</c:v>
                </c:pt>
                <c:pt idx="2">
                  <c:v>Parking</c:v>
                </c:pt>
                <c:pt idx="3">
                  <c:v>Food &amp; drinks</c:v>
                </c:pt>
                <c:pt idx="4">
                  <c:v>Display &amp; decor</c:v>
                </c:pt>
              </c:strCache>
            </c:strRef>
          </c:cat>
          <c:val>
            <c:numRef>
              <c:f>'_Data'!$T$2:$T$6</c:f>
              <c:numCache>
                <c:formatCode>General</c:formatCode>
                <c:ptCount val="5"/>
                <c:pt idx="0">
                  <c:v>360</c:v>
                </c:pt>
                <c:pt idx="1">
                  <c:v>89</c:v>
                </c:pt>
                <c:pt idx="2">
                  <c:v>31</c:v>
                </c:pt>
                <c:pt idx="3">
                  <c:v>60</c:v>
                </c:pt>
                <c:pt idx="4">
                  <c:v>140</c:v>
                </c:pt>
              </c:numCache>
            </c:numRef>
          </c:val>
        </c:ser>
        <c:firstSliceAng val="0"/>
      </c:pieChart>
      <c:spPr>
        <a:ln>
          <a:noFill/>
        </a:ln>
      </c:spPr>
    </c:plotArea>
    <c:legend>
      <c:legendPos val="r"/>
      <c:layout/>
      <c:txPr>
        <a:bodyPr/>
        <a:lstStyle/>
        <a:p>
          <a:pPr rtl="0">
            <a:defRPr sz="900" baseline="0">
              <a:solidFill>
                <a:srgbClr val="33222C"/>
              </a:solidFill>
              <a:latin typeface="Calibri"/>
            </a:defRPr>
          </a:pPr>
          <a:endParaRPr lang="en-US"/>
        </a:p>
      </c:txPr>
    </c:legend>
  </c:chart>
  <c:spPr>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5C3A50"/>
                </a:solidFill>
                <a:latin typeface="Georgia"/>
              </a:defRPr>
            </a:pPr>
            <a:r>
              <a:rPr lang="en-US" sz="1200" b="1" baseline="0">
                <a:solidFill>
                  <a:srgbClr val="5C3A50"/>
                </a:solidFill>
                <a:latin typeface="Georgia"/>
              </a:rPr>
              <a:t>Net profit by fair</a:t>
            </a:r>
          </a:p>
        </c:rich>
      </c:tx>
      <c:layout/>
    </c:title>
    <c:plotArea>
      <c:layout/>
      <c:barChart>
        <c:barDir val="col"/>
        <c:grouping val="clustered"/>
        <c:ser>
          <c:idx val="0"/>
          <c:order val="0"/>
          <c:tx>
            <c:v>Net profit by fair</c:v>
          </c:tx>
          <c:spPr>
            <a:solidFill>
              <a:srgbClr val="4C7A4C"/>
            </a:solidFill>
            <a:ln>
              <a:noFill/>
            </a:ln>
          </c:spPr>
          <c:cat>
            <c:strRef>
              <c:f>'_Data'!$AD$2:$AD$9</c:f>
              <c:strCache>
                <c:ptCount val="8"/>
                <c:pt idx="0">
                  <c:v>Spring Makers Market</c:v>
                </c:pt>
                <c:pt idx="1">
                  <c:v>Easter Craft Bazaar</c:v>
                </c:pt>
                <c:pt idx="2">
                  <c:v>School Fete Stall</c:v>
                </c:pt>
                <c:pt idx="3">
                  <c:v>Summer Night Bazaar</c:v>
                </c:pt>
                <c:pt idx="4">
                  <c:v>Farmers Market Pop-up</c:v>
                </c:pt>
                <c:pt idx="5">
                  <c:v>Online Order Batch</c:v>
                </c:pt>
                <c:pt idx="6">
                  <c:v>Autumn Craft Fair</c:v>
                </c:pt>
                <c:pt idx="7">
                  <c:v>Winter Holiday Market</c:v>
                </c:pt>
              </c:strCache>
            </c:strRef>
          </c:cat>
          <c:val>
            <c:numRef>
              <c:f>'_Data'!$AF$2:$AF$9</c:f>
              <c:numCache>
                <c:formatCode>General</c:formatCode>
                <c:ptCount val="8"/>
                <c:pt idx="0">
                  <c:v>151.2</c:v>
                </c:pt>
                <c:pt idx="1">
                  <c:v>89.6</c:v>
                </c:pt>
                <c:pt idx="2">
                  <c:v>156.5</c:v>
                </c:pt>
                <c:pt idx="3">
                  <c:v>199.2</c:v>
                </c:pt>
                <c:pt idx="4">
                  <c:v>163.4</c:v>
                </c:pt>
                <c:pt idx="5">
                  <c:v>259.6</c:v>
                </c:pt>
                <c:pt idx="6">
                  <c:v>-145</c:v>
                </c:pt>
                <c:pt idx="7">
                  <c:v>-158</c:v>
                </c:pt>
              </c:numCache>
            </c:numRef>
          </c:val>
        </c:ser>
        <c:gapWidth val="40"/>
        <c:axId val="50050001"/>
        <c:axId val="50050002"/>
      </c:barChart>
      <c:catAx>
        <c:axId val="50050001"/>
        <c:scaling>
          <c:orientation val="minMax"/>
        </c:scaling>
        <c:axPos val="b"/>
        <c:tickLblPos val="nextTo"/>
        <c:crossAx val="50050002"/>
        <c:crosses val="autoZero"/>
        <c:auto val="1"/>
        <c:lblAlgn val="ctr"/>
        <c:lblOffset val="100"/>
      </c:catAx>
      <c:valAx>
        <c:axId val="50050002"/>
        <c:scaling>
          <c:orientation val="minMax"/>
        </c:scaling>
        <c:axPos val="l"/>
        <c:majorGridlines>
          <c:spPr>
            <a:ln>
              <a:solidFill>
                <a:srgbClr val="E6D9D2"/>
              </a:solidFill>
            </a:ln>
          </c:spPr>
        </c:majorGridlines>
        <c:numFmt formatCode="#,##0" sourceLinked="0"/>
        <c:tickLblPos val="nextTo"/>
        <c:crossAx val="50050001"/>
        <c:crosses val="autoZero"/>
        <c:crossBetween val="between"/>
      </c:valAx>
      <c:spPr>
        <a:ln>
          <a:noFill/>
        </a:ln>
      </c:spPr>
    </c:plotArea>
  </c:chart>
  <c:spPr>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5C3A50"/>
                </a:solidFill>
                <a:latin typeface="Georgia"/>
              </a:defRPr>
            </a:pPr>
            <a:r>
              <a:rPr lang="en-US" sz="1200" b="1" baseline="0">
                <a:solidFill>
                  <a:srgbClr val="5C3A50"/>
                </a:solidFill>
                <a:latin typeface="Georgia"/>
              </a:rPr>
              <a:t>Monthly net profit</a:t>
            </a:r>
          </a:p>
        </c:rich>
      </c:tx>
      <c:layout/>
    </c:title>
    <c:plotArea>
      <c:layout/>
      <c:lineChart>
        <c:grouping val="standard"/>
        <c:ser>
          <c:idx val="0"/>
          <c:order val="0"/>
          <c:tx>
            <c:v>Monthly net profit</c:v>
          </c:tx>
          <c:spPr>
            <a:ln w="31750">
              <a:solidFill>
                <a:srgbClr val="C05268"/>
              </a:solidFill>
            </a:ln>
          </c:spPr>
          <c:marker>
            <c:symbol val="circle"/>
            <c:size val="6"/>
            <c:spPr>
              <a:solidFill>
                <a:srgbClr val="C05268"/>
              </a:solidFill>
              <a:ln>
                <a:solidFill>
                  <a:srgbClr val="FFFFFF"/>
                </a:solidFill>
              </a:ln>
            </c:spPr>
          </c:marker>
          <c:cat>
            <c:strRef>
              <c:f>'_Data'!$I$2:$I$13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'_Data'!$M$2:$M$13</c:f>
              <c:numCache>
                <c:formatCode>General</c:formatCode>
                <c:ptCount val="12"/>
                <c:pt idx="0">
                  <c:v>0</c:v>
                </c:pt>
                <c:pt idx="1">
                  <c:v>0</c:v>
                </c:pt>
                <c:pt idx="2">
                  <c:v>151.2</c:v>
                </c:pt>
                <c:pt idx="3">
                  <c:v>89.6</c:v>
                </c:pt>
                <c:pt idx="4">
                  <c:v>156.5</c:v>
                </c:pt>
                <c:pt idx="5">
                  <c:v>199.2</c:v>
                </c:pt>
                <c:pt idx="6">
                  <c:v>163.4</c:v>
                </c:pt>
                <c:pt idx="7">
                  <c:v>259.6</c:v>
                </c:pt>
                <c:pt idx="8">
                  <c:v>-145</c:v>
                </c:pt>
                <c:pt idx="9">
                  <c:v>0</c:v>
                </c:pt>
                <c:pt idx="10">
                  <c:v>-158</c:v>
                </c:pt>
                <c:pt idx="11">
                  <c:v>0</c:v>
                </c:pt>
              </c:numCache>
            </c:numRef>
          </c:val>
        </c:ser>
        <c:marker val="1"/>
        <c:axId val="50060001"/>
        <c:axId val="50060002"/>
      </c:lineChart>
      <c:catAx>
        <c:axId val="50060001"/>
        <c:scaling>
          <c:orientation val="minMax"/>
        </c:scaling>
        <c:axPos val="b"/>
        <c:tickLblPos val="nextTo"/>
        <c:crossAx val="50060002"/>
        <c:crosses val="autoZero"/>
        <c:auto val="1"/>
        <c:lblAlgn val="ctr"/>
        <c:lblOffset val="100"/>
      </c:catAx>
      <c:valAx>
        <c:axId val="50060002"/>
        <c:scaling>
          <c:orientation val="minMax"/>
        </c:scaling>
        <c:axPos val="l"/>
        <c:majorGridlines/>
        <c:numFmt formatCode="#,##0" sourceLinked="0"/>
        <c:tickLblPos val="nextTo"/>
        <c:crossAx val="50060001"/>
        <c:crosses val="autoZero"/>
        <c:crossBetween val="between"/>
      </c:valAx>
      <c:spPr>
        <a:ln>
          <a:noFill/>
        </a:ln>
      </c:spPr>
    </c:plotArea>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19050</xdr:colOff>
      <xdr:row>15</xdr:row>
      <xdr:rowOff>19050</xdr:rowOff>
    </xdr:from>
    <xdr:to>
      <xdr:col>8</xdr:col>
      <xdr:colOff>57150</xdr:colOff>
      <xdr:row>26</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15</xdr:row>
      <xdr:rowOff>19050</xdr:rowOff>
    </xdr:from>
    <xdr:to>
      <xdr:col>14</xdr:col>
      <xdr:colOff>57150</xdr:colOff>
      <xdr:row>26</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32</xdr:row>
      <xdr:rowOff>19050</xdr:rowOff>
    </xdr:from>
    <xdr:to>
      <xdr:col>8</xdr:col>
      <xdr:colOff>57150</xdr:colOff>
      <xdr:row>43</xdr:row>
      <xdr:rowOff>114300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19050</xdr:colOff>
      <xdr:row>32</xdr:row>
      <xdr:rowOff>19050</xdr:rowOff>
    </xdr:from>
    <xdr:to>
      <xdr:col>14</xdr:col>
      <xdr:colOff>57150</xdr:colOff>
      <xdr:row>43</xdr:row>
      <xdr:rowOff>114300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19050</xdr:colOff>
      <xdr:row>49</xdr:row>
      <xdr:rowOff>19050</xdr:rowOff>
    </xdr:from>
    <xdr:to>
      <xdr:col>8</xdr:col>
      <xdr:colOff>57150</xdr:colOff>
      <xdr:row>60</xdr:row>
      <xdr:rowOff>114300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19050</xdr:colOff>
      <xdr:row>49</xdr:row>
      <xdr:rowOff>19050</xdr:rowOff>
    </xdr:from>
    <xdr:to>
      <xdr:col>14</xdr:col>
      <xdr:colOff>57150</xdr:colOff>
      <xdr:row>60</xdr:row>
      <xdr:rowOff>114300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0</xdr:row>
      <xdr:rowOff>19050</xdr:rowOff>
    </xdr:from>
    <xdr:to>
      <xdr:col>14</xdr:col>
      <xdr:colOff>285750</xdr:colOff>
      <xdr:row>13</xdr:row>
      <xdr:rowOff>76200</xdr:rowOff>
    </xdr:to>
    <xdr:pic>
      <xdr:nvPicPr>
        <xdr:cNvPr id="2" name="Picture 1" descr="banner_berry.png"/>
        <xdr:cNvPicPr>
          <a:picLocks noChangeAspect="1"/>
        </xdr:cNvPicPr>
      </xdr:nvPicPr>
      <xdr:blipFill>
        <a:blip xmlns:r="http://schemas.openxmlformats.org/officeDocument/2006/relationships" r:embed="rId1"/>
        <a:stretch>
          <a:fillRect/>
        </a:stretch>
      </xdr:blipFill>
      <xdr:spPr>
        <a:xfrm>
          <a:off x="628650" y="19050"/>
          <a:ext cx="8191500" cy="3276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sheetPr>
    <tabColor rgb="FF97818D"/>
  </sheetPr>
  <dimension ref="A1:AO27"/>
  <sheetViews>
    <sheetView showGridLines="0" workbookViewId="0"/>
  </sheetViews>
  <sheetFormatPr defaultRowHeight="15"/>
  <cols>
    <col min="1" max="1" width="2.85546875" customWidth="1"/>
    <col min="2" max="44" width="13.7109375" customWidth="1"/>
  </cols>
  <sheetData>
    <row r="1" spans="1:41">
      <c r="A1" s="1" t="s">
        <v>0</v>
      </c>
      <c r="H1" s="2" t="s">
        <v>1</v>
      </c>
      <c r="I1" s="2" t="s">
        <v>2</v>
      </c>
      <c r="J1" s="2" t="s">
        <v>3</v>
      </c>
      <c r="K1" s="2" t="s">
        <v>4</v>
      </c>
      <c r="L1" s="2" t="s">
        <v>5</v>
      </c>
      <c r="M1" s="2" t="s">
        <v>6</v>
      </c>
      <c r="N1" s="2" t="s">
        <v>7</v>
      </c>
      <c r="P1" s="2" t="s">
        <v>20</v>
      </c>
      <c r="Q1" s="2" t="s">
        <v>21</v>
      </c>
      <c r="S1" s="2" t="s">
        <v>28</v>
      </c>
      <c r="T1" s="2" t="s">
        <v>21</v>
      </c>
      <c r="V1" s="2" t="s">
        <v>1</v>
      </c>
      <c r="W1" s="2" t="s">
        <v>34</v>
      </c>
      <c r="X1" s="2" t="s">
        <v>35</v>
      </c>
      <c r="Y1" s="2" t="s">
        <v>3</v>
      </c>
      <c r="Z1" s="2" t="s">
        <v>36</v>
      </c>
      <c r="AA1" s="2" t="s">
        <v>7</v>
      </c>
      <c r="AB1" s="2" t="s">
        <v>37</v>
      </c>
      <c r="AC1" s="2" t="s">
        <v>1</v>
      </c>
      <c r="AD1" s="2" t="s">
        <v>38</v>
      </c>
      <c r="AE1" s="2" t="s">
        <v>39</v>
      </c>
      <c r="AF1" s="2" t="s">
        <v>6</v>
      </c>
      <c r="AK1" s="2" t="s">
        <v>66</v>
      </c>
      <c r="AL1" s="2" t="s">
        <v>67</v>
      </c>
      <c r="AN1" s="2" t="s">
        <v>66</v>
      </c>
      <c r="AO1" s="2" t="s">
        <v>67</v>
      </c>
    </row>
    <row r="2" spans="1:41">
      <c r="H2" s="2">
        <v>1</v>
      </c>
      <c r="I2" s="2" t="s">
        <v>8</v>
      </c>
      <c r="J2">
        <f>SUMIFS('💰 Sales Log'!$H$8:$H$67,'💰 Sales Log'!$B$8:$B$67,"&gt;="&amp;DATE(ReportYear,1,1),'💰 Sales Log'!$B$8:$B$67,"&lt;"&amp;EDATE(DATE(ReportYear,1,1),1))</f>
        <v>0</v>
      </c>
      <c r="K2">
        <f>SUMIFS('💰 Sales Log'!$M$8:$M$67,'💰 Sales Log'!$B$8:$B$67,"&gt;="&amp;DATE(ReportYear,1,1),'💰 Sales Log'!$B$8:$B$67,"&lt;"&amp;EDATE(DATE(ReportYear,1,1),1))</f>
        <v>0</v>
      </c>
      <c r="L2">
        <f>SUMIFS('🏪 Craft Fairs'!$K$8:$K$31,'🏪 Craft Fairs'!$C$8:$C$31,"&gt;="&amp;DATE(ReportYear,1,1),'🏪 Craft Fairs'!$C$8:$C$31,"&lt;"&amp;EDATE(DATE(ReportYear,1,1),1))</f>
        <v>0</v>
      </c>
      <c r="M2">
        <f>J2-K2-L2</f>
        <v>0</v>
      </c>
      <c r="N2">
        <f>IFERROR(M2/J2,0)</f>
        <v>0.0</v>
      </c>
      <c r="P2" s="2" t="s">
        <v>22</v>
      </c>
      <c r="Q2" s="2">
        <f>SUMIFS('💰 Sales Log'!$H$8:$H$67,'💰 Sales Log'!$I$8:$I$67,$P$2)</f>
        <v>816.0</v>
      </c>
      <c r="S2" s="2" t="s">
        <v>29</v>
      </c>
      <c r="T2" s="2">
        <f>SUM('🏪 Craft Fairs'!$F$8:$F$31)</f>
        <v>360</v>
      </c>
      <c r="V2">
        <v>1</v>
      </c>
      <c r="W2" t="str">
        <f>IF('🧶 Product Catalog'!$C$8="","",'🧶 Product Catalog'!$C$8)</f>
        <v>Amigurumi Bunny</v>
      </c>
      <c r="X2">
        <f>IF($W2="","",SUMIFS('💰 Sales Log'!$E$8:$E$67,'💰 Sales Log'!$D$8:$D$67,$W2))</f>
        <v>6</v>
      </c>
      <c r="Y2">
        <f>IF($W2="","",SUMIFS('💰 Sales Log'!$H$8:$H$67,'💰 Sales Log'!$D$8:$D$67,$W2))</f>
        <v>168.0</v>
      </c>
      <c r="Z2">
        <f>IF($W2="","",INDEX('🧶 Product Catalog'!$M$8:$M$31,MATCH($W2,'🧶 Product Catalog'!$C$8:$C$31,0)))</f>
        <v>5</v>
      </c>
      <c r="AA2">
        <f>IF(OR($W2="",$X2=0),"",INDEX('🧶 Product Catalog'!$K$8:$K$31,MATCH($W2,'🧶 Product Catalog'!$C$8:$C$31,0)))</f>
        <v>0.8214285714285714</v>
      </c>
      <c r="AB2">
        <f>IF($W2="","",$Y2-SUMIFS('💰 Sales Log'!$M$8:$M$67,'💰 Sales Log'!$D$8:$D$67,$W2))</f>
        <v>138.0</v>
      </c>
      <c r="AC2">
        <v>1</v>
      </c>
      <c r="AD2" t="str">
        <f>IF('🏪 Craft Fairs'!$B$8="","",'🏪 Craft Fairs'!$B$8)</f>
        <v>Spring Makers Market</v>
      </c>
      <c r="AE2">
        <f>IF($AD2="","",SUMIFS('💰 Sales Log'!$H$8:$H$67,'💰 Sales Log'!$C$8:$C$67,$AD2))</f>
        <v>300.0</v>
      </c>
      <c r="AF2">
        <f>IF($AD2="","",$AE2-SUMIFS('🏪 Craft Fairs'!$K$8:$K$31,'💰 Sales Log'!$C$8:$C$67,$AD2)-SUMIFS('💰 Sales Log'!$M$8:$M$67,'💰 Sales Log'!$C$8:$C$67,$AD2))</f>
        <v>151.2</v>
      </c>
      <c r="AH2" s="2" t="s">
        <v>40</v>
      </c>
      <c r="AI2" s="2">
        <f>SUM('💰 Sales Log'!$H$8:$H$67)</f>
        <v>1760.0</v>
      </c>
      <c r="AK2">
        <f>IF('🔄 Reorder List'!$B$10="","",'🔄 Reorder List'!$I$10)</f>
        <v/>
      </c>
      <c r="AL2">
        <f>IF('🔄 Reorder List'!$B$10="","",'🔄 Reorder List'!$B$10)</f>
        <v/>
      </c>
      <c r="AN2">
        <f>IF('🔄 Reorder List'!$B$25="","",'🔄 Reorder List'!$I$25)</f>
        <v/>
      </c>
      <c r="AO2">
        <f>IF('🔄 Reorder List'!$B$25="","",'🔄 Reorder List'!$B$25)</f>
        <v/>
      </c>
    </row>
    <row r="3" spans="1:41">
      <c r="H3" s="2">
        <v>2</v>
      </c>
      <c r="I3" s="2" t="s">
        <v>9</v>
      </c>
      <c r="J3">
        <f>SUMIFS('💰 Sales Log'!$H$8:$H$67,'💰 Sales Log'!$B$8:$B$67,"&gt;="&amp;DATE(ReportYear,2,1),'💰 Sales Log'!$B$8:$B$67,"&lt;"&amp;EDATE(DATE(ReportYear,2,1),1))</f>
        <v>0</v>
      </c>
      <c r="K3">
        <f>SUMIFS('💰 Sales Log'!$M$8:$M$67,'💰 Sales Log'!$B$8:$B$67,"&gt;="&amp;DATE(ReportYear,2,1),'💰 Sales Log'!$B$8:$B$67,"&lt;"&amp;EDATE(DATE(ReportYear,2,1),1))</f>
        <v>0</v>
      </c>
      <c r="L3">
        <f>SUMIFS('🏪 Craft Fairs'!$K$8:$K$31,'🏪 Craft Fairs'!$C$8:$C$31,"&gt;="&amp;DATE(ReportYear,2,1),'🏪 Craft Fairs'!$C$8:$C$31,"&lt;"&amp;EDATE(DATE(ReportYear,2,1),1))</f>
        <v>0</v>
      </c>
      <c r="M3">
        <f>J3-K3-L3</f>
        <v>0</v>
      </c>
      <c r="N3">
        <f>IFERROR(M3/J3,0)</f>
        <v>0.0</v>
      </c>
      <c r="P3" s="2" t="s">
        <v>23</v>
      </c>
      <c r="Q3" s="2">
        <f>SUMIFS('💰 Sales Log'!$H$8:$H$67,'💰 Sales Log'!$I$8:$I$67,$P$3)</f>
        <v>609.0</v>
      </c>
      <c r="S3" s="2" t="s">
        <v>30</v>
      </c>
      <c r="T3" s="2">
        <f>SUM('🏪 Craft Fairs'!$G$8:$G$31)</f>
        <v>89</v>
      </c>
      <c r="V3">
        <v>2</v>
      </c>
      <c r="W3" t="str">
        <f>IF('🧶 Product Catalog'!$C$9="","",'🧶 Product Catalog'!$C$9)</f>
        <v>Chunky Beanie</v>
      </c>
      <c r="X3">
        <f>IF($W3="","",SUMIFS('💰 Sales Log'!$E$8:$E$67,'💰 Sales Log'!$D$8:$D$67,$W3))</f>
        <v>5</v>
      </c>
      <c r="Y3">
        <f>IF($W3="","",SUMIFS('💰 Sales Log'!$H$8:$H$67,'💰 Sales Log'!$D$8:$D$67,$W3))</f>
        <v>120.0</v>
      </c>
      <c r="Z3">
        <f>IF($W3="","",INDEX('🧶 Product Catalog'!$M$8:$M$31,MATCH($W3,'🧶 Product Catalog'!$C$8:$C$31,0)))</f>
        <v>10</v>
      </c>
      <c r="AA3">
        <f>IF(OR($W3="",$X3=0),"",INDEX('🧶 Product Catalog'!$K$8:$K$31,MATCH($W3,'🧶 Product Catalog'!$C$8:$C$31,0)))</f>
        <v>0.7374999999999999</v>
      </c>
      <c r="AB3">
        <f>IF($W3="","",$Y3-SUMIFS('💰 Sales Log'!$M$8:$M$67,'💰 Sales Log'!$D$8:$D$67,$W3))</f>
        <v>88.5</v>
      </c>
      <c r="AC3">
        <v>2</v>
      </c>
      <c r="AD3" t="str">
        <f>IF('🏪 Craft Fairs'!$B$9="","",'🏪 Craft Fairs'!$B$9)</f>
        <v>Easter Craft Bazaar</v>
      </c>
      <c r="AE3">
        <f>IF($AD3="","",SUMIFS('💰 Sales Log'!$H$8:$H$67,'💰 Sales Log'!$C$8:$C$67,$AD3))</f>
        <v>174.0</v>
      </c>
      <c r="AF3">
        <f>IF($AD3="","",$AE3-SUMIFS('🏪 Craft Fairs'!$K$8:$K$31,'💰 Sales Log'!$C$8:$C$67,$AD3)-SUMIFS('💰 Sales Log'!$M$8:$M$67,'💰 Sales Log'!$C$8:$C$67,$AD3))</f>
        <v>89.6</v>
      </c>
      <c r="AH3" s="2" t="s">
        <v>41</v>
      </c>
      <c r="AI3" s="2">
        <f>SUM('💰 Sales Log'!$G$8:$G$67)</f>
        <v>2.0</v>
      </c>
      <c r="AK3">
        <f>IF('🔄 Reorder List'!$B$11="","",'🔄 Reorder List'!$I$11)</f>
        <v/>
      </c>
      <c r="AL3">
        <f>IF('🔄 Reorder List'!$B$11="","",'🔄 Reorder List'!$B$11)</f>
        <v/>
      </c>
      <c r="AN3">
        <f>IF('🔄 Reorder List'!$B$26="","",'🔄 Reorder List'!$I$26)</f>
        <v/>
      </c>
      <c r="AO3">
        <f>IF('🔄 Reorder List'!$B$26="","",'🔄 Reorder List'!$B$26)</f>
        <v/>
      </c>
    </row>
    <row r="4" spans="1:41">
      <c r="H4" s="2">
        <v>3</v>
      </c>
      <c r="I4" s="2" t="s">
        <v>10</v>
      </c>
      <c r="J4">
        <f>SUMIFS('💰 Sales Log'!$H$8:$H$67,'💰 Sales Log'!$B$8:$B$67,"&gt;="&amp;DATE(ReportYear,3,1),'💰 Sales Log'!$B$8:$B$67,"&lt;"&amp;EDATE(DATE(ReportYear,3,1),1))</f>
        <v>300.0</v>
      </c>
      <c r="K4">
        <f>SUMIFS('💰 Sales Log'!$M$8:$M$67,'💰 Sales Log'!$B$8:$B$67,"&gt;="&amp;DATE(ReportYear,3,1),'💰 Sales Log'!$B$8:$B$67,"&lt;"&amp;EDATE(DATE(ReportYear,3,1),1))</f>
        <v>58.8</v>
      </c>
      <c r="L4">
        <f>SUMIFS('🏪 Craft Fairs'!$K$8:$K$31,'🏪 Craft Fairs'!$C$8:$C$31,"&gt;="&amp;DATE(ReportYear,3,1),'🏪 Craft Fairs'!$C$8:$C$31,"&lt;"&amp;EDATE(DATE(ReportYear,3,1),1))</f>
        <v>90</v>
      </c>
      <c r="M4">
        <f>J4-K4-L4</f>
        <v>151.2</v>
      </c>
      <c r="N4">
        <f>IFERROR(M4/J4,0)</f>
        <v>0.0</v>
      </c>
      <c r="P4" s="2" t="s">
        <v>24</v>
      </c>
      <c r="Q4" s="2">
        <f>SUMIFS('💰 Sales Log'!$H$8:$H$67,'💰 Sales Log'!$I$8:$I$67,$P$4)</f>
        <v>170.0</v>
      </c>
      <c r="S4" s="2" t="s">
        <v>31</v>
      </c>
      <c r="T4" s="2">
        <f>SUM('🏪 Craft Fairs'!$H$8:$H$31)</f>
        <v>31</v>
      </c>
      <c r="V4">
        <v>3</v>
      </c>
      <c r="W4" t="str">
        <f>IF('🧶 Product Catalog'!$C$10="","",'🧶 Product Catalog'!$C$10)</f>
        <v>Granny Square Cardigan</v>
      </c>
      <c r="X4">
        <f>IF($W4="","",SUMIFS('💰 Sales Log'!$E$8:$E$67,'💰 Sales Log'!$D$8:$D$67,$W4))</f>
        <v>1</v>
      </c>
      <c r="Y4">
        <f>IF($W4="","",SUMIFS('💰 Sales Log'!$H$8:$H$67,'💰 Sales Log'!$D$8:$D$67,$W4))</f>
        <v>95.0</v>
      </c>
      <c r="Z4">
        <f>IF($W4="","",INDEX('🧶 Product Catalog'!$M$8:$M$31,MATCH($W4,'🧶 Product Catalog'!$C$8:$C$31,0)))</f>
        <v>2</v>
      </c>
      <c r="AA4">
        <f>IF(OR($W4="",$X4=0),"",INDEX('🧶 Product Catalog'!$K$8:$K$31,MATCH($W4,'🧶 Product Catalog'!$C$8:$C$31,0)))</f>
        <v>0.7831578947368422</v>
      </c>
      <c r="AB4">
        <f>IF($W4="","",$Y4-SUMIFS('💰 Sales Log'!$M$8:$M$67,'💰 Sales Log'!$D$8:$D$67,$W4))</f>
        <v>74.4</v>
      </c>
      <c r="AC4">
        <v>3</v>
      </c>
      <c r="AD4" t="str">
        <f>IF('🏪 Craft Fairs'!$B$10="","",'🏪 Craft Fairs'!$B$10)</f>
        <v>School Fete Stall</v>
      </c>
      <c r="AE4">
        <f>IF($AD4="","",SUMIFS('💰 Sales Log'!$H$8:$H$67,'💰 Sales Log'!$C$8:$C$67,$AD4))</f>
        <v>244.0</v>
      </c>
      <c r="AF4">
        <f>IF($AD4="","",$AE4-SUMIFS('🏪 Craft Fairs'!$K$8:$K$31,'💰 Sales Log'!$C$8:$C$67,$AD4)-SUMIFS('💰 Sales Log'!$M$8:$M$67,'💰 Sales Log'!$C$8:$C$67,$AD4))</f>
        <v>156.5</v>
      </c>
      <c r="AH4" s="2" t="s">
        <v>42</v>
      </c>
      <c r="AI4" s="2">
        <f>SUM('💰 Sales Log'!$M$8:$M$67)</f>
        <v>363.5</v>
      </c>
      <c r="AK4">
        <f>IF('🔄 Reorder List'!$B$12="","",'🔄 Reorder List'!$I$12)</f>
        <v/>
      </c>
      <c r="AL4">
        <f>IF('🔄 Reorder List'!$B$12="","",'🔄 Reorder List'!$B$12)</f>
        <v/>
      </c>
      <c r="AN4">
        <f>IF('🔄 Reorder List'!$B$27="","",'🔄 Reorder List'!$I$27)</f>
        <v/>
      </c>
      <c r="AO4">
        <f>IF('🔄 Reorder List'!$B$27="","",'🔄 Reorder List'!$B$27)</f>
        <v/>
      </c>
    </row>
    <row r="5" spans="1:41">
      <c r="H5" s="2">
        <v>4</v>
      </c>
      <c r="I5" s="2" t="s">
        <v>11</v>
      </c>
      <c r="J5">
        <f>SUMIFS('💰 Sales Log'!$H$8:$H$67,'💰 Sales Log'!$B$8:$B$67,"&gt;="&amp;DATE(ReportYear,4,1),'💰 Sales Log'!$B$8:$B$67,"&lt;"&amp;EDATE(DATE(ReportYear,4,1),1))</f>
        <v>174.0</v>
      </c>
      <c r="K5">
        <f>SUMIFS('💰 Sales Log'!$M$8:$M$67,'💰 Sales Log'!$B$8:$B$67,"&gt;="&amp;DATE(ReportYear,4,1),'💰 Sales Log'!$B$8:$B$67,"&lt;"&amp;EDATE(DATE(ReportYear,4,1),1))</f>
        <v>30.4</v>
      </c>
      <c r="L5">
        <f>SUMIFS('🏪 Craft Fairs'!$K$8:$K$31,'🏪 Craft Fairs'!$C$8:$C$31,"&gt;="&amp;DATE(ReportYear,4,1),'🏪 Craft Fairs'!$C$8:$C$31,"&lt;"&amp;EDATE(DATE(ReportYear,4,1),1))</f>
        <v>54</v>
      </c>
      <c r="M5">
        <f>J5-K5-L5</f>
        <v>89.6</v>
      </c>
      <c r="N5">
        <f>IFERROR(M5/J5,0)</f>
        <v>0.0</v>
      </c>
      <c r="P5" s="2" t="s">
        <v>25</v>
      </c>
      <c r="Q5" s="2">
        <f>SUMIFS('💰 Sales Log'!$H$8:$H$67,'💰 Sales Log'!$I$8:$I$67,$P$5)</f>
        <v>0</v>
      </c>
      <c r="S5" s="2" t="s">
        <v>32</v>
      </c>
      <c r="T5" s="2">
        <f>SUM('🏪 Craft Fairs'!$I$8:$I$31)</f>
        <v>60</v>
      </c>
      <c r="V5">
        <v>4</v>
      </c>
      <c r="W5" t="str">
        <f>IF('🧶 Product Catalog'!$C$11="","",'🧶 Product Catalog'!$C$11)</f>
        <v>Market Tote Bag</v>
      </c>
      <c r="X5">
        <f>IF($W5="","",SUMIFS('💰 Sales Log'!$E$8:$E$67,'💰 Sales Log'!$D$8:$D$67,$W5))</f>
        <v>8</v>
      </c>
      <c r="Y5">
        <f>IF($W5="","",SUMIFS('💰 Sales Log'!$H$8:$H$67,'💰 Sales Log'!$D$8:$D$67,$W5))</f>
        <v>256.0</v>
      </c>
      <c r="Z5">
        <f>IF($W5="","",INDEX('🧶 Product Catalog'!$M$8:$M$31,MATCH($W5,'🧶 Product Catalog'!$C$8:$C$31,0)))</f>
        <v>3</v>
      </c>
      <c r="AA5">
        <f>IF(OR($W5="",$X5=0),"",INDEX('🧶 Product Catalog'!$K$8:$K$31,MATCH($W5,'🧶 Product Catalog'!$C$8:$C$31,0)))</f>
        <v>0.778125</v>
      </c>
      <c r="AB5">
        <f>IF($W5="","",$Y5-SUMIFS('💰 Sales Log'!$M$8:$M$67,'💰 Sales Log'!$D$8:$D$67,$W5))</f>
        <v>199.2</v>
      </c>
      <c r="AC5">
        <v>4</v>
      </c>
      <c r="AD5" t="str">
        <f>IF('🏪 Craft Fairs'!$B$11="","",'🏪 Craft Fairs'!$B$11)</f>
        <v>Summer Night Bazaar</v>
      </c>
      <c r="AE5">
        <f>IF($AD5="","",SUMIFS('💰 Sales Log'!$H$8:$H$67,'💰 Sales Log'!$C$8:$C$67,$AD5))</f>
        <v>398.0</v>
      </c>
      <c r="AF5">
        <f>IF($AD5="","",$AE5-SUMIFS('🏪 Craft Fairs'!$K$8:$K$31,'💰 Sales Log'!$C$8:$C$67,$AD5)-SUMIFS('💰 Sales Log'!$M$8:$M$67,'💰 Sales Log'!$C$8:$C$67,$AD5))</f>
        <v>199.2</v>
      </c>
      <c r="AH5" s="2" t="s">
        <v>43</v>
      </c>
      <c r="AI5" s="2">
        <f>SUM('🏪 Craft Fairs'!$K$8:$K$31)</f>
        <v>680</v>
      </c>
      <c r="AK5">
        <f>IF('🔄 Reorder List'!$B$13="","",'🔄 Reorder List'!$I$13)</f>
        <v/>
      </c>
      <c r="AL5">
        <f>IF('🔄 Reorder List'!$B$13="","",'🔄 Reorder List'!$B$13)</f>
        <v/>
      </c>
      <c r="AN5">
        <f>IF('🔄 Reorder List'!$B$28="","",'🔄 Reorder List'!$I$28)</f>
        <v/>
      </c>
      <c r="AO5">
        <f>IF('🔄 Reorder List'!$B$28="","",'🔄 Reorder List'!$B$28)</f>
        <v/>
      </c>
    </row>
    <row r="6" spans="1:41">
      <c r="H6" s="2">
        <v>5</v>
      </c>
      <c r="I6" s="2" t="s">
        <v>12</v>
      </c>
      <c r="J6">
        <f>SUMIFS('💰 Sales Log'!$H$8:$H$67,'💰 Sales Log'!$B$8:$B$67,"&gt;="&amp;DATE(ReportYear,5,1),'💰 Sales Log'!$B$8:$B$67,"&lt;"&amp;EDATE(DATE(ReportYear,5,1),1))</f>
        <v>244.0</v>
      </c>
      <c r="K6">
        <f>SUMIFS('💰 Sales Log'!$M$8:$M$67,'💰 Sales Log'!$B$8:$B$67,"&gt;="&amp;DATE(ReportYear,5,1),'💰 Sales Log'!$B$8:$B$67,"&lt;"&amp;EDATE(DATE(ReportYear,5,1),1))</f>
        <v>43.5</v>
      </c>
      <c r="L6">
        <f>SUMIFS('🏪 Craft Fairs'!$K$8:$K$31,'🏪 Craft Fairs'!$C$8:$C$31,"&gt;="&amp;DATE(ReportYear,5,1),'🏪 Craft Fairs'!$C$8:$C$31,"&lt;"&amp;EDATE(DATE(ReportYear,5,1),1))</f>
        <v>44</v>
      </c>
      <c r="M6">
        <f>J6-K6-L6</f>
        <v>156.5</v>
      </c>
      <c r="N6">
        <f>IFERROR(M6/J6,0)</f>
        <v>0.0</v>
      </c>
      <c r="P6" s="2" t="s">
        <v>26</v>
      </c>
      <c r="Q6" s="2">
        <f>SUMIFS('💰 Sales Log'!$H$8:$H$67,'💰 Sales Log'!$I$8:$I$67,$P$6)</f>
        <v>165.0</v>
      </c>
      <c r="S6" s="2" t="s">
        <v>33</v>
      </c>
      <c r="T6" s="2">
        <f>SUM('🏪 Craft Fairs'!$J$8:$J$31)</f>
        <v>140</v>
      </c>
      <c r="V6">
        <v>5</v>
      </c>
      <c r="W6" t="str">
        <f>IF('🧶 Product Catalog'!$C$12="","",'🧶 Product Catalog'!$C$12)</f>
        <v>Cozy Scarf</v>
      </c>
      <c r="X6">
        <f>IF($W6="","",SUMIFS('💰 Sales Log'!$E$8:$E$67,'💰 Sales Log'!$D$8:$D$67,$W6))</f>
        <v>2</v>
      </c>
      <c r="Y6">
        <f>IF($W6="","",SUMIFS('💰 Sales Log'!$H$8:$H$67,'💰 Sales Log'!$D$8:$D$67,$W6))</f>
        <v>76.0</v>
      </c>
      <c r="Z6">
        <f>IF($W6="","",INDEX('🧶 Product Catalog'!$M$8:$M$31,MATCH($W6,'🧶 Product Catalog'!$C$8:$C$31,0)))</f>
        <v>4</v>
      </c>
      <c r="AA6">
        <f>IF(OR($W6="",$X6=0),"",INDEX('🧶 Product Catalog'!$K$8:$K$31,MATCH($W6,'🧶 Product Catalog'!$C$8:$C$31,0)))</f>
        <v>0.7368421052631579</v>
      </c>
      <c r="AB6">
        <f>IF($W6="","",$Y6-SUMIFS('💰 Sales Log'!$M$8:$M$67,'💰 Sales Log'!$D$8:$D$67,$W6))</f>
        <v>56.0</v>
      </c>
      <c r="AC6">
        <v>5</v>
      </c>
      <c r="AD6" t="str">
        <f>IF('🏪 Craft Fairs'!$B$12="","",'🏪 Craft Fairs'!$B$12)</f>
        <v>Farmers Market Pop-up</v>
      </c>
      <c r="AE6">
        <f>IF($AD6="","",SUMIFS('💰 Sales Log'!$H$8:$H$67,'💰 Sales Log'!$C$8:$C$67,$AD6))</f>
        <v>309.0</v>
      </c>
      <c r="AF6">
        <f>IF($AD6="","",$AE6-SUMIFS('🏪 Craft Fairs'!$K$8:$K$31,'💰 Sales Log'!$C$8:$C$67,$AD6)-SUMIFS('💰 Sales Log'!$M$8:$M$67,'💰 Sales Log'!$C$8:$C$67,$AD6))</f>
        <v>163.4</v>
      </c>
      <c r="AH6" s="2" t="s">
        <v>44</v>
      </c>
      <c r="AI6" s="2">
        <f>AI2-AI4-AI5</f>
        <v>716.5</v>
      </c>
      <c r="AK6">
        <f>IF('🔄 Reorder List'!$B$14="","",'🔄 Reorder List'!$I$14)</f>
        <v/>
      </c>
      <c r="AL6">
        <f>IF('🔄 Reorder List'!$B$14="","",'🔄 Reorder List'!$B$14)</f>
        <v/>
      </c>
      <c r="AN6">
        <f>IF('🔄 Reorder List'!$B$29="","",'🔄 Reorder List'!$I$29)</f>
        <v/>
      </c>
      <c r="AO6">
        <f>IF('🔄 Reorder List'!$B$29="","",'🔄 Reorder List'!$B$29)</f>
        <v/>
      </c>
    </row>
    <row r="7" spans="1:41">
      <c r="H7" s="2">
        <v>6</v>
      </c>
      <c r="I7" s="2" t="s">
        <v>13</v>
      </c>
      <c r="J7">
        <f>SUMIFS('💰 Sales Log'!$H$8:$H$67,'💰 Sales Log'!$B$8:$B$67,"&gt;="&amp;DATE(ReportYear,6,1),'💰 Sales Log'!$B$8:$B$67,"&lt;"&amp;EDATE(DATE(ReportYear,6,1),1))</f>
        <v>398.0</v>
      </c>
      <c r="K7">
        <f>SUMIFS('💰 Sales Log'!$M$8:$M$67,'💰 Sales Log'!$B$8:$B$67,"&gt;="&amp;DATE(ReportYear,6,1),'💰 Sales Log'!$B$8:$B$67,"&lt;"&amp;EDATE(DATE(ReportYear,6,1),1))</f>
        <v>82.8</v>
      </c>
      <c r="L7">
        <f>SUMIFS('🏪 Craft Fairs'!$K$8:$K$31,'🏪 Craft Fairs'!$C$8:$C$31,"&gt;="&amp;DATE(ReportYear,6,1),'🏪 Craft Fairs'!$C$8:$C$31,"&lt;"&amp;EDATE(DATE(ReportYear,6,1),1))</f>
        <v>116</v>
      </c>
      <c r="M7">
        <f>J7-K7-L7</f>
        <v>199.2</v>
      </c>
      <c r="N7">
        <f>IFERROR(M7/J7,0)</f>
        <v>0.0</v>
      </c>
      <c r="P7" s="2" t="s">
        <v>27</v>
      </c>
      <c r="Q7" s="2">
        <f>SUMIFS('💰 Sales Log'!$H$8:$H$67,'💰 Sales Log'!$I$8:$I$67,$P$7)</f>
        <v>0</v>
      </c>
      <c r="V7">
        <v>6</v>
      </c>
      <c r="W7" t="str">
        <f>IF('🧶 Product Catalog'!$C$13="","",'🧶 Product Catalog'!$C$13)</f>
        <v>Baby Booties</v>
      </c>
      <c r="X7">
        <f>IF($W7="","",SUMIFS('💰 Sales Log'!$E$8:$E$67,'💰 Sales Log'!$D$8:$D$67,$W7))</f>
        <v>5</v>
      </c>
      <c r="Y7">
        <f>IF($W7="","",SUMIFS('💰 Sales Log'!$H$8:$H$67,'💰 Sales Log'!$D$8:$D$67,$W7))</f>
        <v>90.0</v>
      </c>
      <c r="Z7">
        <f>IF($W7="","",INDEX('🧶 Product Catalog'!$M$8:$M$31,MATCH($W7,'🧶 Product Catalog'!$C$8:$C$31,0)))</f>
        <v>3</v>
      </c>
      <c r="AA7">
        <f>IF(OR($W7="",$X7=0),"",INDEX('🧶 Product Catalog'!$K$8:$K$31,MATCH($W7,'🧶 Product Catalog'!$C$8:$C$31,0)))</f>
        <v>0.8222222222222223</v>
      </c>
      <c r="AB7">
        <f>IF($W7="","",$Y7-SUMIFS('💰 Sales Log'!$M$8:$M$67,'💰 Sales Log'!$D$8:$D$67,$W7))</f>
        <v>74.0</v>
      </c>
      <c r="AC7">
        <v>6</v>
      </c>
      <c r="AD7" t="str">
        <f>IF('🏪 Craft Fairs'!$B$13="","",'🏪 Craft Fairs'!$B$13)</f>
        <v>Online Order Batch</v>
      </c>
      <c r="AE7">
        <f>IF($AD7="","",SUMIFS('💰 Sales Log'!$H$8:$H$67,'💰 Sales Log'!$C$8:$C$67,$AD7))</f>
        <v>335.0</v>
      </c>
      <c r="AF7">
        <f>IF($AD7="","",$AE7-SUMIFS('🏪 Craft Fairs'!$K$8:$K$31,'💰 Sales Log'!$C$8:$C$67,$AD7)-SUMIFS('💰 Sales Log'!$M$8:$M$67,'💰 Sales Log'!$C$8:$C$67,$AD7))</f>
        <v>259.6</v>
      </c>
      <c r="AH7" s="2" t="s">
        <v>45</v>
      </c>
      <c r="AI7" s="2">
        <f>IFERROR(AI6/AI2,0)</f>
        <v>0.40710227272727273</v>
      </c>
      <c r="AK7">
        <f>IF('🔄 Reorder List'!$B$15="","",'🔄 Reorder List'!$I$15)</f>
        <v/>
      </c>
      <c r="AL7">
        <f>IF('🔄 Reorder List'!$B$15="","",'🔄 Reorder List'!$B$15)</f>
        <v/>
      </c>
      <c r="AN7">
        <f>IF('🔄 Reorder List'!$B$30="","",'🔄 Reorder List'!$I$30)</f>
        <v/>
      </c>
      <c r="AO7">
        <f>IF('🔄 Reorder List'!$B$30="","",'🔄 Reorder List'!$B$30)</f>
        <v/>
      </c>
    </row>
    <row r="8" spans="1:41">
      <c r="H8" s="2">
        <v>7</v>
      </c>
      <c r="I8" s="2" t="s">
        <v>14</v>
      </c>
      <c r="J8">
        <f>SUMIFS('💰 Sales Log'!$H$8:$H$67,'💰 Sales Log'!$B$8:$B$67,"&gt;="&amp;DATE(ReportYear,7,1),'💰 Sales Log'!$B$8:$B$67,"&lt;"&amp;EDATE(DATE(ReportYear,7,1),1))</f>
        <v>309.0</v>
      </c>
      <c r="K8">
        <f>SUMIFS('💰 Sales Log'!$M$8:$M$67,'💰 Sales Log'!$B$8:$B$67,"&gt;="&amp;DATE(ReportYear,7,1),'💰 Sales Log'!$B$8:$B$67,"&lt;"&amp;EDATE(DATE(ReportYear,7,1),1))</f>
        <v>72.6</v>
      </c>
      <c r="L8">
        <f>SUMIFS('🏪 Craft Fairs'!$K$8:$K$31,'🏪 Craft Fairs'!$C$8:$C$31,"&gt;="&amp;DATE(ReportYear,7,1),'🏪 Craft Fairs'!$C$8:$C$31,"&lt;"&amp;EDATE(DATE(ReportYear,7,1),1))</f>
        <v>73</v>
      </c>
      <c r="M8">
        <f>J8-K8-L8</f>
        <v>163.4</v>
      </c>
      <c r="N8">
        <f>IFERROR(M8/J8,0)</f>
        <v>0.0</v>
      </c>
      <c r="V8">
        <v>7</v>
      </c>
      <c r="W8" t="str">
        <f>IF('🧶 Product Catalog'!$C$14="","",'🧶 Product Catalog'!$C$14)</f>
        <v>Flower Coaster Set</v>
      </c>
      <c r="X8">
        <f>IF($W8="","",SUMIFS('💰 Sales Log'!$E$8:$E$67,'💰 Sales Log'!$D$8:$D$67,$W8))</f>
        <v>14</v>
      </c>
      <c r="Y8">
        <f>IF($W8="","",SUMIFS('💰 Sales Log'!$H$8:$H$67,'💰 Sales Log'!$D$8:$D$67,$W8))</f>
        <v>222.0</v>
      </c>
      <c r="Z8">
        <f>IF($W8="","",INDEX('🧶 Product Catalog'!$M$8:$M$31,MATCH($W8,'🧶 Product Catalog'!$C$8:$C$31,0)))</f>
        <v>5</v>
      </c>
      <c r="AA8">
        <f>IF(OR($W8="",$X8=0),"",INDEX('🧶 Product Catalog'!$K$8:$K$31,MATCH($W8,'🧶 Product Catalog'!$C$8:$C$31,0)))</f>
        <v>0.83125</v>
      </c>
      <c r="AB8">
        <f>IF($W8="","",$Y8-SUMIFS('💰 Sales Log'!$M$8:$M$67,'💰 Sales Log'!$D$8:$D$67,$W8))</f>
        <v>184.2</v>
      </c>
      <c r="AC8">
        <v>7</v>
      </c>
      <c r="AD8" t="str">
        <f>IF('🏪 Craft Fairs'!$B$14="","",'🏪 Craft Fairs'!$B$14)</f>
        <v>Autumn Craft Fair</v>
      </c>
      <c r="AE8">
        <f>IF($AD8="","",SUMIFS('💰 Sales Log'!$H$8:$H$67,'💰 Sales Log'!$C$8:$C$67,$AD8))</f>
        <v>0</v>
      </c>
      <c r="AF8">
        <f>IF($AD8="","",$AE8-SUMIFS('🏪 Craft Fairs'!$K$8:$K$31,'💰 Sales Log'!$C$8:$C$67,$AD8)-SUMIFS('💰 Sales Log'!$M$8:$M$67,'💰 Sales Log'!$C$8:$C$67,$AD8))</f>
        <v>-145</v>
      </c>
      <c r="AH8" s="2" t="s">
        <v>46</v>
      </c>
      <c r="AI8" s="2">
        <f>SUM('💰 Sales Log'!$E$8:$E$67)</f>
        <v>77</v>
      </c>
      <c r="AK8">
        <f>IF('🔄 Reorder List'!$B$16="","",'🔄 Reorder List'!$I$16)</f>
        <v/>
      </c>
      <c r="AL8">
        <f>IF('🔄 Reorder List'!$B$16="","",'🔄 Reorder List'!$B$16)</f>
        <v/>
      </c>
      <c r="AN8">
        <f>IF('🔄 Reorder List'!$B$31="","",'🔄 Reorder List'!$I$31)</f>
        <v/>
      </c>
      <c r="AO8">
        <f>IF('🔄 Reorder List'!$B$31="","",'🔄 Reorder List'!$B$31)</f>
        <v/>
      </c>
    </row>
    <row r="9" spans="1:41">
      <c r="H9" s="2">
        <v>8</v>
      </c>
      <c r="I9" s="2" t="s">
        <v>15</v>
      </c>
      <c r="J9">
        <f>SUMIFS('💰 Sales Log'!$H$8:$H$67,'💰 Sales Log'!$B$8:$B$67,"&gt;="&amp;DATE(ReportYear,8,1),'💰 Sales Log'!$B$8:$B$67,"&lt;"&amp;EDATE(DATE(ReportYear,8,1),1))</f>
        <v>335.0</v>
      </c>
      <c r="K9">
        <f>SUMIFS('💰 Sales Log'!$M$8:$M$67,'💰 Sales Log'!$B$8:$B$67,"&gt;="&amp;DATE(ReportYear,8,1),'💰 Sales Log'!$B$8:$B$67,"&lt;"&amp;EDATE(DATE(ReportYear,8,1),1))</f>
        <v>75.4</v>
      </c>
      <c r="L9">
        <f>SUMIFS('🏪 Craft Fairs'!$K$8:$K$31,'🏪 Craft Fairs'!$C$8:$C$31,"&gt;="&amp;DATE(ReportYear,8,1),'🏪 Craft Fairs'!$C$8:$C$31,"&lt;"&amp;EDATE(DATE(ReportYear,8,1),1))</f>
        <v>0</v>
      </c>
      <c r="M9">
        <f>J9-K9-L9</f>
        <v>259.6</v>
      </c>
      <c r="N9">
        <f>IFERROR(M9/J9,0)</f>
        <v>0.0</v>
      </c>
      <c r="V9">
        <v>8</v>
      </c>
      <c r="W9" t="str">
        <f>IF('🧶 Product Catalog'!$C$15="","",'🧶 Product Catalog'!$C$15)</f>
        <v>Lap Blanket</v>
      </c>
      <c r="X9">
        <f>IF($W9="","",SUMIFS('💰 Sales Log'!$E$8:$E$67,'💰 Sales Log'!$D$8:$D$67,$W9))</f>
        <v>2</v>
      </c>
      <c r="Y9">
        <f>IF($W9="","",SUMIFS('💰 Sales Log'!$H$8:$H$67,'💰 Sales Log'!$D$8:$D$67,$W9))</f>
        <v>150.0</v>
      </c>
      <c r="Z9">
        <f>IF($W9="","",INDEX('🧶 Product Catalog'!$M$8:$M$31,MATCH($W9,'🧶 Product Catalog'!$C$8:$C$31,0)))</f>
        <v>1</v>
      </c>
      <c r="AA9">
        <f>IF(OR($W9="",$X9=0),"",INDEX('🧶 Product Catalog'!$K$8:$K$31,MATCH($W9,'🧶 Product Catalog'!$C$8:$C$31,0)))</f>
        <v>0.7493333333333334</v>
      </c>
      <c r="AB9">
        <f>IF($W9="","",$Y9-SUMIFS('💰 Sales Log'!$M$8:$M$67,'💰 Sales Log'!$D$8:$D$67,$W9))</f>
        <v>112.4</v>
      </c>
      <c r="AC9">
        <v>8</v>
      </c>
      <c r="AD9" t="str">
        <f>IF('🏪 Craft Fairs'!$B$15="","",'🏪 Craft Fairs'!$B$15)</f>
        <v>Winter Holiday Market</v>
      </c>
      <c r="AE9">
        <f>IF($AD9="","",SUMIFS('💰 Sales Log'!$H$8:$H$67,'💰 Sales Log'!$C$8:$C$67,$AD9))</f>
        <v>0</v>
      </c>
      <c r="AF9">
        <f>IF($AD9="","",$AE9-SUMIFS('🏪 Craft Fairs'!$K$8:$K$31,'💰 Sales Log'!$C$8:$C$67,$AD9)-SUMIFS('💰 Sales Log'!$M$8:$M$67,'💰 Sales Log'!$C$8:$C$67,$AD9))</f>
        <v>-158</v>
      </c>
      <c r="AH9" s="2" t="s">
        <v>47</v>
      </c>
      <c r="AI9" s="2">
        <f>COUNTA('💰 Sales Log'!$B$8:$B$67)</f>
        <v>22</v>
      </c>
      <c r="AK9">
        <f>IF('🔄 Reorder List'!$B$17="","",'🔄 Reorder List'!$I$17)</f>
        <v/>
      </c>
      <c r="AL9">
        <f>IF('🔄 Reorder List'!$B$17="","",'🔄 Reorder List'!$B$17)</f>
        <v/>
      </c>
      <c r="AN9">
        <f>IF('🔄 Reorder List'!$B$32="","",'🔄 Reorder List'!$I$32)</f>
        <v/>
      </c>
      <c r="AO9">
        <f>IF('🔄 Reorder List'!$B$32="","",'🔄 Reorder List'!$B$32)</f>
        <v/>
      </c>
    </row>
    <row r="10" spans="1:41">
      <c r="H10" s="2">
        <v>9</v>
      </c>
      <c r="I10" s="2" t="s">
        <v>16</v>
      </c>
      <c r="J10">
        <f>SUMIFS('💰 Sales Log'!$H$8:$H$67,'💰 Sales Log'!$B$8:$B$67,"&gt;="&amp;DATE(ReportYear,9,1),'💰 Sales Log'!$B$8:$B$67,"&lt;"&amp;EDATE(DATE(ReportYear,9,1),1))</f>
        <v>0</v>
      </c>
      <c r="K10">
        <f>SUMIFS('💰 Sales Log'!$M$8:$M$67,'💰 Sales Log'!$B$8:$B$67,"&gt;="&amp;DATE(ReportYear,9,1),'💰 Sales Log'!$B$8:$B$67,"&lt;"&amp;EDATE(DATE(ReportYear,9,1),1))</f>
        <v>0</v>
      </c>
      <c r="L10">
        <f>SUMIFS('🏪 Craft Fairs'!$K$8:$K$31,'🏪 Craft Fairs'!$C$8:$C$31,"&gt;="&amp;DATE(ReportYear,9,1),'🏪 Craft Fairs'!$C$8:$C$31,"&lt;"&amp;EDATE(DATE(ReportYear,9,1),1))</f>
        <v>145</v>
      </c>
      <c r="M10">
        <f>J10-K10-L10</f>
        <v>-145</v>
      </c>
      <c r="N10">
        <f>IFERROR(M10/J10,0)</f>
        <v>0.0</v>
      </c>
      <c r="V10">
        <v>9</v>
      </c>
      <c r="W10" t="str">
        <f>IF('🧶 Product Catalog'!$C$16="","",'🧶 Product Catalog'!$C$16)</f>
        <v>Ear Warmer Headband</v>
      </c>
      <c r="X10">
        <f>IF($W10="","",SUMIFS('💰 Sales Log'!$E$8:$E$67,'💰 Sales Log'!$D$8:$D$67,$W10))</f>
        <v>10</v>
      </c>
      <c r="Y10">
        <f>IF($W10="","",SUMIFS('💰 Sales Log'!$H$8:$H$67,'💰 Sales Log'!$D$8:$D$67,$W10))</f>
        <v>160.0</v>
      </c>
      <c r="Z10">
        <f>IF($W10="","",INDEX('🧶 Product Catalog'!$M$8:$M$31,MATCH($W10,'🧶 Product Catalog'!$C$8:$C$31,0)))</f>
        <v>0</v>
      </c>
      <c r="AA10">
        <f>IF(OR($W10="",$X10=0),"",INDEX('🧶 Product Catalog'!$K$8:$K$31,MATCH($W10,'🧶 Product Catalog'!$C$8:$C$31,0)))</f>
        <v>0.7875</v>
      </c>
      <c r="AB10">
        <f>IF($W10="","",$Y10-SUMIFS('💰 Sales Log'!$M$8:$M$67,'💰 Sales Log'!$D$8:$D$67,$W10))</f>
        <v>126.0</v>
      </c>
      <c r="AC10">
        <v>9</v>
      </c>
      <c r="AD10">
        <f>IF('🏪 Craft Fairs'!$B$16="","",'🏪 Craft Fairs'!$B$16)</f>
        <v/>
      </c>
      <c r="AE10">
        <f>IF($AD10="","",SUMIFS('💰 Sales Log'!$H$8:$H$67,'💰 Sales Log'!$C$8:$C$67,$AD10))</f>
        <v>0</v>
      </c>
      <c r="AF10">
        <f>IF($AD10="","",$AE10-SUMIFS('🏪 Craft Fairs'!$K$8:$K$31,'💰 Sales Log'!$C$8:$C$67,$AD10)-SUMIFS('💰 Sales Log'!$M$8:$M$67,'💰 Sales Log'!$C$8:$C$67,$AD10))</f>
        <v>0</v>
      </c>
      <c r="AH10" s="2" t="s">
        <v>48</v>
      </c>
      <c r="AI10" s="2">
        <f>IFERROR(AI2/AI9,0)</f>
        <v>80.0</v>
      </c>
      <c r="AK10">
        <f>IF('🔄 Reorder List'!$B$18="","",'🔄 Reorder List'!$I$18)</f>
        <v/>
      </c>
      <c r="AL10">
        <f>IF('🔄 Reorder List'!$B$18="","",'🔄 Reorder List'!$B$18)</f>
        <v/>
      </c>
      <c r="AN10">
        <f>IF('🔄 Reorder List'!$B$33="","",'🔄 Reorder List'!$I$33)</f>
        <v/>
      </c>
      <c r="AO10">
        <f>IF('🔄 Reorder List'!$B$33="","",'🔄 Reorder List'!$B$33)</f>
        <v/>
      </c>
    </row>
    <row r="11" spans="1:41">
      <c r="H11" s="2">
        <v>10</v>
      </c>
      <c r="I11" s="2" t="s">
        <v>17</v>
      </c>
      <c r="J11">
        <f>SUMIFS('💰 Sales Log'!$H$8:$H$67,'💰 Sales Log'!$B$8:$B$67,"&gt;="&amp;DATE(ReportYear,10,1),'💰 Sales Log'!$B$8:$B$67,"&lt;"&amp;EDATE(DATE(ReportYear,10,1),1))</f>
        <v>0</v>
      </c>
      <c r="K11">
        <f>SUMIFS('💰 Sales Log'!$M$8:$M$67,'💰 Sales Log'!$B$8:$B$67,"&gt;="&amp;DATE(ReportYear,10,1),'💰 Sales Log'!$B$8:$B$67,"&lt;"&amp;EDATE(DATE(ReportYear,10,1),1))</f>
        <v>0</v>
      </c>
      <c r="L11">
        <f>SUMIFS('🏪 Craft Fairs'!$K$8:$K$31,'🏪 Craft Fairs'!$C$8:$C$31,"&gt;="&amp;DATE(ReportYear,10,1),'🏪 Craft Fairs'!$C$8:$C$31,"&lt;"&amp;EDATE(DATE(ReportYear,10,1),1))</f>
        <v>0</v>
      </c>
      <c r="M11">
        <f>J11-K11-L11</f>
        <v>0</v>
      </c>
      <c r="N11">
        <f>IFERROR(M11/J11,0)</f>
        <v>0.0</v>
      </c>
      <c r="V11">
        <v>10</v>
      </c>
      <c r="W11" t="str">
        <f>IF('🧶 Product Catalog'!$C$17="","",'🧶 Product Catalog'!$C$17)</f>
        <v>Stuffed Octopus</v>
      </c>
      <c r="X11">
        <f>IF($W11="","",SUMIFS('💰 Sales Log'!$E$8:$E$67,'💰 Sales Log'!$D$8:$D$67,$W11))</f>
        <v>3</v>
      </c>
      <c r="Y11">
        <f>IF($W11="","",SUMIFS('💰 Sales Log'!$H$8:$H$67,'💰 Sales Log'!$D$8:$D$67,$W11))</f>
        <v>78.0</v>
      </c>
      <c r="Z11">
        <f>IF($W11="","",INDEX('🧶 Product Catalog'!$M$8:$M$31,MATCH($W11,'🧶 Product Catalog'!$C$8:$C$31,0)))</f>
        <v>7</v>
      </c>
      <c r="AA11">
        <f>IF(OR($W11="",$X11=0),"",INDEX('🧶 Product Catalog'!$K$8:$K$31,MATCH($W11,'🧶 Product Catalog'!$C$8:$C$31,0)))</f>
        <v>0.7923076923076924</v>
      </c>
      <c r="AB11">
        <f>IF($W11="","",$Y11-SUMIFS('💰 Sales Log'!$M$8:$M$67,'💰 Sales Log'!$D$8:$D$67,$W11))</f>
        <v>61.8</v>
      </c>
      <c r="AC11">
        <v>10</v>
      </c>
      <c r="AD11">
        <f>IF('🏪 Craft Fairs'!$B$17="","",'🏪 Craft Fairs'!$B$17)</f>
        <v/>
      </c>
      <c r="AE11">
        <f>IF($AD11="","",SUMIFS('💰 Sales Log'!$H$8:$H$67,'💰 Sales Log'!$C$8:$C$67,$AD11))</f>
        <v>0</v>
      </c>
      <c r="AF11">
        <f>IF($AD11="","",$AE11-SUMIFS('🏪 Craft Fairs'!$K$8:$K$31,'💰 Sales Log'!$C$8:$C$67,$AD11)-SUMIFS('💰 Sales Log'!$M$8:$M$67,'💰 Sales Log'!$C$8:$C$67,$AD11))</f>
        <v>0</v>
      </c>
      <c r="AH11" s="2" t="s">
        <v>49</v>
      </c>
      <c r="AI11" s="2">
        <f>IFERROR(AI6/AI8,0)</f>
        <v>9.305194805194805</v>
      </c>
      <c r="AK11">
        <f>IF('🔄 Reorder List'!$B$19="","",'🔄 Reorder List'!$I$19)</f>
        <v/>
      </c>
      <c r="AL11">
        <f>IF('🔄 Reorder List'!$B$19="","",'🔄 Reorder List'!$B$19)</f>
        <v/>
      </c>
      <c r="AN11">
        <f>IF('🔄 Reorder List'!$B$34="","",'🔄 Reorder List'!$I$34)</f>
        <v/>
      </c>
      <c r="AO11">
        <f>IF('🔄 Reorder List'!$B$34="","",'🔄 Reorder List'!$B$34)</f>
        <v/>
      </c>
    </row>
    <row r="12" spans="1:41">
      <c r="H12" s="2">
        <v>11</v>
      </c>
      <c r="I12" s="2" t="s">
        <v>18</v>
      </c>
      <c r="J12">
        <f>SUMIFS('💰 Sales Log'!$H$8:$H$67,'💰 Sales Log'!$B$8:$B$67,"&gt;="&amp;DATE(ReportYear,11,1),'💰 Sales Log'!$B$8:$B$67,"&lt;"&amp;EDATE(DATE(ReportYear,11,1),1))</f>
        <v>0</v>
      </c>
      <c r="K12">
        <f>SUMIFS('💰 Sales Log'!$M$8:$M$67,'💰 Sales Log'!$B$8:$B$67,"&gt;="&amp;DATE(ReportYear,11,1),'💰 Sales Log'!$B$8:$B$67,"&lt;"&amp;EDATE(DATE(ReportYear,11,1),1))</f>
        <v>0</v>
      </c>
      <c r="L12">
        <f>SUMIFS('🏪 Craft Fairs'!$K$8:$K$31,'🏪 Craft Fairs'!$C$8:$C$31,"&gt;="&amp;DATE(ReportYear,11,1),'🏪 Craft Fairs'!$C$8:$C$31,"&lt;"&amp;EDATE(DATE(ReportYear,11,1),1))</f>
        <v>158</v>
      </c>
      <c r="M12">
        <f>J12-K12-L12</f>
        <v>-158</v>
      </c>
      <c r="N12">
        <f>IFERROR(M12/J12,0)</f>
        <v>0.0</v>
      </c>
      <c r="V12">
        <v>11</v>
      </c>
      <c r="W12" t="str">
        <f>IF('🧶 Product Catalog'!$C$18="","",'🧶 Product Catalog'!$C$18)</f>
        <v>Table Runner</v>
      </c>
      <c r="X12">
        <f>IF($W12="","",SUMIFS('💰 Sales Log'!$E$8:$E$67,'💰 Sales Log'!$D$8:$D$67,$W12))</f>
        <v>3</v>
      </c>
      <c r="Y12">
        <f>IF($W12="","",SUMIFS('💰 Sales Log'!$H$8:$H$67,'💰 Sales Log'!$D$8:$D$67,$W12))</f>
        <v>165.0</v>
      </c>
      <c r="Z12">
        <f>IF($W12="","",INDEX('🧶 Product Catalog'!$M$8:$M$31,MATCH($W12,'🧶 Product Catalog'!$C$8:$C$31,0)))</f>
        <v>0</v>
      </c>
      <c r="AA12">
        <f>IF(OR($W12="",$X12=0),"",INDEX('🧶 Product Catalog'!$K$8:$K$31,MATCH($W12,'🧶 Product Catalog'!$C$8:$C$31,0)))</f>
        <v>0.7818181818181819</v>
      </c>
      <c r="AB12">
        <f>IF($W12="","",$Y12-SUMIFS('💰 Sales Log'!$M$8:$M$67,'💰 Sales Log'!$D$8:$D$67,$W12))</f>
        <v>129.0</v>
      </c>
      <c r="AC12">
        <v>11</v>
      </c>
      <c r="AD12">
        <f>IF('🏪 Craft Fairs'!$B$18="","",'🏪 Craft Fairs'!$B$18)</f>
        <v/>
      </c>
      <c r="AE12">
        <f>IF($AD12="","",SUMIFS('💰 Sales Log'!$H$8:$H$67,'💰 Sales Log'!$C$8:$C$67,$AD12))</f>
        <v>0</v>
      </c>
      <c r="AF12">
        <f>IF($AD12="","",$AE12-SUMIFS('🏪 Craft Fairs'!$K$8:$K$31,'💰 Sales Log'!$C$8:$C$67,$AD12)-SUMIFS('💰 Sales Log'!$M$8:$M$67,'💰 Sales Log'!$C$8:$C$67,$AD12))</f>
        <v>0</v>
      </c>
      <c r="AH12" s="2" t="s">
        <v>50</v>
      </c>
      <c r="AI12" s="2">
        <f>COUNTA('🏪 Craft Fairs'!$B$8:$B$31)</f>
        <v>8</v>
      </c>
      <c r="AK12">
        <f>IF('🔄 Reorder List'!$B$20="","",'🔄 Reorder List'!$I$20)</f>
        <v/>
      </c>
      <c r="AL12">
        <f>IF('🔄 Reorder List'!$B$20="","",'🔄 Reorder List'!$B$20)</f>
        <v/>
      </c>
    </row>
    <row r="13" spans="1:41">
      <c r="H13" s="2">
        <v>12</v>
      </c>
      <c r="I13" s="2" t="s">
        <v>19</v>
      </c>
      <c r="J13">
        <f>SUMIFS('💰 Sales Log'!$H$8:$H$67,'💰 Sales Log'!$B$8:$B$67,"&gt;="&amp;DATE(ReportYear,12,1),'💰 Sales Log'!$B$8:$B$67,"&lt;"&amp;EDATE(DATE(ReportYear,12,1),1))</f>
        <v>0</v>
      </c>
      <c r="K13">
        <f>SUMIFS('💰 Sales Log'!$M$8:$M$67,'💰 Sales Log'!$B$8:$B$67,"&gt;="&amp;DATE(ReportYear,12,1),'💰 Sales Log'!$B$8:$B$67,"&lt;"&amp;EDATE(DATE(ReportYear,12,1),1))</f>
        <v>0</v>
      </c>
      <c r="L13">
        <f>SUMIFS('🏪 Craft Fairs'!$K$8:$K$31,'🏪 Craft Fairs'!$C$8:$C$31,"&gt;="&amp;DATE(ReportYear,12,1),'🏪 Craft Fairs'!$C$8:$C$31,"&lt;"&amp;EDATE(DATE(ReportYear,12,1),1))</f>
        <v>0</v>
      </c>
      <c r="M13">
        <f>J13-K13-L13</f>
        <v>0</v>
      </c>
      <c r="N13">
        <f>IFERROR(M13/J13,0)</f>
        <v>0.0</v>
      </c>
      <c r="V13">
        <v>12</v>
      </c>
      <c r="W13" t="str">
        <f>IF('🧶 Product Catalog'!$C$19="","",'🧶 Product Catalog'!$C$19)</f>
        <v>Keychain Charm</v>
      </c>
      <c r="X13">
        <f>IF($W13="","",SUMIFS('💰 Sales Log'!$E$8:$E$67,'💰 Sales Log'!$D$8:$D$67,$W13))</f>
        <v>18</v>
      </c>
      <c r="Y13">
        <f>IF($W13="","",SUMIFS('💰 Sales Log'!$H$8:$H$67,'💰 Sales Log'!$D$8:$D$67,$W13))</f>
        <v>180.0</v>
      </c>
      <c r="Z13">
        <f>IF($W13="","",INDEX('🧶 Product Catalog'!$M$8:$M$31,MATCH($W13,'🧶 Product Catalog'!$C$8:$C$31,0)))</f>
        <v>0</v>
      </c>
      <c r="AA13">
        <f>IF(OR($W13="",$X13=0),"",INDEX('🧶 Product Catalog'!$K$8:$K$31,MATCH($W13,'🧶 Product Catalog'!$C$8:$C$31,0)))</f>
        <v>0.85</v>
      </c>
      <c r="AB13">
        <f>IF($W13="","",$Y13-SUMIFS('💰 Sales Log'!$M$8:$M$67,'💰 Sales Log'!$D$8:$D$67,$W13))</f>
        <v>153.0</v>
      </c>
      <c r="AC13">
        <v>12</v>
      </c>
      <c r="AD13">
        <f>IF('🏪 Craft Fairs'!$B$19="","",'🏪 Craft Fairs'!$B$19)</f>
        <v/>
      </c>
      <c r="AE13">
        <f>IF($AD13="","",SUMIFS('💰 Sales Log'!$H$8:$H$67,'💰 Sales Log'!$C$8:$C$67,$AD13))</f>
        <v>0</v>
      </c>
      <c r="AF13">
        <f>IF($AD13="","",$AE13-SUMIFS('🏪 Craft Fairs'!$K$8:$K$31,'💰 Sales Log'!$C$8:$C$67,$AD13)-SUMIFS('💰 Sales Log'!$M$8:$M$67,'💰 Sales Log'!$C$8:$C$67,$AD13))</f>
        <v>0</v>
      </c>
      <c r="AH13" s="2" t="s">
        <v>51</v>
      </c>
      <c r="AI13" s="2">
        <f>SUMPRODUCT(('💰 Sales Log'!$C$8:$C$67&lt;&gt;"")/COUNTIF('💰 Sales Log'!$C$8:$C$67,'💰 Sales Log'!$C$8:$C$67&amp;""))</f>
        <v>6</v>
      </c>
      <c r="AK13">
        <f>IF('🔄 Reorder List'!$B$21="","",'🔄 Reorder List'!$I$21)</f>
        <v/>
      </c>
      <c r="AL13">
        <f>IF('🔄 Reorder List'!$B$21="","",'🔄 Reorder List'!$B$21)</f>
        <v/>
      </c>
    </row>
    <row r="14" spans="1:41">
      <c r="V14">
        <v>13</v>
      </c>
      <c r="W14">
        <f>IF('🧶 Product Catalog'!$C$20="","",'🧶 Product Catalog'!$C$20)</f>
        <v/>
      </c>
      <c r="X14">
        <f>IF($W14="","",SUMIFS('💰 Sales Log'!$E$8:$E$67,'💰 Sales Log'!$D$8:$D$67,$W14))</f>
        <v>0</v>
      </c>
      <c r="Y14">
        <f>IF($W14="","",SUMIFS('💰 Sales Log'!$H$8:$H$67,'💰 Sales Log'!$D$8:$D$67,$W14))</f>
        <v>0</v>
      </c>
      <c r="Z14">
        <f>IF($W14="","",INDEX('🧶 Product Catalog'!$M$8:$M$31,MATCH($W14,'🧶 Product Catalog'!$C$8:$C$31,0)))</f>
        <v>0</v>
      </c>
      <c r="AA14">
        <f>IF(OR($W14="",$X14=0),"",INDEX('🧶 Product Catalog'!$K$8:$K$31,MATCH($W14,'🧶 Product Catalog'!$C$8:$C$31,0)))</f>
        <v>0</v>
      </c>
      <c r="AB14">
        <f>IF($W14="","",$Y14-SUMIFS('💰 Sales Log'!$M$8:$M$67,'💰 Sales Log'!$D$8:$D$67,$W14))</f>
        <v>0</v>
      </c>
      <c r="AC14">
        <v>13</v>
      </c>
      <c r="AD14">
        <f>IF('🏪 Craft Fairs'!$B$20="","",'🏪 Craft Fairs'!$B$20)</f>
        <v/>
      </c>
      <c r="AE14">
        <f>IF($AD14="","",SUMIFS('💰 Sales Log'!$H$8:$H$67,'💰 Sales Log'!$C$8:$C$67,$AD14))</f>
        <v>0</v>
      </c>
      <c r="AF14">
        <f>IF($AD14="","",$AE14-SUMIFS('🏪 Craft Fairs'!$K$8:$K$31,'💰 Sales Log'!$C$8:$C$67,$AD14)-SUMIFS('💰 Sales Log'!$M$8:$M$67,'💰 Sales Log'!$C$8:$C$67,$AD14))</f>
        <v>0</v>
      </c>
      <c r="AH14" s="2" t="s">
        <v>52</v>
      </c>
      <c r="AI14" s="2">
        <f>SUMPRODUCT('🧶 Product Catalog'!$M$8:$M$31*'🧶 Product Catalog'!$I$8:$I$31)</f>
        <v>270.2</v>
      </c>
    </row>
    <row r="15" spans="1:41">
      <c r="V15">
        <v>14</v>
      </c>
      <c r="W15">
        <f>IF('🧶 Product Catalog'!$C$21="","",'🧶 Product Catalog'!$C$21)</f>
        <v/>
      </c>
      <c r="X15">
        <f>IF($W15="","",SUMIFS('💰 Sales Log'!$E$8:$E$67,'💰 Sales Log'!$D$8:$D$67,$W15))</f>
        <v>0</v>
      </c>
      <c r="Y15">
        <f>IF($W15="","",SUMIFS('💰 Sales Log'!$H$8:$H$67,'💰 Sales Log'!$D$8:$D$67,$W15))</f>
        <v>0</v>
      </c>
      <c r="Z15">
        <f>IF($W15="","",INDEX('🧶 Product Catalog'!$M$8:$M$31,MATCH($W15,'🧶 Product Catalog'!$C$8:$C$31,0)))</f>
        <v>0</v>
      </c>
      <c r="AA15">
        <f>IF(OR($W15="",$X15=0),"",INDEX('🧶 Product Catalog'!$K$8:$K$31,MATCH($W15,'🧶 Product Catalog'!$C$8:$C$31,0)))</f>
        <v>0</v>
      </c>
      <c r="AB15">
        <f>IF($W15="","",$Y15-SUMIFS('💰 Sales Log'!$M$8:$M$67,'💰 Sales Log'!$D$8:$D$67,$W15))</f>
        <v>0</v>
      </c>
      <c r="AC15">
        <v>14</v>
      </c>
      <c r="AD15">
        <f>IF('🏪 Craft Fairs'!$B$21="","",'🏪 Craft Fairs'!$B$21)</f>
        <v/>
      </c>
      <c r="AE15">
        <f>IF($AD15="","",SUMIFS('💰 Sales Log'!$H$8:$H$67,'💰 Sales Log'!$C$8:$C$67,$AD15))</f>
        <v>0</v>
      </c>
      <c r="AF15">
        <f>IF($AD15="","",$AE15-SUMIFS('🏪 Craft Fairs'!$K$8:$K$31,'💰 Sales Log'!$C$8:$C$67,$AD15)-SUMIFS('💰 Sales Log'!$M$8:$M$67,'💰 Sales Log'!$C$8:$C$67,$AD15))</f>
        <v>0</v>
      </c>
      <c r="AH15" s="2" t="s">
        <v>53</v>
      </c>
      <c r="AI15" s="2">
        <f>SUMPRODUCT(('🧶 Product Catalog'!$C$8:$C$31&lt;&gt;"")*('🧶 Product Catalog'!$M$8:$M$31&lt;'🧶 Product Catalog'!$N$8:$N$31))</f>
        <v>7</v>
      </c>
    </row>
    <row r="16" spans="1:41">
      <c r="V16">
        <v>15</v>
      </c>
      <c r="W16">
        <f>IF('🧶 Product Catalog'!$C$22="","",'🧶 Product Catalog'!$C$22)</f>
        <v/>
      </c>
      <c r="X16">
        <f>IF($W16="","",SUMIFS('💰 Sales Log'!$E$8:$E$67,'💰 Sales Log'!$D$8:$D$67,$W16))</f>
        <v>0</v>
      </c>
      <c r="Y16">
        <f>IF($W16="","",SUMIFS('💰 Sales Log'!$H$8:$H$67,'💰 Sales Log'!$D$8:$D$67,$W16))</f>
        <v>0</v>
      </c>
      <c r="Z16">
        <f>IF($W16="","",INDEX('🧶 Product Catalog'!$M$8:$M$31,MATCH($W16,'🧶 Product Catalog'!$C$8:$C$31,0)))</f>
        <v>0</v>
      </c>
      <c r="AA16">
        <f>IF(OR($W16="",$X16=0),"",INDEX('🧶 Product Catalog'!$K$8:$K$31,MATCH($W16,'🧶 Product Catalog'!$C$8:$C$31,0)))</f>
        <v>0</v>
      </c>
      <c r="AB16">
        <f>IF($W16="","",$Y16-SUMIFS('💰 Sales Log'!$M$8:$M$67,'💰 Sales Log'!$D$8:$D$67,$W16))</f>
        <v>0</v>
      </c>
      <c r="AC16">
        <v>15</v>
      </c>
      <c r="AD16">
        <f>IF('🏪 Craft Fairs'!$B$22="","",'🏪 Craft Fairs'!$B$22)</f>
        <v/>
      </c>
      <c r="AE16">
        <f>IF($AD16="","",SUMIFS('💰 Sales Log'!$H$8:$H$67,'💰 Sales Log'!$C$8:$C$67,$AD16))</f>
        <v>0</v>
      </c>
      <c r="AF16">
        <f>IF($AD16="","",$AE16-SUMIFS('🏪 Craft Fairs'!$K$8:$K$31,'💰 Sales Log'!$C$8:$C$67,$AD16)-SUMIFS('💰 Sales Log'!$M$8:$M$67,'💰 Sales Log'!$C$8:$C$67,$AD16))</f>
        <v>0</v>
      </c>
      <c r="AH16" s="2" t="s">
        <v>54</v>
      </c>
      <c r="AI16" s="2">
        <f>SUMPRODUCT(('🧵 Yarn &amp; Materials'!$B$8:$B$31&lt;&gt;"")*('🧵 Yarn &amp; Materials'!$K$8:$K$31&lt;='🧵 Yarn &amp; Materials'!$M$8:$M$31))</f>
        <v>5</v>
      </c>
    </row>
    <row r="17" spans="22:35">
      <c r="V17">
        <v>16</v>
      </c>
      <c r="W17">
        <f>IF('🧶 Product Catalog'!$C$23="","",'🧶 Product Catalog'!$C$23)</f>
        <v/>
      </c>
      <c r="X17">
        <f>IF($W17="","",SUMIFS('💰 Sales Log'!$E$8:$E$67,'💰 Sales Log'!$D$8:$D$67,$W17))</f>
        <v>0</v>
      </c>
      <c r="Y17">
        <f>IF($W17="","",SUMIFS('💰 Sales Log'!$H$8:$H$67,'💰 Sales Log'!$D$8:$D$67,$W17))</f>
        <v>0</v>
      </c>
      <c r="Z17">
        <f>IF($W17="","",INDEX('🧶 Product Catalog'!$M$8:$M$31,MATCH($W17,'🧶 Product Catalog'!$C$8:$C$31,0)))</f>
        <v>0</v>
      </c>
      <c r="AA17">
        <f>IF(OR($W17="",$X17=0),"",INDEX('🧶 Product Catalog'!$K$8:$K$31,MATCH($W17,'🧶 Product Catalog'!$C$8:$C$31,0)))</f>
        <v>0</v>
      </c>
      <c r="AB17">
        <f>IF($W17="","",$Y17-SUMIFS('💰 Sales Log'!$M$8:$M$67,'💰 Sales Log'!$D$8:$D$67,$W17))</f>
        <v>0</v>
      </c>
      <c r="AC17">
        <v>16</v>
      </c>
      <c r="AD17">
        <f>IF('🏪 Craft Fairs'!$B$23="","",'🏪 Craft Fairs'!$B$23)</f>
        <v/>
      </c>
      <c r="AE17">
        <f>IF($AD17="","",SUMIFS('💰 Sales Log'!$H$8:$H$67,'💰 Sales Log'!$C$8:$C$67,$AD17))</f>
        <v>0</v>
      </c>
      <c r="AF17">
        <f>IF($AD17="","",$AE17-SUMIFS('🏪 Craft Fairs'!$K$8:$K$31,'💰 Sales Log'!$C$8:$C$67,$AD17)-SUMIFS('💰 Sales Log'!$M$8:$M$67,'💰 Sales Log'!$C$8:$C$67,$AD17))</f>
        <v>0</v>
      </c>
      <c r="AH17" s="2" t="s">
        <v>55</v>
      </c>
      <c r="AI17" s="2">
        <f>SUM('🔄 Reorder List'!$G$10:$G$34)</f>
        <v>342.7</v>
      </c>
    </row>
    <row r="18" spans="22:35">
      <c r="V18">
        <v>17</v>
      </c>
      <c r="W18">
        <f>IF('🧶 Product Catalog'!$C$24="","",'🧶 Product Catalog'!$C$24)</f>
        <v/>
      </c>
      <c r="X18">
        <f>IF($W18="","",SUMIFS('💰 Sales Log'!$E$8:$E$67,'💰 Sales Log'!$D$8:$D$67,$W18))</f>
        <v>0</v>
      </c>
      <c r="Y18">
        <f>IF($W18="","",SUMIFS('💰 Sales Log'!$H$8:$H$67,'💰 Sales Log'!$D$8:$D$67,$W18))</f>
        <v>0</v>
      </c>
      <c r="Z18">
        <f>IF($W18="","",INDEX('🧶 Product Catalog'!$M$8:$M$31,MATCH($W18,'🧶 Product Catalog'!$C$8:$C$31,0)))</f>
        <v>0</v>
      </c>
      <c r="AA18">
        <f>IF(OR($W18="",$X18=0),"",INDEX('🧶 Product Catalog'!$K$8:$K$31,MATCH($W18,'🧶 Product Catalog'!$C$8:$C$31,0)))</f>
        <v>0</v>
      </c>
      <c r="AB18">
        <f>IF($W18="","",$Y18-SUMIFS('💰 Sales Log'!$M$8:$M$67,'💰 Sales Log'!$D$8:$D$67,$W18))</f>
        <v>0</v>
      </c>
      <c r="AC18">
        <v>17</v>
      </c>
      <c r="AD18">
        <f>IF('🏪 Craft Fairs'!$B$24="","",'🏪 Craft Fairs'!$B$24)</f>
        <v/>
      </c>
      <c r="AE18">
        <f>IF($AD18="","",SUMIFS('💰 Sales Log'!$H$8:$H$67,'💰 Sales Log'!$C$8:$C$67,$AD18))</f>
        <v>0</v>
      </c>
      <c r="AF18">
        <f>IF($AD18="","",$AE18-SUMIFS('🏪 Craft Fairs'!$K$8:$K$31,'💰 Sales Log'!$C$8:$C$67,$AD18)-SUMIFS('💰 Sales Log'!$M$8:$M$67,'💰 Sales Log'!$C$8:$C$67,$AD18))</f>
        <v>0</v>
      </c>
      <c r="AH18" s="2" t="s">
        <v>56</v>
      </c>
      <c r="AI18" s="2">
        <f>IFERROR(AI8/AI19,0)</f>
        <v>0.652542372881356</v>
      </c>
    </row>
    <row r="19" spans="22:35">
      <c r="V19">
        <v>18</v>
      </c>
      <c r="W19">
        <f>IF('🧶 Product Catalog'!$C$25="","",'🧶 Product Catalog'!$C$25)</f>
        <v/>
      </c>
      <c r="X19">
        <f>IF($W19="","",SUMIFS('💰 Sales Log'!$E$8:$E$67,'💰 Sales Log'!$D$8:$D$67,$W19))</f>
        <v>0</v>
      </c>
      <c r="Y19">
        <f>IF($W19="","",SUMIFS('💰 Sales Log'!$H$8:$H$67,'💰 Sales Log'!$D$8:$D$67,$W19))</f>
        <v>0</v>
      </c>
      <c r="Z19">
        <f>IF($W19="","",INDEX('🧶 Product Catalog'!$M$8:$M$31,MATCH($W19,'🧶 Product Catalog'!$C$8:$C$31,0)))</f>
        <v>0</v>
      </c>
      <c r="AA19">
        <f>IF(OR($W19="",$X19=0),"",INDEX('🧶 Product Catalog'!$K$8:$K$31,MATCH($W19,'🧶 Product Catalog'!$C$8:$C$31,0)))</f>
        <v>0</v>
      </c>
      <c r="AB19">
        <f>IF($W19="","",$Y19-SUMIFS('💰 Sales Log'!$M$8:$M$67,'💰 Sales Log'!$D$8:$D$67,$W19))</f>
        <v>0</v>
      </c>
      <c r="AC19">
        <v>18</v>
      </c>
      <c r="AD19">
        <f>IF('🏪 Craft Fairs'!$B$25="","",'🏪 Craft Fairs'!$B$25)</f>
        <v/>
      </c>
      <c r="AE19">
        <f>IF($AD19="","",SUMIFS('💰 Sales Log'!$H$8:$H$67,'💰 Sales Log'!$C$8:$C$67,$AD19))</f>
        <v>0</v>
      </c>
      <c r="AF19">
        <f>IF($AD19="","",$AE19-SUMIFS('🏪 Craft Fairs'!$K$8:$K$31,'💰 Sales Log'!$C$8:$C$67,$AD19)-SUMIFS('💰 Sales Log'!$M$8:$M$67,'💰 Sales Log'!$C$8:$C$67,$AD19))</f>
        <v>0</v>
      </c>
      <c r="AH19" s="2" t="s">
        <v>57</v>
      </c>
      <c r="AI19" s="2">
        <f>SUM('📦 Made &amp; Stocked'!$D$8:$D$37)</f>
        <v>118</v>
      </c>
    </row>
    <row r="20" spans="22:35">
      <c r="V20">
        <v>19</v>
      </c>
      <c r="W20">
        <f>IF('🧶 Product Catalog'!$C$26="","",'🧶 Product Catalog'!$C$26)</f>
        <v/>
      </c>
      <c r="X20">
        <f>IF($W20="","",SUMIFS('💰 Sales Log'!$E$8:$E$67,'💰 Sales Log'!$D$8:$D$67,$W20))</f>
        <v>0</v>
      </c>
      <c r="Y20">
        <f>IF($W20="","",SUMIFS('💰 Sales Log'!$H$8:$H$67,'💰 Sales Log'!$D$8:$D$67,$W20))</f>
        <v>0</v>
      </c>
      <c r="Z20">
        <f>IF($W20="","",INDEX('🧶 Product Catalog'!$M$8:$M$31,MATCH($W20,'🧶 Product Catalog'!$C$8:$C$31,0)))</f>
        <v>0</v>
      </c>
      <c r="AA20">
        <f>IF(OR($W20="",$X20=0),"",INDEX('🧶 Product Catalog'!$K$8:$K$31,MATCH($W20,'🧶 Product Catalog'!$C$8:$C$31,0)))</f>
        <v>0</v>
      </c>
      <c r="AB20">
        <f>IF($W20="","",$Y20-SUMIFS('💰 Sales Log'!$M$8:$M$67,'💰 Sales Log'!$D$8:$D$67,$W20))</f>
        <v>0</v>
      </c>
      <c r="AC20">
        <v>19</v>
      </c>
      <c r="AD20">
        <f>IF('🏪 Craft Fairs'!$B$26="","",'🏪 Craft Fairs'!$B$26)</f>
        <v/>
      </c>
      <c r="AE20">
        <f>IF($AD20="","",SUMIFS('💰 Sales Log'!$H$8:$H$67,'💰 Sales Log'!$C$8:$C$67,$AD20))</f>
        <v>0</v>
      </c>
      <c r="AF20">
        <f>IF($AD20="","",$AE20-SUMIFS('🏪 Craft Fairs'!$K$8:$K$31,'💰 Sales Log'!$C$8:$C$67,$AD20)-SUMIFS('💰 Sales Log'!$M$8:$M$67,'💰 Sales Log'!$C$8:$C$67,$AD20))</f>
        <v>0</v>
      </c>
      <c r="AH20" s="2" t="s">
        <v>58</v>
      </c>
      <c r="AI20" s="2" t="str">
        <f>IFERROR(INDEX($W$2:$W$25,MATCH(MAX($Y$2:$Y$25),$Y$2:$Y$25,0)),"")</f>
        <v>Market Tote Bag</v>
      </c>
    </row>
    <row r="21" spans="22:35">
      <c r="V21">
        <v>20</v>
      </c>
      <c r="W21">
        <f>IF('🧶 Product Catalog'!$C$27="","",'🧶 Product Catalog'!$C$27)</f>
        <v/>
      </c>
      <c r="X21">
        <f>IF($W21="","",SUMIFS('💰 Sales Log'!$E$8:$E$67,'💰 Sales Log'!$D$8:$D$67,$W21))</f>
        <v>0</v>
      </c>
      <c r="Y21">
        <f>IF($W21="","",SUMIFS('💰 Sales Log'!$H$8:$H$67,'💰 Sales Log'!$D$8:$D$67,$W21))</f>
        <v>0</v>
      </c>
      <c r="Z21">
        <f>IF($W21="","",INDEX('🧶 Product Catalog'!$M$8:$M$31,MATCH($W21,'🧶 Product Catalog'!$C$8:$C$31,0)))</f>
        <v>0</v>
      </c>
      <c r="AA21">
        <f>IF(OR($W21="",$X21=0),"",INDEX('🧶 Product Catalog'!$K$8:$K$31,MATCH($W21,'🧶 Product Catalog'!$C$8:$C$31,0)))</f>
        <v>0</v>
      </c>
      <c r="AB21">
        <f>IF($W21="","",$Y21-SUMIFS('💰 Sales Log'!$M$8:$M$67,'💰 Sales Log'!$D$8:$D$67,$W21))</f>
        <v>0</v>
      </c>
      <c r="AC21">
        <v>20</v>
      </c>
      <c r="AD21">
        <f>IF('🏪 Craft Fairs'!$B$27="","",'🏪 Craft Fairs'!$B$27)</f>
        <v/>
      </c>
      <c r="AE21">
        <f>IF($AD21="","",SUMIFS('💰 Sales Log'!$H$8:$H$67,'💰 Sales Log'!$C$8:$C$67,$AD21))</f>
        <v>0</v>
      </c>
      <c r="AF21">
        <f>IF($AD21="","",$AE21-SUMIFS('🏪 Craft Fairs'!$K$8:$K$31,'💰 Sales Log'!$C$8:$C$67,$AD21)-SUMIFS('💰 Sales Log'!$M$8:$M$67,'💰 Sales Log'!$C$8:$C$67,$AD21))</f>
        <v>0</v>
      </c>
      <c r="AH21" s="2" t="s">
        <v>59</v>
      </c>
      <c r="AI21" s="2" t="str">
        <f>IFERROR(INDEX($AD$2:$AD$25,MATCH(MAX($AF$2:$AF$25),$AF$2:$AF$25,0)),"")</f>
        <v>Online Order Batch</v>
      </c>
    </row>
    <row r="22" spans="22:35">
      <c r="V22">
        <v>21</v>
      </c>
      <c r="W22">
        <f>IF('🧶 Product Catalog'!$C$28="","",'🧶 Product Catalog'!$C$28)</f>
        <v/>
      </c>
      <c r="X22">
        <f>IF($W22="","",SUMIFS('💰 Sales Log'!$E$8:$E$67,'💰 Sales Log'!$D$8:$D$67,$W22))</f>
        <v>0</v>
      </c>
      <c r="Y22">
        <f>IF($W22="","",SUMIFS('💰 Sales Log'!$H$8:$H$67,'💰 Sales Log'!$D$8:$D$67,$W22))</f>
        <v>0</v>
      </c>
      <c r="Z22">
        <f>IF($W22="","",INDEX('🧶 Product Catalog'!$M$8:$M$31,MATCH($W22,'🧶 Product Catalog'!$C$8:$C$31,0)))</f>
        <v>0</v>
      </c>
      <c r="AA22">
        <f>IF(OR($W22="",$X22=0),"",INDEX('🧶 Product Catalog'!$K$8:$K$31,MATCH($W22,'🧶 Product Catalog'!$C$8:$C$31,0)))</f>
        <v>0</v>
      </c>
      <c r="AB22">
        <f>IF($W22="","",$Y22-SUMIFS('💰 Sales Log'!$M$8:$M$67,'💰 Sales Log'!$D$8:$D$67,$W22))</f>
        <v>0</v>
      </c>
      <c r="AC22">
        <v>21</v>
      </c>
      <c r="AD22">
        <f>IF('🏪 Craft Fairs'!$B$28="","",'🏪 Craft Fairs'!$B$28)</f>
        <v/>
      </c>
      <c r="AE22">
        <f>IF($AD22="","",SUMIFS('💰 Sales Log'!$H$8:$H$67,'💰 Sales Log'!$C$8:$C$67,$AD22))</f>
        <v>0</v>
      </c>
      <c r="AF22">
        <f>IF($AD22="","",$AE22-SUMIFS('🏪 Craft Fairs'!$K$8:$K$31,'💰 Sales Log'!$C$8:$C$67,$AD22)-SUMIFS('💰 Sales Log'!$M$8:$M$67,'💰 Sales Log'!$C$8:$C$67,$AD22))</f>
        <v>0</v>
      </c>
      <c r="AH22" s="2" t="s">
        <v>60</v>
      </c>
      <c r="AI22" s="2" t="str">
        <f>IFERROR(INDEX($W$2:$W$25,MATCH(MAX($X$2:$X$25),$X$2:$X$25,0)),"")</f>
        <v>Keychain Charm</v>
      </c>
    </row>
    <row r="23" spans="22:35">
      <c r="V23">
        <v>22</v>
      </c>
      <c r="W23">
        <f>IF('🧶 Product Catalog'!$C$29="","",'🧶 Product Catalog'!$C$29)</f>
        <v/>
      </c>
      <c r="X23">
        <f>IF($W23="","",SUMIFS('💰 Sales Log'!$E$8:$E$67,'💰 Sales Log'!$D$8:$D$67,$W23))</f>
        <v>0</v>
      </c>
      <c r="Y23">
        <f>IF($W23="","",SUMIFS('💰 Sales Log'!$H$8:$H$67,'💰 Sales Log'!$D$8:$D$67,$W23))</f>
        <v>0</v>
      </c>
      <c r="Z23">
        <f>IF($W23="","",INDEX('🧶 Product Catalog'!$M$8:$M$31,MATCH($W23,'🧶 Product Catalog'!$C$8:$C$31,0)))</f>
        <v>0</v>
      </c>
      <c r="AA23">
        <f>IF(OR($W23="",$X23=0),"",INDEX('🧶 Product Catalog'!$K$8:$K$31,MATCH($W23,'🧶 Product Catalog'!$C$8:$C$31,0)))</f>
        <v>0</v>
      </c>
      <c r="AB23">
        <f>IF($W23="","",$Y23-SUMIFS('💰 Sales Log'!$M$8:$M$67,'💰 Sales Log'!$D$8:$D$67,$W23))</f>
        <v>0</v>
      </c>
      <c r="AC23">
        <v>22</v>
      </c>
      <c r="AD23">
        <f>IF('🏪 Craft Fairs'!$B$29="","",'🏪 Craft Fairs'!$B$29)</f>
        <v/>
      </c>
      <c r="AE23">
        <f>IF($AD23="","",SUMIFS('💰 Sales Log'!$H$8:$H$67,'💰 Sales Log'!$C$8:$C$67,$AD23))</f>
        <v>0</v>
      </c>
      <c r="AF23">
        <f>IF($AD23="","",$AE23-SUMIFS('🏪 Craft Fairs'!$K$8:$K$31,'💰 Sales Log'!$C$8:$C$67,$AD23)-SUMIFS('💰 Sales Log'!$M$8:$M$67,'💰 Sales Log'!$C$8:$C$67,$AD23))</f>
        <v>0</v>
      </c>
      <c r="AH23" s="2" t="s">
        <v>61</v>
      </c>
      <c r="AI23" s="2" t="str">
        <f>IFERROR(INDEX($W$2:$W$25,MATCH(MAX($Y$2:$Y$25),$Y$2:$Y$25,0)),"")</f>
        <v>Market Tote Bag</v>
      </c>
    </row>
    <row r="24" spans="22:35">
      <c r="V24">
        <v>23</v>
      </c>
      <c r="W24">
        <f>IF('🧶 Product Catalog'!$C$30="","",'🧶 Product Catalog'!$C$30)</f>
        <v/>
      </c>
      <c r="X24">
        <f>IF($W24="","",SUMIFS('💰 Sales Log'!$E$8:$E$67,'💰 Sales Log'!$D$8:$D$67,$W24))</f>
        <v>0</v>
      </c>
      <c r="Y24">
        <f>IF($W24="","",SUMIFS('💰 Sales Log'!$H$8:$H$67,'💰 Sales Log'!$D$8:$D$67,$W24))</f>
        <v>0</v>
      </c>
      <c r="Z24">
        <f>IF($W24="","",INDEX('🧶 Product Catalog'!$M$8:$M$31,MATCH($W24,'🧶 Product Catalog'!$C$8:$C$31,0)))</f>
        <v>0</v>
      </c>
      <c r="AA24">
        <f>IF(OR($W24="",$X24=0),"",INDEX('🧶 Product Catalog'!$K$8:$K$31,MATCH($W24,'🧶 Product Catalog'!$C$8:$C$31,0)))</f>
        <v>0</v>
      </c>
      <c r="AB24">
        <f>IF($W24="","",$Y24-SUMIFS('💰 Sales Log'!$M$8:$M$67,'💰 Sales Log'!$D$8:$D$67,$W24))</f>
        <v>0</v>
      </c>
      <c r="AC24">
        <v>23</v>
      </c>
      <c r="AD24">
        <f>IF('🏪 Craft Fairs'!$B$30="","",'🏪 Craft Fairs'!$B$30)</f>
        <v/>
      </c>
      <c r="AE24">
        <f>IF($AD24="","",SUMIFS('💰 Sales Log'!$H$8:$H$67,'💰 Sales Log'!$C$8:$C$67,$AD24))</f>
        <v>0</v>
      </c>
      <c r="AF24">
        <f>IF($AD24="","",$AE24-SUMIFS('🏪 Craft Fairs'!$K$8:$K$31,'💰 Sales Log'!$C$8:$C$67,$AD24)-SUMIFS('💰 Sales Log'!$M$8:$M$67,'💰 Sales Log'!$C$8:$C$67,$AD24))</f>
        <v>0</v>
      </c>
      <c r="AH24" s="2" t="s">
        <v>62</v>
      </c>
      <c r="AI24" s="2" t="str">
        <f>IFERROR(INDEX($W$2:$W$25,MATCH(MAX($AB$2:$AB$25),$AB$2:$AB$25,0)),"")</f>
        <v>Market Tote Bag</v>
      </c>
    </row>
    <row r="25" spans="22:35">
      <c r="V25">
        <v>24</v>
      </c>
      <c r="W25">
        <f>IF('🧶 Product Catalog'!$C$31="","",'🧶 Product Catalog'!$C$31)</f>
        <v/>
      </c>
      <c r="X25">
        <f>IF($W25="","",SUMIFS('💰 Sales Log'!$E$8:$E$67,'💰 Sales Log'!$D$8:$D$67,$W25))</f>
        <v>0</v>
      </c>
      <c r="Y25">
        <f>IF($W25="","",SUMIFS('💰 Sales Log'!$H$8:$H$67,'💰 Sales Log'!$D$8:$D$67,$W25))</f>
        <v>0</v>
      </c>
      <c r="Z25">
        <f>IF($W25="","",INDEX('🧶 Product Catalog'!$M$8:$M$31,MATCH($W25,'🧶 Product Catalog'!$C$8:$C$31,0)))</f>
        <v>0</v>
      </c>
      <c r="AA25">
        <f>IF(OR($W25="",$X25=0),"",INDEX('🧶 Product Catalog'!$K$8:$K$31,MATCH($W25,'🧶 Product Catalog'!$C$8:$C$31,0)))</f>
        <v>0</v>
      </c>
      <c r="AB25">
        <f>IF($W25="","",$Y25-SUMIFS('💰 Sales Log'!$M$8:$M$67,'💰 Sales Log'!$D$8:$D$67,$W25))</f>
        <v>0</v>
      </c>
      <c r="AC25">
        <v>24</v>
      </c>
      <c r="AD25">
        <f>IF('🏪 Craft Fairs'!$B$31="","",'🏪 Craft Fairs'!$B$31)</f>
        <v/>
      </c>
      <c r="AE25">
        <f>IF($AD25="","",SUMIFS('💰 Sales Log'!$H$8:$H$67,'💰 Sales Log'!$C$8:$C$67,$AD25))</f>
        <v>0</v>
      </c>
      <c r="AF25">
        <f>IF($AD25="","",$AE25-SUMIFS('🏪 Craft Fairs'!$K$8:$K$31,'💰 Sales Log'!$C$8:$C$67,$AD25)-SUMIFS('💰 Sales Log'!$M$8:$M$67,'💰 Sales Log'!$C$8:$C$67,$AD25))</f>
        <v>0</v>
      </c>
      <c r="AH25" s="2" t="s">
        <v>63</v>
      </c>
      <c r="AI25" s="2" t="str">
        <f>IFERROR(INDEX($W$2:$W$25,MATCH(MAX($AA$2:$AA$25),$AA$2:$AA$25,0)),"")</f>
        <v>Keychain Charm</v>
      </c>
    </row>
    <row r="26" spans="22:35">
      <c r="AH26" s="2" t="s">
        <v>64</v>
      </c>
      <c r="AI26" s="2" t="str">
        <f>IFERROR(INDEX($W$2:$W$25,MATCH(MIN($X$2:$X$25),$X$2:$X$25,0)),"")</f>
        <v>Granny Square Cardigan</v>
      </c>
    </row>
    <row r="27" spans="22:35">
      <c r="AH27" s="2" t="s">
        <v>65</v>
      </c>
      <c r="AI27" s="2">
        <f>'💵 Pricing Calculator'!$J$17</f>
        <v>52.0</v>
      </c>
    </row>
  </sheetData>
  <sheetProtection password="EC7C" sheet="1" formatCells="0" formatColumns="0" formatRows="0" insertColumns="0" insertRows="0" insertHyperlinks="0" deleteColumns="0" deleteRows="0" sort="0" autoFilter="0"/>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8A5F79"/>
    <pageSetUpPr fitToPage="1"/>
  </sheetPr>
  <dimension ref="A1:J61"/>
  <sheetViews>
    <sheetView showGridLines="0" workbookViewId="0"/>
  </sheetViews>
  <sheetFormatPr defaultRowHeight="15"/>
  <cols>
    <col min="1" max="1" width="2.85546875" customWidth="1"/>
    <col min="2" max="2" width="24.7109375" customWidth="1"/>
    <col min="3" max="3" width="16.7109375" customWidth="1"/>
    <col min="4" max="4" width="13.7109375" customWidth="1"/>
    <col min="5" max="5" width="16.7109375" customWidth="1"/>
    <col min="6" max="6" width="11.7109375" customWidth="1"/>
    <col min="7" max="7" width="17.7109375" customWidth="1"/>
    <col min="8" max="10" width="12.7109375" customWidth="1"/>
  </cols>
  <sheetData>
    <row r="1" spans="1:10" ht="7" customHeight="1">
      <c r="A1" s="3"/>
      <c r="B1" s="3"/>
      <c r="C1" s="3"/>
      <c r="D1" s="3"/>
      <c r="E1" s="3"/>
      <c r="F1" s="3"/>
      <c r="G1" s="3"/>
      <c r="H1" s="3"/>
      <c r="I1" s="3"/>
      <c r="J1" s="3"/>
    </row>
    <row r="2" spans="1:10" ht="32" customHeight="1">
      <c r="A2" s="3"/>
      <c r="B2" s="4" t="s">
        <v>68</v>
      </c>
      <c r="C2" s="4"/>
      <c r="D2" s="4"/>
      <c r="E2" s="4"/>
      <c r="F2" s="4"/>
      <c r="G2" s="4"/>
      <c r="H2" s="3"/>
      <c r="I2" s="3"/>
      <c r="J2" s="3"/>
    </row>
    <row r="3" spans="1:10" ht="18" customHeight="1">
      <c r="A3" s="3"/>
      <c r="B3" s="5" t="s">
        <v>69</v>
      </c>
      <c r="C3" s="5"/>
      <c r="D3" s="5"/>
      <c r="E3" s="5"/>
      <c r="F3" s="5"/>
      <c r="G3" s="5"/>
      <c r="H3" s="6" t="s">
        <v>70</v>
      </c>
      <c r="I3" s="6"/>
      <c r="J3" s="6"/>
    </row>
    <row r="4" spans="1:10" ht="8" customHeight="1">
      <c r="A4" s="3"/>
      <c r="B4" s="3"/>
      <c r="C4" s="3"/>
      <c r="D4" s="3"/>
      <c r="E4" s="3"/>
      <c r="F4" s="3"/>
      <c r="G4" s="3"/>
      <c r="H4" s="3"/>
      <c r="I4" s="3"/>
      <c r="J4" s="3"/>
    </row>
    <row r="5" spans="1:10" ht="24" customHeight="1">
      <c r="A5" s="3"/>
      <c r="B5" s="7" t="s">
        <v>71</v>
      </c>
      <c r="C5" s="7"/>
      <c r="D5" s="7"/>
      <c r="E5" s="7"/>
      <c r="F5" s="7"/>
      <c r="G5" s="7"/>
      <c r="H5" s="7"/>
      <c r="I5" s="7"/>
      <c r="J5" s="7"/>
    </row>
    <row r="6" spans="1:10" ht="26" customHeight="1">
      <c r="A6" s="3"/>
      <c r="B6" s="8" t="s">
        <v>72</v>
      </c>
      <c r="C6" s="9" t="s">
        <v>73</v>
      </c>
      <c r="D6" s="9"/>
      <c r="E6" s="10" t="s">
        <v>74</v>
      </c>
      <c r="F6" s="10"/>
      <c r="G6" s="10"/>
      <c r="H6" s="10"/>
      <c r="I6" s="10"/>
      <c r="J6" s="10"/>
    </row>
    <row r="7" spans="1:10" ht="26" customHeight="1">
      <c r="A7" s="3"/>
      <c r="B7" s="8" t="s">
        <v>75</v>
      </c>
      <c r="C7" s="9" t="s">
        <v>76</v>
      </c>
      <c r="D7" s="9"/>
      <c r="E7" s="10" t="s">
        <v>77</v>
      </c>
      <c r="F7" s="10"/>
      <c r="G7" s="10"/>
      <c r="H7" s="10"/>
      <c r="I7" s="10"/>
      <c r="J7" s="10"/>
    </row>
    <row r="8" spans="1:10">
      <c r="A8" s="3"/>
      <c r="B8" s="3"/>
      <c r="C8" s="3"/>
      <c r="D8" s="3"/>
      <c r="E8" s="3"/>
      <c r="F8" s="3"/>
      <c r="G8" s="3"/>
      <c r="H8" s="3"/>
      <c r="I8" s="3"/>
      <c r="J8" s="3"/>
    </row>
    <row r="9" spans="1:10" ht="24" customHeight="1">
      <c r="A9" s="3"/>
      <c r="B9" s="11" t="s">
        <v>78</v>
      </c>
      <c r="C9" s="11"/>
      <c r="D9" s="11"/>
      <c r="E9" s="11"/>
      <c r="F9" s="11"/>
      <c r="G9" s="11"/>
      <c r="H9" s="11"/>
      <c r="I9" s="11"/>
      <c r="J9" s="11"/>
    </row>
    <row r="10" spans="1:10" ht="24" customHeight="1">
      <c r="A10" s="3"/>
      <c r="B10" s="8" t="s">
        <v>79</v>
      </c>
      <c r="C10" s="9" t="s">
        <v>80</v>
      </c>
      <c r="D10" s="3"/>
      <c r="E10" s="10" t="s">
        <v>81</v>
      </c>
      <c r="F10" s="10"/>
      <c r="G10" s="10"/>
      <c r="H10" s="10"/>
      <c r="I10" s="10"/>
      <c r="J10" s="10"/>
    </row>
    <row r="11" spans="1:10" ht="24" customHeight="1">
      <c r="A11" s="3"/>
      <c r="B11" s="8" t="s">
        <v>82</v>
      </c>
      <c r="C11" s="12">
        <v>2026</v>
      </c>
      <c r="D11" s="3"/>
      <c r="E11" s="10" t="s">
        <v>83</v>
      </c>
      <c r="F11" s="10"/>
      <c r="G11" s="10"/>
      <c r="H11" s="10"/>
      <c r="I11" s="10"/>
      <c r="J11" s="10"/>
    </row>
    <row r="12" spans="1:10" ht="24" customHeight="1">
      <c r="A12" s="3"/>
      <c r="B12" s="8" t="s">
        <v>84</v>
      </c>
      <c r="C12" s="13">
        <v>14</v>
      </c>
      <c r="D12" s="3"/>
      <c r="E12" s="10" t="s">
        <v>85</v>
      </c>
      <c r="F12" s="10"/>
      <c r="G12" s="10"/>
      <c r="H12" s="10"/>
      <c r="I12" s="10"/>
      <c r="J12" s="10"/>
    </row>
    <row r="13" spans="1:10" ht="24" customHeight="1">
      <c r="A13" s="3"/>
      <c r="B13" s="8" t="s">
        <v>86</v>
      </c>
      <c r="C13" s="14">
        <v>0.1</v>
      </c>
      <c r="D13" s="3"/>
      <c r="E13" s="10" t="s">
        <v>87</v>
      </c>
      <c r="F13" s="10"/>
      <c r="G13" s="10"/>
      <c r="H13" s="10"/>
      <c r="I13" s="10"/>
      <c r="J13" s="10"/>
    </row>
    <row r="14" spans="1:10" ht="24" customHeight="1">
      <c r="A14" s="3"/>
      <c r="B14" s="8" t="s">
        <v>88</v>
      </c>
      <c r="C14" s="14">
        <v>0.45</v>
      </c>
      <c r="D14" s="3"/>
      <c r="E14" s="10" t="s">
        <v>89</v>
      </c>
      <c r="F14" s="10"/>
      <c r="G14" s="10"/>
      <c r="H14" s="10"/>
      <c r="I14" s="10"/>
      <c r="J14" s="10"/>
    </row>
    <row r="15" spans="1:10">
      <c r="A15" s="3"/>
      <c r="B15" s="3"/>
      <c r="C15" s="3"/>
      <c r="D15" s="3"/>
      <c r="E15" s="3"/>
      <c r="F15" s="3"/>
      <c r="G15" s="3"/>
      <c r="H15" s="3"/>
      <c r="I15" s="3"/>
      <c r="J15" s="3"/>
    </row>
    <row r="16" spans="1:10" ht="16" customHeight="1">
      <c r="A16" s="3"/>
      <c r="B16" s="15" t="s">
        <v>90</v>
      </c>
      <c r="C16" s="15"/>
      <c r="D16" s="15"/>
      <c r="E16" s="15"/>
      <c r="F16" s="15"/>
      <c r="G16" s="15"/>
      <c r="H16" s="15"/>
      <c r="I16" s="15"/>
      <c r="J16" s="15"/>
    </row>
    <row r="17" spans="1:10" ht="16" customHeight="1">
      <c r="A17" s="3"/>
      <c r="B17" s="15"/>
      <c r="C17" s="15"/>
      <c r="D17" s="15"/>
      <c r="E17" s="15"/>
      <c r="F17" s="15"/>
      <c r="G17" s="15"/>
      <c r="H17" s="15"/>
      <c r="I17" s="15"/>
      <c r="J17" s="15"/>
    </row>
    <row r="18" spans="1:10" ht="16" customHeight="1">
      <c r="A18" s="3"/>
      <c r="B18" s="15"/>
      <c r="C18" s="15"/>
      <c r="D18" s="15"/>
      <c r="E18" s="15"/>
      <c r="F18" s="15"/>
      <c r="G18" s="15"/>
      <c r="H18" s="15"/>
      <c r="I18" s="15"/>
      <c r="J18" s="15"/>
    </row>
    <row r="19" spans="1:10">
      <c r="A19" s="3"/>
      <c r="B19" s="3"/>
      <c r="C19" s="3"/>
      <c r="D19" s="3"/>
      <c r="E19" s="3"/>
      <c r="F19" s="3"/>
      <c r="G19" s="3"/>
      <c r="H19" s="3"/>
      <c r="I19" s="3"/>
      <c r="J19" s="3"/>
    </row>
    <row r="20" spans="1:10">
      <c r="A20" s="3"/>
      <c r="B20" s="3"/>
      <c r="C20" s="3"/>
      <c r="D20" s="3"/>
      <c r="E20" s="3"/>
      <c r="F20" s="3"/>
      <c r="G20" s="3"/>
      <c r="H20" s="3"/>
      <c r="I20" s="3"/>
      <c r="J20" s="3"/>
    </row>
    <row r="21" spans="1:10">
      <c r="A21" s="3"/>
      <c r="B21" s="3"/>
      <c r="C21" s="3"/>
      <c r="D21" s="3"/>
      <c r="E21" s="3"/>
      <c r="F21" s="3"/>
      <c r="G21" s="3"/>
      <c r="H21" s="3"/>
      <c r="I21" s="3"/>
      <c r="J21" s="3"/>
    </row>
    <row r="22" spans="1:10" ht="26" customHeight="1">
      <c r="A22" s="3"/>
      <c r="B22" s="3"/>
      <c r="C22" s="16" t="s">
        <v>91</v>
      </c>
      <c r="D22" s="17" t="s">
        <v>92</v>
      </c>
      <c r="E22" s="18" t="s">
        <v>93</v>
      </c>
      <c r="F22" s="19" t="s">
        <v>35</v>
      </c>
      <c r="G22" s="20" t="s">
        <v>94</v>
      </c>
      <c r="H22" s="3"/>
      <c r="I22" s="3"/>
      <c r="J22" s="3"/>
    </row>
    <row r="23" spans="1:10" ht="18" customHeight="1">
      <c r="A23" s="3"/>
      <c r="B23" s="3"/>
      <c r="C23" s="9" t="s">
        <v>95</v>
      </c>
      <c r="D23" s="9" t="s">
        <v>22</v>
      </c>
      <c r="E23" s="9" t="s">
        <v>96</v>
      </c>
      <c r="F23" s="9" t="s">
        <v>97</v>
      </c>
      <c r="G23" s="9" t="s">
        <v>98</v>
      </c>
      <c r="H23" s="3"/>
      <c r="I23" s="3"/>
      <c r="J23" s="3"/>
    </row>
    <row r="24" spans="1:10" ht="18" customHeight="1">
      <c r="A24" s="3"/>
      <c r="B24" s="3"/>
      <c r="C24" s="21" t="s">
        <v>99</v>
      </c>
      <c r="D24" s="21" t="s">
        <v>23</v>
      </c>
      <c r="E24" s="21" t="s">
        <v>100</v>
      </c>
      <c r="F24" s="21" t="s">
        <v>101</v>
      </c>
      <c r="G24" s="21" t="s">
        <v>102</v>
      </c>
      <c r="H24" s="3"/>
      <c r="I24" s="3"/>
      <c r="J24" s="3"/>
    </row>
    <row r="25" spans="1:10" ht="18" customHeight="1">
      <c r="A25" s="3"/>
      <c r="B25" s="3"/>
      <c r="C25" s="9" t="s">
        <v>103</v>
      </c>
      <c r="D25" s="9" t="s">
        <v>24</v>
      </c>
      <c r="E25" s="9" t="s">
        <v>104</v>
      </c>
      <c r="F25" s="9" t="s">
        <v>105</v>
      </c>
      <c r="G25" s="9" t="s">
        <v>106</v>
      </c>
      <c r="H25" s="3"/>
      <c r="I25" s="3"/>
      <c r="J25" s="3"/>
    </row>
    <row r="26" spans="1:10" ht="18" customHeight="1">
      <c r="A26" s="3"/>
      <c r="B26" s="3"/>
      <c r="C26" s="21" t="s">
        <v>107</v>
      </c>
      <c r="D26" s="21" t="s">
        <v>25</v>
      </c>
      <c r="E26" s="21" t="s">
        <v>108</v>
      </c>
      <c r="F26" s="21" t="s">
        <v>109</v>
      </c>
      <c r="G26" s="21" t="s">
        <v>110</v>
      </c>
      <c r="H26" s="3"/>
      <c r="I26" s="3"/>
      <c r="J26" s="3"/>
    </row>
    <row r="27" spans="1:10" ht="18" customHeight="1">
      <c r="A27" s="3"/>
      <c r="B27" s="3"/>
      <c r="C27" s="9" t="s">
        <v>111</v>
      </c>
      <c r="D27" s="9" t="s">
        <v>26</v>
      </c>
      <c r="E27" s="9" t="s">
        <v>112</v>
      </c>
      <c r="F27" s="9" t="s">
        <v>113</v>
      </c>
      <c r="G27" s="9" t="s">
        <v>114</v>
      </c>
      <c r="H27" s="3"/>
      <c r="I27" s="3"/>
      <c r="J27" s="3"/>
    </row>
    <row r="28" spans="1:10" ht="18" customHeight="1">
      <c r="A28" s="3"/>
      <c r="B28" s="3"/>
      <c r="C28" s="21" t="s">
        <v>115</v>
      </c>
      <c r="D28" s="21" t="s">
        <v>27</v>
      </c>
      <c r="E28" s="21" t="s">
        <v>116</v>
      </c>
      <c r="F28" s="21" t="s">
        <v>117</v>
      </c>
      <c r="G28" s="21" t="s">
        <v>27</v>
      </c>
      <c r="H28" s="3"/>
      <c r="I28" s="3"/>
      <c r="J28" s="3"/>
    </row>
    <row r="29" spans="1:10" ht="18" customHeight="1">
      <c r="A29" s="3"/>
      <c r="B29" s="3"/>
      <c r="C29" s="9"/>
      <c r="D29" s="9"/>
      <c r="E29" s="9" t="s">
        <v>118</v>
      </c>
      <c r="F29" s="9"/>
      <c r="G29" s="9"/>
      <c r="H29" s="3"/>
      <c r="I29" s="3"/>
      <c r="J29" s="3"/>
    </row>
    <row r="30" spans="1:10" ht="18" customHeight="1">
      <c r="A30" s="3"/>
      <c r="B30" s="3"/>
      <c r="C30" s="21"/>
      <c r="D30" s="21"/>
      <c r="E30" s="21"/>
      <c r="F30" s="21"/>
      <c r="G30" s="21"/>
      <c r="H30" s="3"/>
      <c r="I30" s="3"/>
      <c r="J30" s="3"/>
    </row>
    <row r="31" spans="1:10" ht="18" customHeight="1">
      <c r="A31" s="3"/>
      <c r="B31" s="3"/>
      <c r="C31" s="9"/>
      <c r="D31" s="9"/>
      <c r="E31" s="9"/>
      <c r="F31" s="9"/>
      <c r="G31" s="9"/>
      <c r="H31" s="3"/>
      <c r="I31" s="3"/>
      <c r="J31" s="3"/>
    </row>
    <row r="32" spans="1:10" ht="18" customHeight="1">
      <c r="A32" s="3"/>
      <c r="B32" s="3"/>
      <c r="C32" s="21"/>
      <c r="D32" s="21"/>
      <c r="E32" s="21"/>
      <c r="F32" s="21"/>
      <c r="G32" s="21"/>
      <c r="H32" s="3"/>
      <c r="I32" s="3"/>
      <c r="J32" s="3"/>
    </row>
    <row r="33" spans="1:10" ht="18" customHeight="1">
      <c r="A33" s="3"/>
      <c r="B33" s="3"/>
      <c r="C33" s="9"/>
      <c r="D33" s="9"/>
      <c r="E33" s="9"/>
      <c r="F33" s="9"/>
      <c r="G33" s="9"/>
      <c r="H33" s="3"/>
      <c r="I33" s="3"/>
      <c r="J33" s="3"/>
    </row>
    <row r="34" spans="1:10" ht="18" customHeight="1">
      <c r="A34" s="3"/>
      <c r="B34" s="3"/>
      <c r="C34" s="21"/>
      <c r="D34" s="21"/>
      <c r="E34" s="21"/>
      <c r="F34" s="21"/>
      <c r="G34" s="21"/>
      <c r="H34" s="3"/>
      <c r="I34" s="3"/>
      <c r="J34" s="3"/>
    </row>
    <row r="35" spans="1:10" ht="18" customHeight="1">
      <c r="A35" s="3"/>
      <c r="B35" s="3"/>
      <c r="C35" s="9"/>
      <c r="D35" s="9"/>
      <c r="E35" s="9"/>
      <c r="F35" s="9"/>
      <c r="G35" s="9"/>
      <c r="H35" s="3"/>
      <c r="I35" s="3"/>
      <c r="J35" s="3"/>
    </row>
    <row r="36" spans="1:10" ht="18" customHeight="1">
      <c r="A36" s="3"/>
      <c r="B36" s="3"/>
      <c r="C36" s="21"/>
      <c r="D36" s="21"/>
      <c r="E36" s="21"/>
      <c r="F36" s="21"/>
      <c r="G36" s="21"/>
      <c r="H36" s="3"/>
      <c r="I36" s="3"/>
      <c r="J36" s="3"/>
    </row>
    <row r="37" spans="1:10" ht="18" customHeight="1">
      <c r="A37" s="3"/>
      <c r="B37" s="3"/>
      <c r="C37" s="9"/>
      <c r="D37" s="9"/>
      <c r="E37" s="9"/>
      <c r="F37" s="9"/>
      <c r="G37" s="9"/>
      <c r="H37" s="3"/>
      <c r="I37" s="3"/>
      <c r="J37" s="3"/>
    </row>
    <row r="38" spans="1:10" ht="18" customHeight="1">
      <c r="A38" s="3"/>
      <c r="B38" s="3"/>
      <c r="C38" s="21"/>
      <c r="D38" s="21"/>
      <c r="E38" s="21"/>
      <c r="F38" s="21"/>
      <c r="G38" s="21"/>
      <c r="H38" s="3"/>
      <c r="I38" s="3"/>
      <c r="J38" s="3"/>
    </row>
    <row r="39" spans="1:10" ht="18" customHeight="1">
      <c r="A39" s="3"/>
      <c r="B39" s="3"/>
      <c r="C39" s="9"/>
      <c r="D39" s="9"/>
      <c r="E39" s="9"/>
      <c r="F39" s="9"/>
      <c r="G39" s="9"/>
      <c r="H39" s="3"/>
      <c r="I39" s="3"/>
      <c r="J39" s="3"/>
    </row>
    <row r="40" spans="1:10" ht="18" customHeight="1">
      <c r="A40" s="3"/>
      <c r="B40" s="3"/>
      <c r="C40" s="21"/>
      <c r="D40" s="21"/>
      <c r="E40" s="21"/>
      <c r="F40" s="21"/>
      <c r="G40" s="21"/>
      <c r="H40" s="3"/>
      <c r="I40" s="3"/>
      <c r="J40" s="3"/>
    </row>
    <row r="41" spans="1:10" ht="18" customHeight="1">
      <c r="A41" s="3"/>
      <c r="B41" s="3"/>
      <c r="C41" s="9"/>
      <c r="D41" s="9"/>
      <c r="E41" s="9"/>
      <c r="F41" s="9"/>
      <c r="G41" s="9"/>
      <c r="H41" s="3"/>
      <c r="I41" s="3"/>
      <c r="J41" s="3"/>
    </row>
    <row r="42" spans="1:10" ht="18" customHeight="1">
      <c r="A42" s="3"/>
      <c r="B42" s="3"/>
      <c r="C42" s="21"/>
      <c r="D42" s="21"/>
      <c r="E42" s="21"/>
      <c r="F42" s="21"/>
      <c r="G42" s="21"/>
      <c r="H42" s="3"/>
      <c r="I42" s="3"/>
      <c r="J42" s="3"/>
    </row>
    <row r="43" spans="1:10">
      <c r="A43" s="3"/>
      <c r="B43" s="3"/>
      <c r="C43" s="3"/>
      <c r="D43" s="3"/>
      <c r="E43" s="3"/>
      <c r="F43" s="3"/>
      <c r="G43" s="3"/>
      <c r="H43" s="3"/>
      <c r="I43" s="3"/>
      <c r="J43" s="3"/>
    </row>
    <row r="44" spans="1:10" ht="24" customHeight="1">
      <c r="A44" s="3"/>
      <c r="B44" s="22" t="s">
        <v>119</v>
      </c>
      <c r="C44" s="22"/>
      <c r="D44" s="22"/>
      <c r="E44" s="22"/>
      <c r="F44" s="22"/>
      <c r="G44" s="22"/>
      <c r="H44" s="22"/>
      <c r="I44" s="22"/>
      <c r="J44" s="22"/>
    </row>
    <row r="45" spans="1:10" ht="30" customHeight="1">
      <c r="A45" s="3"/>
      <c r="B45" s="15" t="s">
        <v>120</v>
      </c>
      <c r="C45" s="15"/>
      <c r="D45" s="15"/>
      <c r="E45" s="15"/>
      <c r="F45" s="15"/>
      <c r="G45" s="15"/>
      <c r="H45" s="15"/>
      <c r="I45" s="15"/>
      <c r="J45" s="15"/>
    </row>
    <row r="46" spans="1:10">
      <c r="A46" s="3"/>
      <c r="B46" s="3"/>
      <c r="C46" s="18" t="s">
        <v>121</v>
      </c>
      <c r="D46" s="3"/>
      <c r="E46" s="3"/>
      <c r="F46" s="3"/>
      <c r="G46" s="3"/>
      <c r="H46" s="3"/>
      <c r="I46" s="3"/>
      <c r="J46" s="3"/>
    </row>
    <row r="47" spans="1:10">
      <c r="A47" s="3"/>
      <c r="B47" s="3"/>
      <c r="C47" s="23" t="s">
        <v>122</v>
      </c>
      <c r="D47" s="3"/>
      <c r="E47" s="3"/>
      <c r="F47" s="3"/>
      <c r="G47" s="3"/>
      <c r="H47" s="3"/>
      <c r="I47" s="3"/>
      <c r="J47" s="3"/>
    </row>
    <row r="48" spans="1:10">
      <c r="A48" s="3"/>
      <c r="B48" s="3"/>
      <c r="C48" s="24" t="s">
        <v>123</v>
      </c>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row r="51" spans="1:10">
      <c r="A51" s="3"/>
      <c r="B51" s="3"/>
      <c r="C51" s="3"/>
      <c r="D51" s="3"/>
      <c r="E51" s="3"/>
      <c r="F51" s="3"/>
      <c r="G51" s="3"/>
      <c r="H51" s="3"/>
      <c r="I51" s="3"/>
      <c r="J51" s="3"/>
    </row>
    <row r="52" spans="1:10" ht="30" customHeight="1">
      <c r="A52" s="3"/>
      <c r="B52" s="25" t="s">
        <v>124</v>
      </c>
      <c r="C52" s="25"/>
      <c r="D52" s="25"/>
      <c r="E52" s="25"/>
      <c r="F52" s="25"/>
      <c r="G52" s="25"/>
      <c r="H52" s="25"/>
      <c r="I52" s="25"/>
      <c r="J52" s="25"/>
    </row>
    <row r="53" spans="1:10">
      <c r="A53" s="3"/>
      <c r="B53" s="3"/>
      <c r="C53" s="3"/>
      <c r="D53" s="3"/>
      <c r="E53" s="3"/>
      <c r="F53" s="3"/>
      <c r="G53" s="3"/>
      <c r="H53" s="3"/>
      <c r="I53" s="3"/>
      <c r="J53" s="3"/>
    </row>
    <row r="54" spans="1:10" ht="24" customHeight="1">
      <c r="A54" s="3"/>
      <c r="B54" s="26" t="s">
        <v>125</v>
      </c>
      <c r="C54" s="26"/>
      <c r="D54" s="27" t="s">
        <v>126</v>
      </c>
      <c r="E54" s="27"/>
      <c r="F54" s="28" t="s">
        <v>127</v>
      </c>
      <c r="G54" s="28"/>
      <c r="H54" s="29" t="s">
        <v>128</v>
      </c>
      <c r="I54" s="29"/>
      <c r="J54" s="3"/>
    </row>
    <row r="55" spans="1:10" ht="24" customHeight="1">
      <c r="A55" s="3"/>
      <c r="B55" s="30" t="s">
        <v>36</v>
      </c>
      <c r="C55" s="30"/>
      <c r="D55" s="31" t="s">
        <v>129</v>
      </c>
      <c r="E55" s="31"/>
      <c r="F55" s="32" t="s">
        <v>39</v>
      </c>
      <c r="G55" s="32"/>
      <c r="H55" s="33" t="s">
        <v>130</v>
      </c>
      <c r="I55" s="33"/>
      <c r="J55" s="3"/>
    </row>
    <row r="56" spans="1:10" ht="24" customHeight="1">
      <c r="A56" s="3"/>
      <c r="B56" s="27" t="s">
        <v>131</v>
      </c>
      <c r="C56" s="27"/>
      <c r="D56" s="29" t="s">
        <v>132</v>
      </c>
      <c r="E56" s="29"/>
      <c r="F56" s="26" t="s">
        <v>133</v>
      </c>
      <c r="G56" s="26"/>
      <c r="H56" s="27" t="s">
        <v>134</v>
      </c>
      <c r="I56" s="27"/>
      <c r="J56" s="3"/>
    </row>
    <row r="57" spans="1:10" ht="24" customHeight="1">
      <c r="A57" s="3"/>
      <c r="B57" s="28" t="s">
        <v>135</v>
      </c>
      <c r="C57" s="28"/>
      <c r="D57" s="3"/>
      <c r="E57" s="3"/>
      <c r="F57" s="3"/>
      <c r="G57" s="3"/>
      <c r="H57" s="3"/>
      <c r="I57" s="3"/>
      <c r="J57" s="3"/>
    </row>
    <row r="58" spans="1:10">
      <c r="A58" s="3"/>
      <c r="B58" s="3"/>
      <c r="C58" s="3"/>
      <c r="D58" s="3"/>
      <c r="E58" s="3"/>
      <c r="F58" s="3"/>
      <c r="G58" s="3"/>
      <c r="H58" s="3"/>
      <c r="I58" s="3"/>
      <c r="J58" s="3"/>
    </row>
    <row r="59" spans="1:10">
      <c r="A59" s="3"/>
      <c r="B59" s="3"/>
      <c r="C59" s="3"/>
      <c r="D59" s="3"/>
      <c r="E59" s="3"/>
      <c r="F59" s="3"/>
      <c r="G59" s="3"/>
      <c r="H59" s="3"/>
      <c r="I59" s="3"/>
      <c r="J59" s="3"/>
    </row>
    <row r="60" spans="1:10">
      <c r="A60" s="3"/>
      <c r="B60" s="3"/>
      <c r="C60" s="3"/>
      <c r="D60" s="3"/>
      <c r="E60" s="3"/>
      <c r="F60" s="3"/>
      <c r="G60" s="3"/>
      <c r="H60" s="3"/>
      <c r="I60" s="3"/>
      <c r="J60" s="3"/>
    </row>
    <row r="61" spans="1:10">
      <c r="A61" s="3"/>
      <c r="B61" s="3"/>
      <c r="C61" s="3"/>
      <c r="D61" s="3"/>
      <c r="E61" s="3"/>
      <c r="F61" s="3"/>
      <c r="G61" s="3"/>
      <c r="H61" s="3"/>
      <c r="I61" s="3"/>
      <c r="J61" s="3"/>
    </row>
  </sheetData>
  <sheetProtection password="EC7C" sheet="1" formatCells="0" formatColumns="0" formatRows="0" insertColumns="0" insertRows="0" insertHyperlinks="0" deleteColumns="0" deleteRows="0" sort="0" autoFilter="0"/>
  <mergeCells count="31">
    <mergeCell ref="B2:G2"/>
    <mergeCell ref="B3:G3"/>
    <mergeCell ref="H3:J3"/>
    <mergeCell ref="B5:J5"/>
    <mergeCell ref="C6:D6"/>
    <mergeCell ref="E6:J6"/>
    <mergeCell ref="C7:D7"/>
    <mergeCell ref="E7:J7"/>
    <mergeCell ref="B9:J9"/>
    <mergeCell ref="E10:J10"/>
    <mergeCell ref="E11:J11"/>
    <mergeCell ref="E12:J12"/>
    <mergeCell ref="E13:J13"/>
    <mergeCell ref="E14:J14"/>
    <mergeCell ref="B16:J18"/>
    <mergeCell ref="B44:J44"/>
    <mergeCell ref="B45:J45"/>
    <mergeCell ref="B52:J52"/>
    <mergeCell ref="B54:C54"/>
    <mergeCell ref="D54:E54"/>
    <mergeCell ref="F54:G54"/>
    <mergeCell ref="H54:I54"/>
    <mergeCell ref="B55:C55"/>
    <mergeCell ref="D55:E55"/>
    <mergeCell ref="F55:G55"/>
    <mergeCell ref="H55:I55"/>
    <mergeCell ref="B56:C56"/>
    <mergeCell ref="D56:E56"/>
    <mergeCell ref="F56:G56"/>
    <mergeCell ref="H56:I56"/>
    <mergeCell ref="B57:C57"/>
  </mergeCells>
  <dataValidations count="5">
    <dataValidation type="list" errorStyle="warning" allowBlank="1" showInputMessage="1" showErrorMessage="1" errorTitle="Pick a symbol" error="Choose a currency symbol from the dropdown." sqref="C10">
      <formula1>"$,£,€,₹,¥,kr,R$,A$,C$,CHF"</formula1>
    </dataValidation>
    <dataValidation type="decimal" errorStyle="warning" allowBlank="1" showInputMessage="1" showErrorMessage="1" errorTitle="Check the number" error="Please enter a year (2020-2100)." sqref="C11">
      <formula1>2020</formula1>
      <formula2>2100</formula2>
    </dataValidation>
    <dataValidation type="decimal" errorStyle="warning" allowBlank="1" showInputMessage="1" showErrorMessage="1" errorTitle="Check the number" error="Please enter an hourly wage." sqref="C12">
      <formula1>0</formula1>
      <formula2>10000</formula2>
    </dataValidation>
    <dataValidation type="decimal" errorStyle="warning" allowBlank="1" showInputMessage="1" showErrorMessage="1" errorTitle="Enter a percentage" error="Type a percentage between 0% and 90% - e.g. 10% or 45%." sqref="C13">
      <formula1>0</formula1>
      <formula2>0.9</formula2>
    </dataValidation>
    <dataValidation type="decimal" errorStyle="warning" allowBlank="1" showInputMessage="1" showErrorMessage="1" errorTitle="Enter a percentage" error="Type a percentage between 0% and 90% - e.g. 10% or 45%." sqref="C14">
      <formula1>0</formula1>
      <formula2>0.9</formula2>
    </dataValidation>
  </dataValidations>
  <hyperlinks>
    <hyperlink ref="H3" location="'📊 Dashboard'!A1" display="🏠  Dashboard"/>
    <hyperlink ref="B54" location="'⚙️ Lists &amp; Settings'!A1" display="▶ Settings"/>
    <hyperlink ref="D54" location="'📊 Dashboard'!A1" display="🏠 Home"/>
    <hyperlink ref="F54" location="'🧶 Product Catalog'!A1" display="Products"/>
    <hyperlink ref="H54" location="'🧵 Yarn &amp; Materials'!A1" display="Yarn"/>
    <hyperlink ref="B55" location="'📦 Made &amp; Stocked'!A1" display="Stock"/>
    <hyperlink ref="D55" location="'🏪 Craft Fairs'!A1" display="Fairs"/>
    <hyperlink ref="F55" location="'💰 Sales Log'!A1" display="Sales"/>
    <hyperlink ref="H55" location="'🧮 Event Profit'!A1" display="Event $"/>
    <hyperlink ref="B56" location="'🔄 Reorder List'!A1" display="Reorder"/>
    <hyperlink ref="D56" location="'🎒 Packing Checklist'!A1" display="Packing"/>
    <hyperlink ref="F56" location="'💵 Pricing Calculator'!A1" display="Pricing"/>
    <hyperlink ref="H56" location="'📅 Monthly Summary'!A1" display="Monthly"/>
    <hyperlink ref="B57"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worksheet>
</file>

<file path=xl/worksheets/sheet3.xml><?xml version="1.0" encoding="utf-8"?>
<worksheet xmlns="http://schemas.openxmlformats.org/spreadsheetml/2006/main" xmlns:r="http://schemas.openxmlformats.org/officeDocument/2006/relationships">
  <sheetPr>
    <tabColor rgb="FF5C3A50"/>
    <pageSetUpPr fitToPage="1"/>
  </sheetPr>
  <dimension ref="A1:M111"/>
  <sheetViews>
    <sheetView showGridLines="0" tabSelected="1" zoomScale="90" zoomScaleNormal="90" workbookViewId="0"/>
  </sheetViews>
  <sheetFormatPr defaultRowHeight="15"/>
  <sheetData>
    <row r="1" spans="1:13" ht="7" customHeight="1">
      <c r="A1" s="3"/>
      <c r="B1" s="3"/>
      <c r="C1" s="3"/>
      <c r="D1" s="3"/>
      <c r="E1" s="3"/>
      <c r="F1" s="3"/>
      <c r="G1" s="3"/>
      <c r="H1" s="3"/>
      <c r="I1" s="3"/>
      <c r="J1" s="3"/>
      <c r="K1" s="3"/>
      <c r="L1" s="3"/>
      <c r="M1" s="3"/>
    </row>
    <row r="2" spans="1:13" ht="36" customHeight="1">
      <c r="A2" s="3"/>
      <c r="B2" s="34" t="str">
        <f>IF(BusinessName="","My Crochet Studio",BusinessName)</f>
        <v>Willow &amp; Wren Crochet Studio</v>
      </c>
      <c r="C2" s="34"/>
      <c r="D2" s="34"/>
      <c r="E2" s="34"/>
      <c r="F2" s="34"/>
      <c r="G2" s="34"/>
      <c r="H2" s="25" t="str">
        <f>IF(Message="","Plan it, make it, sell it.",Message)</f>
        <v>Autumn fair season - stock up on chunky yarn!</v>
      </c>
      <c r="I2" s="25"/>
      <c r="J2" s="25"/>
      <c r="K2" s="25"/>
      <c r="L2" s="25"/>
      <c r="M2" s="25"/>
    </row>
    <row r="3" spans="1:13" ht="22" customHeight="1">
      <c r="A3" s="3"/>
      <c r="B3" s="5" t="s">
        <v>136</v>
      </c>
      <c r="C3" s="5"/>
      <c r="D3" s="5"/>
      <c r="E3" s="5"/>
      <c r="F3" s="5"/>
      <c r="G3" s="5"/>
      <c r="H3" s="35" t="s">
        <v>137</v>
      </c>
      <c r="I3" s="35"/>
      <c r="J3" s="35"/>
      <c r="K3" s="35"/>
      <c r="L3" s="35"/>
      <c r="M3" s="35"/>
    </row>
    <row r="4" spans="1:13" ht="8" customHeight="1">
      <c r="A4" s="3"/>
      <c r="B4" s="3"/>
      <c r="C4" s="3"/>
      <c r="D4" s="3"/>
      <c r="E4" s="3"/>
      <c r="F4" s="3"/>
      <c r="G4" s="3"/>
      <c r="H4" s="3"/>
      <c r="I4" s="3"/>
      <c r="J4" s="3"/>
      <c r="K4" s="3"/>
      <c r="L4" s="3"/>
      <c r="M4" s="3"/>
    </row>
    <row r="5" spans="1:13" ht="22" customHeight="1">
      <c r="A5" s="3"/>
      <c r="B5" s="36" t="str">
        <f>"Sales logged: "&amp;TEXT('_Data'!$AI$9,"0")</f>
        <v>Sales logged: 22</v>
      </c>
      <c r="C5" s="36"/>
      <c r="D5" s="36"/>
      <c r="E5" s="37" t="str">
        <f>"Units sold: "&amp;TEXT('_Data'!$AI$8,"#,##0")</f>
        <v>Units sold: 77</v>
      </c>
      <c r="F5" s="37"/>
      <c r="G5" s="37"/>
      <c r="H5" s="38" t="str">
        <f>"Fairs booked: "&amp;TEXT('_Data'!$AI$12,"0")</f>
        <v>Fairs booked: 8</v>
      </c>
      <c r="I5" s="38"/>
      <c r="J5" s="38"/>
      <c r="K5" s="39" t="str">
        <f>IF('_Data'!$AI$15+'_Data'!$AI$16&gt;0,"! Restock needed - see Reorder List","Stock levels look healthy")</f>
        <v>Restock needed - see Reorder List</v>
      </c>
      <c r="L5" s="39"/>
      <c r="M5" s="39"/>
    </row>
    <row r="6" spans="1:13" ht="8" customHeight="1">
      <c r="A6" s="3"/>
      <c r="B6" s="3"/>
      <c r="C6" s="3"/>
      <c r="D6" s="3"/>
      <c r="E6" s="3"/>
      <c r="F6" s="3"/>
      <c r="G6" s="3"/>
      <c r="H6" s="3"/>
      <c r="I6" s="3"/>
      <c r="J6" s="3"/>
      <c r="K6" s="3"/>
      <c r="L6" s="3"/>
      <c r="M6" s="3"/>
    </row>
    <row r="7" spans="1:13" ht="16" customHeight="1">
      <c r="A7" s="3"/>
      <c r="B7" s="40" t="s">
        <v>138</v>
      </c>
      <c r="C7" s="40"/>
      <c r="D7" s="41" t="s">
        <v>139</v>
      </c>
      <c r="E7" s="41"/>
      <c r="F7" s="42" t="s">
        <v>140</v>
      </c>
      <c r="G7" s="42"/>
      <c r="H7" s="43" t="s">
        <v>141</v>
      </c>
      <c r="I7" s="43"/>
      <c r="J7" s="44" t="s">
        <v>142</v>
      </c>
      <c r="K7" s="44"/>
      <c r="L7" s="45" t="s">
        <v>143</v>
      </c>
      <c r="M7" s="45"/>
    </row>
    <row r="8" spans="1:13" ht="26" customHeight="1">
      <c r="A8" s="3"/>
      <c r="B8" s="46" t="str">
        <f>Currency&amp;TEXT('_Data'!$AI$2,"#,##0.00")</f>
        <v>$1,760.00</v>
      </c>
      <c r="C8" s="46"/>
      <c r="D8" s="47" t="str">
        <f>Currency&amp;TEXT('_Data'!$AI$6,"#,##0.00")</f>
        <v>$716.50</v>
      </c>
      <c r="E8" s="47"/>
      <c r="F8" s="48" t="str">
        <f>TEXT('_Data'!$AI$7,"0.0%")</f>
        <v>40.7%</v>
      </c>
      <c r="G8" s="48"/>
      <c r="H8" s="49" t="str">
        <f>TEXT('_Data'!$AI$8,"#,##0")</f>
        <v>77</v>
      </c>
      <c r="I8" s="49"/>
      <c r="J8" s="50" t="str">
        <f>Currency&amp;TEXT('_Data'!$AI$10,"#,##0.00")</f>
        <v>$80.00</v>
      </c>
      <c r="K8" s="50"/>
      <c r="L8" s="51" t="str">
        <f>Currency&amp;TEXT('_Data'!$AI$14,"#,##0.00")</f>
        <v>$270.20</v>
      </c>
      <c r="M8" s="51"/>
    </row>
    <row r="9" spans="1:13" ht="26" customHeight="1">
      <c r="A9" s="3"/>
      <c r="B9" s="46"/>
      <c r="C9" s="46"/>
      <c r="D9" s="47"/>
      <c r="E9" s="47"/>
      <c r="F9" s="48"/>
      <c r="G9" s="48"/>
      <c r="H9" s="49"/>
      <c r="I9" s="49"/>
      <c r="J9" s="50"/>
      <c r="K9" s="50"/>
      <c r="L9" s="51"/>
      <c r="M9" s="51"/>
    </row>
    <row r="10" spans="1:13">
      <c r="A10" s="3"/>
      <c r="B10" s="3"/>
      <c r="C10" s="3"/>
      <c r="D10" s="3"/>
      <c r="E10" s="3"/>
      <c r="F10" s="3"/>
      <c r="G10" s="3"/>
      <c r="H10" s="3"/>
      <c r="I10" s="3"/>
      <c r="J10" s="3"/>
      <c r="K10" s="3"/>
      <c r="L10" s="3"/>
      <c r="M10" s="3"/>
    </row>
    <row r="11" spans="1:13" ht="16" customHeight="1">
      <c r="A11" s="3"/>
      <c r="B11" s="52" t="s">
        <v>144</v>
      </c>
      <c r="C11" s="52"/>
      <c r="D11" s="44" t="s">
        <v>145</v>
      </c>
      <c r="E11" s="44"/>
      <c r="F11" s="42" t="s">
        <v>146</v>
      </c>
      <c r="G11" s="42"/>
      <c r="H11" s="41" t="s">
        <v>147</v>
      </c>
      <c r="I11" s="41"/>
      <c r="J11" s="43" t="s">
        <v>148</v>
      </c>
      <c r="K11" s="43"/>
      <c r="L11" s="53" t="s">
        <v>149</v>
      </c>
      <c r="M11" s="53"/>
    </row>
    <row r="12" spans="1:13" ht="26" customHeight="1">
      <c r="A12" s="3"/>
      <c r="B12" s="54" t="str">
        <f>TEXT('_Data'!$AI$13,"0")&amp;" of "&amp;TEXT('_Data'!$AI$12,"0")</f>
        <v>6 of 8</v>
      </c>
      <c r="C12" s="54"/>
      <c r="D12" s="55" t="str">
        <f>'_Data'!$AI$21</f>
        <v>Online Order Batch</v>
      </c>
      <c r="E12" s="55"/>
      <c r="F12" s="56" t="str">
        <f>'_Data'!$AI$22</f>
        <v>Keychain Charm</v>
      </c>
      <c r="G12" s="56"/>
      <c r="H12" s="57" t="str">
        <f>'_Data'!$AI$23</f>
        <v>Market Tote Bag</v>
      </c>
      <c r="I12" s="57"/>
      <c r="J12" s="58" t="str">
        <f>TEXT('_Data'!$AI$19,"#,##0")</f>
        <v>118</v>
      </c>
      <c r="K12" s="58"/>
      <c r="L12" s="59" t="str">
        <f>Currency&amp;TEXT('_Data'!$AI$17,"#,##0.00")</f>
        <v>$342.70</v>
      </c>
      <c r="M12" s="59"/>
    </row>
    <row r="13" spans="1:13" ht="26" customHeight="1">
      <c r="A13" s="3"/>
      <c r="B13" s="54"/>
      <c r="C13" s="54"/>
      <c r="D13" s="55"/>
      <c r="E13" s="55"/>
      <c r="F13" s="56"/>
      <c r="G13" s="56"/>
      <c r="H13" s="57"/>
      <c r="I13" s="57"/>
      <c r="J13" s="58"/>
      <c r="K13" s="58"/>
      <c r="L13" s="59"/>
      <c r="M13" s="59"/>
    </row>
    <row r="14" spans="1:13">
      <c r="A14" s="3"/>
      <c r="B14" s="3"/>
      <c r="C14" s="3"/>
      <c r="D14" s="3"/>
      <c r="E14" s="3"/>
      <c r="F14" s="3"/>
      <c r="G14" s="3"/>
      <c r="H14" s="3"/>
      <c r="I14" s="3"/>
      <c r="J14" s="3"/>
      <c r="K14" s="3"/>
      <c r="L14" s="3"/>
      <c r="M14" s="3"/>
    </row>
    <row r="15" spans="1:13" ht="22" customHeight="1">
      <c r="A15" s="3"/>
      <c r="B15" s="7" t="s">
        <v>150</v>
      </c>
      <c r="C15" s="7"/>
      <c r="D15" s="7"/>
      <c r="E15" s="7"/>
      <c r="F15" s="7"/>
      <c r="G15" s="7"/>
      <c r="H15" s="7"/>
      <c r="I15" s="7"/>
      <c r="J15" s="7"/>
      <c r="K15" s="7"/>
      <c r="L15" s="7"/>
      <c r="M15" s="7"/>
    </row>
    <row r="16" spans="1:13" ht="20" customHeight="1">
      <c r="A16" s="3"/>
      <c r="B16" s="3"/>
      <c r="C16" s="3"/>
      <c r="D16" s="3"/>
      <c r="E16" s="3"/>
      <c r="F16" s="3"/>
      <c r="G16" s="3"/>
      <c r="H16" s="3"/>
      <c r="I16" s="3"/>
      <c r="J16" s="3"/>
      <c r="K16" s="3"/>
      <c r="L16" s="3"/>
      <c r="M16" s="3"/>
    </row>
    <row r="17" spans="1:13" ht="20" customHeight="1">
      <c r="A17" s="3"/>
      <c r="B17" s="3"/>
      <c r="C17" s="3"/>
      <c r="D17" s="3"/>
      <c r="E17" s="3"/>
      <c r="F17" s="3"/>
      <c r="G17" s="3"/>
      <c r="H17" s="3"/>
      <c r="I17" s="3"/>
      <c r="J17" s="3"/>
      <c r="K17" s="3"/>
      <c r="L17" s="3"/>
      <c r="M17" s="3"/>
    </row>
    <row r="18" spans="1:13" ht="20" customHeight="1">
      <c r="A18" s="3"/>
      <c r="B18" s="3"/>
      <c r="C18" s="3"/>
      <c r="D18" s="3"/>
      <c r="E18" s="3"/>
      <c r="F18" s="3"/>
      <c r="G18" s="3"/>
      <c r="H18" s="3"/>
      <c r="I18" s="3"/>
      <c r="J18" s="3"/>
      <c r="K18" s="3"/>
      <c r="L18" s="3"/>
      <c r="M18" s="3"/>
    </row>
    <row r="19" spans="1:13" ht="20" customHeight="1">
      <c r="A19" s="3"/>
      <c r="B19" s="3"/>
      <c r="C19" s="3"/>
      <c r="D19" s="3"/>
      <c r="E19" s="3"/>
      <c r="F19" s="3"/>
      <c r="G19" s="3"/>
      <c r="H19" s="3"/>
      <c r="I19" s="3"/>
      <c r="J19" s="3"/>
      <c r="K19" s="3"/>
      <c r="L19" s="3"/>
      <c r="M19" s="3"/>
    </row>
    <row r="20" spans="1:13" ht="20" customHeight="1">
      <c r="A20" s="3"/>
      <c r="B20" s="3"/>
      <c r="C20" s="3"/>
      <c r="D20" s="3"/>
      <c r="E20" s="3"/>
      <c r="F20" s="3"/>
      <c r="G20" s="3"/>
      <c r="H20" s="3"/>
      <c r="I20" s="3"/>
      <c r="J20" s="3"/>
      <c r="K20" s="3"/>
      <c r="L20" s="3"/>
      <c r="M20" s="3"/>
    </row>
    <row r="21" spans="1:13" ht="20" customHeight="1">
      <c r="A21" s="3"/>
      <c r="B21" s="3"/>
      <c r="C21" s="3"/>
      <c r="D21" s="3"/>
      <c r="E21" s="3"/>
      <c r="F21" s="3"/>
      <c r="G21" s="3"/>
      <c r="H21" s="3"/>
      <c r="I21" s="3"/>
      <c r="J21" s="3"/>
      <c r="K21" s="3"/>
      <c r="L21" s="3"/>
      <c r="M21" s="3"/>
    </row>
    <row r="22" spans="1:13" ht="20" customHeight="1">
      <c r="A22" s="3"/>
      <c r="B22" s="3"/>
      <c r="C22" s="3"/>
      <c r="D22" s="3"/>
      <c r="E22" s="3"/>
      <c r="F22" s="3"/>
      <c r="G22" s="3"/>
      <c r="H22" s="3"/>
      <c r="I22" s="3"/>
      <c r="J22" s="3"/>
      <c r="K22" s="3"/>
      <c r="L22" s="3"/>
      <c r="M22" s="3"/>
    </row>
    <row r="23" spans="1:13" ht="20" customHeight="1">
      <c r="A23" s="3"/>
      <c r="B23" s="3"/>
      <c r="C23" s="3"/>
      <c r="D23" s="3"/>
      <c r="E23" s="3"/>
      <c r="F23" s="3"/>
      <c r="G23" s="3"/>
      <c r="H23" s="3"/>
      <c r="I23" s="3"/>
      <c r="J23" s="3"/>
      <c r="K23" s="3"/>
      <c r="L23" s="3"/>
      <c r="M23" s="3"/>
    </row>
    <row r="24" spans="1:13" ht="20" customHeight="1">
      <c r="A24" s="3"/>
      <c r="B24" s="3"/>
      <c r="C24" s="3"/>
      <c r="D24" s="3"/>
      <c r="E24" s="3"/>
      <c r="F24" s="3"/>
      <c r="G24" s="3"/>
      <c r="H24" s="3"/>
      <c r="I24" s="3"/>
      <c r="J24" s="3"/>
      <c r="K24" s="3"/>
      <c r="L24" s="3"/>
      <c r="M24" s="3"/>
    </row>
    <row r="25" spans="1:13" ht="20" customHeight="1">
      <c r="A25" s="3"/>
      <c r="B25" s="3"/>
      <c r="C25" s="3"/>
      <c r="D25" s="3"/>
      <c r="E25" s="3"/>
      <c r="F25" s="3"/>
      <c r="G25" s="3"/>
      <c r="H25" s="3"/>
      <c r="I25" s="3"/>
      <c r="J25" s="3"/>
      <c r="K25" s="3"/>
      <c r="L25" s="3"/>
      <c r="M25" s="3"/>
    </row>
    <row r="26" spans="1:13" ht="20" customHeight="1">
      <c r="A26" s="3"/>
      <c r="B26" s="3"/>
      <c r="C26" s="3"/>
      <c r="D26" s="3"/>
      <c r="E26" s="3"/>
      <c r="F26" s="3"/>
      <c r="G26" s="3"/>
      <c r="H26" s="3"/>
      <c r="I26" s="3"/>
      <c r="J26" s="3"/>
      <c r="K26" s="3"/>
      <c r="L26" s="3"/>
      <c r="M26" s="3"/>
    </row>
    <row r="27" spans="1:13" ht="20" customHeight="1">
      <c r="A27" s="3"/>
      <c r="B27" s="3"/>
      <c r="C27" s="3"/>
      <c r="D27" s="3"/>
      <c r="E27" s="3"/>
      <c r="F27" s="3"/>
      <c r="G27" s="3"/>
      <c r="H27" s="3"/>
      <c r="I27" s="3"/>
      <c r="J27" s="3"/>
      <c r="K27" s="3"/>
      <c r="L27" s="3"/>
      <c r="M27" s="3"/>
    </row>
    <row r="28" spans="1:13" ht="20" customHeight="1">
      <c r="A28" s="3"/>
      <c r="B28" s="3"/>
      <c r="C28" s="3"/>
      <c r="D28" s="3"/>
      <c r="E28" s="3"/>
      <c r="F28" s="3"/>
      <c r="G28" s="3"/>
      <c r="H28" s="3"/>
      <c r="I28" s="3"/>
      <c r="J28" s="3"/>
      <c r="K28" s="3"/>
      <c r="L28" s="3"/>
      <c r="M28" s="3"/>
    </row>
    <row r="29" spans="1:13" ht="20" customHeight="1">
      <c r="A29" s="3"/>
      <c r="B29" s="3"/>
      <c r="C29" s="3"/>
      <c r="D29" s="3"/>
      <c r="E29" s="3"/>
      <c r="F29" s="3"/>
      <c r="G29" s="3"/>
      <c r="H29" s="3"/>
      <c r="I29" s="3"/>
      <c r="J29" s="3"/>
      <c r="K29" s="3"/>
      <c r="L29" s="3"/>
      <c r="M29" s="3"/>
    </row>
    <row r="30" spans="1:13" ht="20" customHeight="1">
      <c r="A30" s="3"/>
      <c r="B30" s="3"/>
      <c r="C30" s="3"/>
      <c r="D30" s="3"/>
      <c r="E30" s="3"/>
      <c r="F30" s="3"/>
      <c r="G30" s="3"/>
      <c r="H30" s="3"/>
      <c r="I30" s="3"/>
      <c r="J30" s="3"/>
      <c r="K30" s="3"/>
      <c r="L30" s="3"/>
      <c r="M30" s="3"/>
    </row>
    <row r="31" spans="1:13" ht="20" customHeight="1">
      <c r="A31" s="3"/>
      <c r="B31" s="3"/>
      <c r="C31" s="3"/>
      <c r="D31" s="3"/>
      <c r="E31" s="3"/>
      <c r="F31" s="3"/>
      <c r="G31" s="3"/>
      <c r="H31" s="3"/>
      <c r="I31" s="3"/>
      <c r="J31" s="3"/>
      <c r="K31" s="3"/>
      <c r="L31" s="3"/>
      <c r="M31" s="3"/>
    </row>
    <row r="32" spans="1:13">
      <c r="A32" s="3"/>
      <c r="B32" s="3"/>
      <c r="C32" s="3"/>
      <c r="D32" s="3"/>
      <c r="E32" s="3"/>
      <c r="F32" s="3"/>
      <c r="G32" s="3"/>
      <c r="H32" s="3"/>
      <c r="I32" s="3"/>
      <c r="J32" s="3"/>
      <c r="K32" s="3"/>
      <c r="L32" s="3"/>
      <c r="M32" s="3"/>
    </row>
    <row r="33" spans="1:13" ht="20" customHeight="1">
      <c r="A33" s="3"/>
      <c r="B33" s="3"/>
      <c r="C33" s="3"/>
      <c r="D33" s="3"/>
      <c r="E33" s="3"/>
      <c r="F33" s="3"/>
      <c r="G33" s="3"/>
      <c r="H33" s="3"/>
      <c r="I33" s="3"/>
      <c r="J33" s="3"/>
      <c r="K33" s="3"/>
      <c r="L33" s="3"/>
      <c r="M33" s="3"/>
    </row>
    <row r="34" spans="1:13" ht="20" customHeight="1">
      <c r="A34" s="3"/>
      <c r="B34" s="3"/>
      <c r="C34" s="3"/>
      <c r="D34" s="3"/>
      <c r="E34" s="3"/>
      <c r="F34" s="3"/>
      <c r="G34" s="3"/>
      <c r="H34" s="3"/>
      <c r="I34" s="3"/>
      <c r="J34" s="3"/>
      <c r="K34" s="3"/>
      <c r="L34" s="3"/>
      <c r="M34" s="3"/>
    </row>
    <row r="35" spans="1:13" ht="20" customHeight="1">
      <c r="A35" s="3"/>
      <c r="B35" s="3"/>
      <c r="C35" s="3"/>
      <c r="D35" s="3"/>
      <c r="E35" s="3"/>
      <c r="F35" s="3"/>
      <c r="G35" s="3"/>
      <c r="H35" s="3"/>
      <c r="I35" s="3"/>
      <c r="J35" s="3"/>
      <c r="K35" s="3"/>
      <c r="L35" s="3"/>
      <c r="M35" s="3"/>
    </row>
    <row r="36" spans="1:13" ht="20" customHeight="1">
      <c r="A36" s="3"/>
      <c r="B36" s="3"/>
      <c r="C36" s="3"/>
      <c r="D36" s="3"/>
      <c r="E36" s="3"/>
      <c r="F36" s="3"/>
      <c r="G36" s="3"/>
      <c r="H36" s="3"/>
      <c r="I36" s="3"/>
      <c r="J36" s="3"/>
      <c r="K36" s="3"/>
      <c r="L36" s="3"/>
      <c r="M36" s="3"/>
    </row>
    <row r="37" spans="1:13" ht="20" customHeight="1">
      <c r="A37" s="3"/>
      <c r="B37" s="3"/>
      <c r="C37" s="3"/>
      <c r="D37" s="3"/>
      <c r="E37" s="3"/>
      <c r="F37" s="3"/>
      <c r="G37" s="3"/>
      <c r="H37" s="3"/>
      <c r="I37" s="3"/>
      <c r="J37" s="3"/>
      <c r="K37" s="3"/>
      <c r="L37" s="3"/>
      <c r="M37" s="3"/>
    </row>
    <row r="38" spans="1:13" ht="20" customHeight="1">
      <c r="A38" s="3"/>
      <c r="B38" s="3"/>
      <c r="C38" s="3"/>
      <c r="D38" s="3"/>
      <c r="E38" s="3"/>
      <c r="F38" s="3"/>
      <c r="G38" s="3"/>
      <c r="H38" s="3"/>
      <c r="I38" s="3"/>
      <c r="J38" s="3"/>
      <c r="K38" s="3"/>
      <c r="L38" s="3"/>
      <c r="M38" s="3"/>
    </row>
    <row r="39" spans="1:13" ht="20" customHeight="1">
      <c r="A39" s="3"/>
      <c r="B39" s="3"/>
      <c r="C39" s="3"/>
      <c r="D39" s="3"/>
      <c r="E39" s="3"/>
      <c r="F39" s="3"/>
      <c r="G39" s="3"/>
      <c r="H39" s="3"/>
      <c r="I39" s="3"/>
      <c r="J39" s="3"/>
      <c r="K39" s="3"/>
      <c r="L39" s="3"/>
      <c r="M39" s="3"/>
    </row>
    <row r="40" spans="1:13" ht="20" customHeight="1">
      <c r="A40" s="3"/>
      <c r="B40" s="3"/>
      <c r="C40" s="3"/>
      <c r="D40" s="3"/>
      <c r="E40" s="3"/>
      <c r="F40" s="3"/>
      <c r="G40" s="3"/>
      <c r="H40" s="3"/>
      <c r="I40" s="3"/>
      <c r="J40" s="3"/>
      <c r="K40" s="3"/>
      <c r="L40" s="3"/>
      <c r="M40" s="3"/>
    </row>
    <row r="41" spans="1:13" ht="20" customHeight="1">
      <c r="A41" s="3"/>
      <c r="B41" s="3"/>
      <c r="C41" s="3"/>
      <c r="D41" s="3"/>
      <c r="E41" s="3"/>
      <c r="F41" s="3"/>
      <c r="G41" s="3"/>
      <c r="H41" s="3"/>
      <c r="I41" s="3"/>
      <c r="J41" s="3"/>
      <c r="K41" s="3"/>
      <c r="L41" s="3"/>
      <c r="M41" s="3"/>
    </row>
    <row r="42" spans="1:13" ht="20" customHeight="1">
      <c r="A42" s="3"/>
      <c r="B42" s="3"/>
      <c r="C42" s="3"/>
      <c r="D42" s="3"/>
      <c r="E42" s="3"/>
      <c r="F42" s="3"/>
      <c r="G42" s="3"/>
      <c r="H42" s="3"/>
      <c r="I42" s="3"/>
      <c r="J42" s="3"/>
      <c r="K42" s="3"/>
      <c r="L42" s="3"/>
      <c r="M42" s="3"/>
    </row>
    <row r="43" spans="1:13" ht="20" customHeight="1">
      <c r="A43" s="3"/>
      <c r="B43" s="3"/>
      <c r="C43" s="3"/>
      <c r="D43" s="3"/>
      <c r="E43" s="3"/>
      <c r="F43" s="3"/>
      <c r="G43" s="3"/>
      <c r="H43" s="3"/>
      <c r="I43" s="3"/>
      <c r="J43" s="3"/>
      <c r="K43" s="3"/>
      <c r="L43" s="3"/>
      <c r="M43" s="3"/>
    </row>
    <row r="44" spans="1:13" ht="20" customHeight="1">
      <c r="A44" s="3"/>
      <c r="B44" s="3"/>
      <c r="C44" s="3"/>
      <c r="D44" s="3"/>
      <c r="E44" s="3"/>
      <c r="F44" s="3"/>
      <c r="G44" s="3"/>
      <c r="H44" s="3"/>
      <c r="I44" s="3"/>
      <c r="J44" s="3"/>
      <c r="K44" s="3"/>
      <c r="L44" s="3"/>
      <c r="M44" s="3"/>
    </row>
    <row r="45" spans="1:13" ht="20" customHeight="1">
      <c r="A45" s="3"/>
      <c r="B45" s="3"/>
      <c r="C45" s="3"/>
      <c r="D45" s="3"/>
      <c r="E45" s="3"/>
      <c r="F45" s="3"/>
      <c r="G45" s="3"/>
      <c r="H45" s="3"/>
      <c r="I45" s="3"/>
      <c r="J45" s="3"/>
      <c r="K45" s="3"/>
      <c r="L45" s="3"/>
      <c r="M45" s="3"/>
    </row>
    <row r="46" spans="1:13" ht="20" customHeight="1">
      <c r="A46" s="3"/>
      <c r="B46" s="3"/>
      <c r="C46" s="3"/>
      <c r="D46" s="3"/>
      <c r="E46" s="3"/>
      <c r="F46" s="3"/>
      <c r="G46" s="3"/>
      <c r="H46" s="3"/>
      <c r="I46" s="3"/>
      <c r="J46" s="3"/>
      <c r="K46" s="3"/>
      <c r="L46" s="3"/>
      <c r="M46" s="3"/>
    </row>
    <row r="47" spans="1:13" ht="20" customHeight="1">
      <c r="A47" s="3"/>
      <c r="B47" s="3"/>
      <c r="C47" s="3"/>
      <c r="D47" s="3"/>
      <c r="E47" s="3"/>
      <c r="F47" s="3"/>
      <c r="G47" s="3"/>
      <c r="H47" s="3"/>
      <c r="I47" s="3"/>
      <c r="J47" s="3"/>
      <c r="K47" s="3"/>
      <c r="L47" s="3"/>
      <c r="M47" s="3"/>
    </row>
    <row r="48" spans="1:13" ht="20" customHeight="1">
      <c r="A48" s="3"/>
      <c r="B48" s="3"/>
      <c r="C48" s="3"/>
      <c r="D48" s="3"/>
      <c r="E48" s="3"/>
      <c r="F48" s="3"/>
      <c r="G48" s="3"/>
      <c r="H48" s="3"/>
      <c r="I48" s="3"/>
      <c r="J48" s="3"/>
      <c r="K48" s="3"/>
      <c r="L48" s="3"/>
      <c r="M48" s="3"/>
    </row>
    <row r="49" spans="1:13">
      <c r="A49" s="3"/>
      <c r="B49" s="3"/>
      <c r="C49" s="3"/>
      <c r="D49" s="3"/>
      <c r="E49" s="3"/>
      <c r="F49" s="3"/>
      <c r="G49" s="3"/>
      <c r="H49" s="3"/>
      <c r="I49" s="3"/>
      <c r="J49" s="3"/>
      <c r="K49" s="3"/>
      <c r="L49" s="3"/>
      <c r="M49" s="3"/>
    </row>
    <row r="50" spans="1:13" ht="20" customHeight="1">
      <c r="A50" s="3"/>
      <c r="B50" s="3"/>
      <c r="C50" s="3"/>
      <c r="D50" s="3"/>
      <c r="E50" s="3"/>
      <c r="F50" s="3"/>
      <c r="G50" s="3"/>
      <c r="H50" s="3"/>
      <c r="I50" s="3"/>
      <c r="J50" s="3"/>
      <c r="K50" s="3"/>
      <c r="L50" s="3"/>
      <c r="M50" s="3"/>
    </row>
    <row r="51" spans="1:13" ht="20" customHeight="1">
      <c r="A51" s="3"/>
      <c r="B51" s="3"/>
      <c r="C51" s="3"/>
      <c r="D51" s="3"/>
      <c r="E51" s="3"/>
      <c r="F51" s="3"/>
      <c r="G51" s="3"/>
      <c r="H51" s="3"/>
      <c r="I51" s="3"/>
      <c r="J51" s="3"/>
      <c r="K51" s="3"/>
      <c r="L51" s="3"/>
      <c r="M51" s="3"/>
    </row>
    <row r="52" spans="1:13" ht="20" customHeight="1">
      <c r="A52" s="3"/>
      <c r="B52" s="3"/>
      <c r="C52" s="3"/>
      <c r="D52" s="3"/>
      <c r="E52" s="3"/>
      <c r="F52" s="3"/>
      <c r="G52" s="3"/>
      <c r="H52" s="3"/>
      <c r="I52" s="3"/>
      <c r="J52" s="3"/>
      <c r="K52" s="3"/>
      <c r="L52" s="3"/>
      <c r="M52" s="3"/>
    </row>
    <row r="53" spans="1:13" ht="20" customHeight="1">
      <c r="A53" s="3"/>
      <c r="B53" s="3"/>
      <c r="C53" s="3"/>
      <c r="D53" s="3"/>
      <c r="E53" s="3"/>
      <c r="F53" s="3"/>
      <c r="G53" s="3"/>
      <c r="H53" s="3"/>
      <c r="I53" s="3"/>
      <c r="J53" s="3"/>
      <c r="K53" s="3"/>
      <c r="L53" s="3"/>
      <c r="M53" s="3"/>
    </row>
    <row r="54" spans="1:13" ht="20" customHeight="1">
      <c r="A54" s="3"/>
      <c r="B54" s="3"/>
      <c r="C54" s="3"/>
      <c r="D54" s="3"/>
      <c r="E54" s="3"/>
      <c r="F54" s="3"/>
      <c r="G54" s="3"/>
      <c r="H54" s="3"/>
      <c r="I54" s="3"/>
      <c r="J54" s="3"/>
      <c r="K54" s="3"/>
      <c r="L54" s="3"/>
      <c r="M54" s="3"/>
    </row>
    <row r="55" spans="1:13" ht="20" customHeight="1">
      <c r="A55" s="3"/>
      <c r="B55" s="3"/>
      <c r="C55" s="3"/>
      <c r="D55" s="3"/>
      <c r="E55" s="3"/>
      <c r="F55" s="3"/>
      <c r="G55" s="3"/>
      <c r="H55" s="3"/>
      <c r="I55" s="3"/>
      <c r="J55" s="3"/>
      <c r="K55" s="3"/>
      <c r="L55" s="3"/>
      <c r="M55" s="3"/>
    </row>
    <row r="56" spans="1:13" ht="20" customHeight="1">
      <c r="A56" s="3"/>
      <c r="B56" s="3"/>
      <c r="C56" s="3"/>
      <c r="D56" s="3"/>
      <c r="E56" s="3"/>
      <c r="F56" s="3"/>
      <c r="G56" s="3"/>
      <c r="H56" s="3"/>
      <c r="I56" s="3"/>
      <c r="J56" s="3"/>
      <c r="K56" s="3"/>
      <c r="L56" s="3"/>
      <c r="M56" s="3"/>
    </row>
    <row r="57" spans="1:13" ht="20" customHeight="1">
      <c r="A57" s="3"/>
      <c r="B57" s="3"/>
      <c r="C57" s="3"/>
      <c r="D57" s="3"/>
      <c r="E57" s="3"/>
      <c r="F57" s="3"/>
      <c r="G57" s="3"/>
      <c r="H57" s="3"/>
      <c r="I57" s="3"/>
      <c r="J57" s="3"/>
      <c r="K57" s="3"/>
      <c r="L57" s="3"/>
      <c r="M57" s="3"/>
    </row>
    <row r="58" spans="1:13" ht="20" customHeight="1">
      <c r="A58" s="3"/>
      <c r="B58" s="3"/>
      <c r="C58" s="3"/>
      <c r="D58" s="3"/>
      <c r="E58" s="3"/>
      <c r="F58" s="3"/>
      <c r="G58" s="3"/>
      <c r="H58" s="3"/>
      <c r="I58" s="3"/>
      <c r="J58" s="3"/>
      <c r="K58" s="3"/>
      <c r="L58" s="3"/>
      <c r="M58" s="3"/>
    </row>
    <row r="59" spans="1:13" ht="20" customHeight="1">
      <c r="A59" s="3"/>
      <c r="B59" s="3"/>
      <c r="C59" s="3"/>
      <c r="D59" s="3"/>
      <c r="E59" s="3"/>
      <c r="F59" s="3"/>
      <c r="G59" s="3"/>
      <c r="H59" s="3"/>
      <c r="I59" s="3"/>
      <c r="J59" s="3"/>
      <c r="K59" s="3"/>
      <c r="L59" s="3"/>
      <c r="M59" s="3"/>
    </row>
    <row r="60" spans="1:13" ht="20" customHeight="1">
      <c r="A60" s="3"/>
      <c r="B60" s="3"/>
      <c r="C60" s="3"/>
      <c r="D60" s="3"/>
      <c r="E60" s="3"/>
      <c r="F60" s="3"/>
      <c r="G60" s="3"/>
      <c r="H60" s="3"/>
      <c r="I60" s="3"/>
      <c r="J60" s="3"/>
      <c r="K60" s="3"/>
      <c r="L60" s="3"/>
      <c r="M60" s="3"/>
    </row>
    <row r="61" spans="1:13" ht="20" customHeight="1">
      <c r="A61" s="3"/>
      <c r="B61" s="3"/>
      <c r="C61" s="3"/>
      <c r="D61" s="3"/>
      <c r="E61" s="3"/>
      <c r="F61" s="3"/>
      <c r="G61" s="3"/>
      <c r="H61" s="3"/>
      <c r="I61" s="3"/>
      <c r="J61" s="3"/>
      <c r="K61" s="3"/>
      <c r="L61" s="3"/>
      <c r="M61" s="3"/>
    </row>
    <row r="62" spans="1:13" ht="20" customHeight="1">
      <c r="A62" s="3"/>
      <c r="B62" s="3"/>
      <c r="C62" s="3"/>
      <c r="D62" s="3"/>
      <c r="E62" s="3"/>
      <c r="F62" s="3"/>
      <c r="G62" s="3"/>
      <c r="H62" s="3"/>
      <c r="I62" s="3"/>
      <c r="J62" s="3"/>
      <c r="K62" s="3"/>
      <c r="L62" s="3"/>
      <c r="M62" s="3"/>
    </row>
    <row r="63" spans="1:13" ht="20" customHeight="1">
      <c r="A63" s="3"/>
      <c r="B63" s="3"/>
      <c r="C63" s="3"/>
      <c r="D63" s="3"/>
      <c r="E63" s="3"/>
      <c r="F63" s="3"/>
      <c r="G63" s="3"/>
      <c r="H63" s="3"/>
      <c r="I63" s="3"/>
      <c r="J63" s="3"/>
      <c r="K63" s="3"/>
      <c r="L63" s="3"/>
      <c r="M63" s="3"/>
    </row>
    <row r="64" spans="1:13" ht="20" customHeight="1">
      <c r="A64" s="3"/>
      <c r="B64" s="3"/>
      <c r="C64" s="3"/>
      <c r="D64" s="3"/>
      <c r="E64" s="3"/>
      <c r="F64" s="3"/>
      <c r="G64" s="3"/>
      <c r="H64" s="3"/>
      <c r="I64" s="3"/>
      <c r="J64" s="3"/>
      <c r="K64" s="3"/>
      <c r="L64" s="3"/>
      <c r="M64" s="3"/>
    </row>
    <row r="65" spans="1:13" ht="20" customHeight="1">
      <c r="A65" s="3"/>
      <c r="B65" s="3"/>
      <c r="C65" s="3"/>
      <c r="D65" s="3"/>
      <c r="E65" s="3"/>
      <c r="F65" s="3"/>
      <c r="G65" s="3"/>
      <c r="H65" s="3"/>
      <c r="I65" s="3"/>
      <c r="J65" s="3"/>
      <c r="K65" s="3"/>
      <c r="L65" s="3"/>
      <c r="M65" s="3"/>
    </row>
    <row r="66" spans="1:13">
      <c r="A66" s="3"/>
      <c r="B66" s="3"/>
      <c r="C66" s="3"/>
      <c r="D66" s="3"/>
      <c r="E66" s="3"/>
      <c r="F66" s="3"/>
      <c r="G66" s="3"/>
      <c r="H66" s="3"/>
      <c r="I66" s="3"/>
      <c r="J66" s="3"/>
      <c r="K66" s="3"/>
      <c r="L66" s="3"/>
      <c r="M66" s="3"/>
    </row>
    <row r="67" spans="1:13" ht="22" customHeight="1">
      <c r="A67" s="3"/>
      <c r="B67" s="60" t="s">
        <v>151</v>
      </c>
      <c r="C67" s="60"/>
      <c r="D67" s="60"/>
      <c r="E67" s="60"/>
      <c r="F67" s="60"/>
      <c r="G67" s="60"/>
      <c r="H67" s="60"/>
      <c r="I67" s="60"/>
      <c r="J67" s="60"/>
      <c r="K67" s="60"/>
      <c r="L67" s="60"/>
      <c r="M67" s="60"/>
    </row>
    <row r="68" spans="1:13" ht="22" customHeight="1">
      <c r="A68" s="3"/>
      <c r="B68" s="61" t="s">
        <v>1</v>
      </c>
      <c r="C68" s="62" t="s">
        <v>34</v>
      </c>
      <c r="D68" s="62"/>
      <c r="E68" s="62"/>
      <c r="F68" s="62"/>
      <c r="G68" s="62"/>
      <c r="H68" s="62" t="s">
        <v>35</v>
      </c>
      <c r="I68" s="62" t="s">
        <v>3</v>
      </c>
      <c r="J68" s="62" t="s">
        <v>37</v>
      </c>
      <c r="K68" s="62" t="s">
        <v>7</v>
      </c>
      <c r="L68" s="62"/>
      <c r="M68" s="62"/>
    </row>
    <row r="69" spans="1:13" ht="20" customHeight="1">
      <c r="A69" s="3"/>
      <c r="B69" s="63">
        <v>1</v>
      </c>
      <c r="C69" s="64" t="str">
        <f>IFERROR(INDEX($W$2:$W$25,MATCH(LARGE($Y$2:$Y$25,1),$Y$2:$Y$25,0)),"")</f>
        <v>Market Tote Bag</v>
      </c>
      <c r="D69" s="64"/>
      <c r="E69" s="64"/>
      <c r="F69" s="64"/>
      <c r="G69" s="64"/>
      <c r="H69" s="65">
        <f>IFERROR(INDEX($X$2:$X$25,MATCH($C69,$W$2:$W$25,0)),"")</f>
        <v>8</v>
      </c>
      <c r="I69" s="66">
        <f>IFERROR(LARGE($Y$2:$Y$25,1),0)</f>
        <v>256.0</v>
      </c>
      <c r="J69" s="66">
        <f>IFERROR(INDEX($AB$2:$AB$25,MATCH($C69,$W$2:$W$25,0)),"")</f>
        <v>199.2</v>
      </c>
      <c r="K69" s="67">
        <f>IFERROR(INDEX($AA$2:$AA$25,MATCH($C69,$W$2:$W$25,0)),"")</f>
        <v>0.778125</v>
      </c>
      <c r="L69" s="67"/>
      <c r="M69" s="67"/>
    </row>
    <row r="70" spans="1:13" ht="20" customHeight="1">
      <c r="A70" s="3"/>
      <c r="B70" s="68">
        <v>2</v>
      </c>
      <c r="C70" s="64" t="str">
        <f>IFERROR(INDEX($W$2:$W$25,MATCH(LARGE($Y$2:$Y$25,2),$Y$2:$Y$25,0)),"")</f>
        <v>Flower Coaster Set</v>
      </c>
      <c r="D70" s="64"/>
      <c r="E70" s="64"/>
      <c r="F70" s="64"/>
      <c r="G70" s="64"/>
      <c r="H70" s="65">
        <f>IFERROR(INDEX($X$2:$X$25,MATCH($C70,$W$2:$W$25,0)),"")</f>
        <v>14</v>
      </c>
      <c r="I70" s="66">
        <f>IFERROR(LARGE($Y$2:$Y$25,2),0)</f>
        <v>222.0</v>
      </c>
      <c r="J70" s="66">
        <f>IFERROR(INDEX($AB$2:$AB$25,MATCH($C70,$W$2:$W$25,0)),"")</f>
        <v>186.2</v>
      </c>
      <c r="K70" s="67">
        <f>IFERROR(INDEX($AA$2:$AA$25,MATCH($C70,$W$2:$W$25,0)),"")</f>
        <v>0.83125</v>
      </c>
      <c r="L70" s="67"/>
      <c r="M70" s="67"/>
    </row>
    <row r="71" spans="1:13" ht="20" customHeight="1">
      <c r="A71" s="3"/>
      <c r="B71" s="63">
        <v>3</v>
      </c>
      <c r="C71" s="64" t="str">
        <f>IFERROR(INDEX($W$2:$W$25,MATCH(LARGE($Y$2:$Y$25,3),$Y$2:$Y$25,0)),"")</f>
        <v>Keychain Charm</v>
      </c>
      <c r="D71" s="64"/>
      <c r="E71" s="64"/>
      <c r="F71" s="64"/>
      <c r="G71" s="64"/>
      <c r="H71" s="65">
        <f>IFERROR(INDEX($X$2:$X$25,MATCH($C71,$W$2:$W$25,0)),"")</f>
        <v>18</v>
      </c>
      <c r="I71" s="66">
        <f>IFERROR(LARGE($Y$2:$Y$25,3),0)</f>
        <v>180.0</v>
      </c>
      <c r="J71" s="66">
        <f>IFERROR(INDEX($AB$2:$AB$25,MATCH($C71,$W$2:$W$25,0)),"")</f>
        <v>153.0</v>
      </c>
      <c r="K71" s="67">
        <f>IFERROR(INDEX($AA$2:$AA$25,MATCH($C71,$W$2:$W$25,0)),"")</f>
        <v>0.85</v>
      </c>
      <c r="L71" s="67"/>
      <c r="M71" s="67"/>
    </row>
    <row r="72" spans="1:13" ht="20" customHeight="1">
      <c r="A72" s="3"/>
      <c r="B72" s="68">
        <v>4</v>
      </c>
      <c r="C72" s="64" t="str">
        <f>IFERROR(INDEX($W$2:$W$25,MATCH(LARGE($Y$2:$Y$25,4),$Y$2:$Y$25,0)),"")</f>
        <v>Amigurumi Bunny</v>
      </c>
      <c r="D72" s="64"/>
      <c r="E72" s="64"/>
      <c r="F72" s="64"/>
      <c r="G72" s="64"/>
      <c r="H72" s="65">
        <f>IFERROR(INDEX($X$2:$X$25,MATCH($C72,$W$2:$W$25,0)),"")</f>
        <v>6</v>
      </c>
      <c r="I72" s="66">
        <f>IFERROR(LARGE($Y$2:$Y$25,4),0)</f>
        <v>168.0</v>
      </c>
      <c r="J72" s="66">
        <f>IFERROR(INDEX($AB$2:$AB$25,MATCH($C72,$W$2:$W$25,0)),"")</f>
        <v>138.0</v>
      </c>
      <c r="K72" s="67">
        <f>IFERROR(INDEX($AA$2:$AA$25,MATCH($C72,$W$2:$W$25,0)),"")</f>
        <v>0.8214285714285714</v>
      </c>
      <c r="L72" s="67"/>
      <c r="M72" s="67"/>
    </row>
    <row r="73" spans="1:13" ht="20" customHeight="1">
      <c r="A73" s="3"/>
      <c r="B73" s="63">
        <v>5</v>
      </c>
      <c r="C73" s="64" t="str">
        <f>IFERROR(INDEX($W$2:$W$25,MATCH(LARGE($Y$2:$Y$25,5),$Y$2:$Y$25,0)),"")</f>
        <v>Table Runner</v>
      </c>
      <c r="D73" s="64"/>
      <c r="E73" s="64"/>
      <c r="F73" s="64"/>
      <c r="G73" s="64"/>
      <c r="H73" s="65">
        <f>IFERROR(INDEX($X$2:$X$25,MATCH($C73,$W$2:$W$25,0)),"")</f>
        <v>3</v>
      </c>
      <c r="I73" s="66">
        <f>IFERROR(LARGE($Y$2:$Y$25,5),0)</f>
        <v>165.0</v>
      </c>
      <c r="J73" s="66">
        <f>IFERROR(INDEX($AB$2:$AB$25,MATCH($C73,$W$2:$W$25,0)),"")</f>
        <v>129.0</v>
      </c>
      <c r="K73" s="67">
        <f>IFERROR(INDEX($AA$2:$AA$25,MATCH($C73,$W$2:$W$25,0)),"")</f>
        <v>0.7818181818181819</v>
      </c>
      <c r="L73" s="67"/>
      <c r="M73" s="67"/>
    </row>
    <row r="74" spans="1:13">
      <c r="A74" s="3"/>
      <c r="B74" s="3"/>
      <c r="C74" s="3"/>
      <c r="D74" s="3"/>
      <c r="E74" s="3"/>
      <c r="F74" s="3"/>
      <c r="G74" s="3"/>
      <c r="H74" s="3"/>
      <c r="I74" s="3"/>
      <c r="J74" s="3"/>
      <c r="K74" s="3"/>
      <c r="L74" s="3"/>
      <c r="M74" s="3"/>
    </row>
    <row r="75" spans="1:13" ht="22" customHeight="1">
      <c r="A75" s="3"/>
      <c r="B75" s="11" t="s">
        <v>152</v>
      </c>
      <c r="C75" s="11"/>
      <c r="D75" s="11"/>
      <c r="E75" s="11"/>
      <c r="F75" s="11"/>
      <c r="G75" s="11"/>
      <c r="H75" s="11"/>
      <c r="I75" s="11"/>
      <c r="J75" s="11"/>
      <c r="K75" s="11"/>
      <c r="L75" s="11"/>
      <c r="M75" s="11"/>
    </row>
    <row r="76" spans="1:13">
      <c r="A76" s="3"/>
      <c r="B76" s="3"/>
      <c r="C76" s="3"/>
      <c r="D76" s="3"/>
      <c r="E76" s="3"/>
      <c r="F76" s="3"/>
      <c r="G76" s="3"/>
      <c r="H76" s="3"/>
      <c r="I76" s="3"/>
      <c r="J76" s="3"/>
      <c r="K76" s="3"/>
      <c r="L76" s="3"/>
      <c r="M76" s="3"/>
    </row>
    <row r="77" spans="1:13" ht="22" customHeight="1">
      <c r="A77" s="3"/>
      <c r="B77" s="39" t="str">
        <f>"Products below minimum: "&amp;TEXT('_Data'!$AI$15,"0")</f>
        <v>Products below minimum: 7</v>
      </c>
      <c r="C77" s="39"/>
      <c r="D77" s="39"/>
      <c r="E77" s="39"/>
      <c r="F77" s="39" t="str">
        <f>"Materials running low: "&amp;TEXT('_Data'!$AI$16,"0")</f>
        <v>Materials running low: 5</v>
      </c>
      <c r="G77" s="39"/>
      <c r="H77" s="39"/>
      <c r="I77" s="39"/>
      <c r="J77" s="69" t="str">
        <f>"Estimated shopping list: "&amp;Currency&amp;TEXT('_Data'!$AI$17,"#,##0.00")</f>
        <v>Estimated shopping list: $342.70</v>
      </c>
      <c r="K77" s="69"/>
      <c r="L77" s="69"/>
      <c r="M77" s="69"/>
    </row>
    <row r="78" spans="1:13">
      <c r="A78" s="3"/>
      <c r="B78" s="3"/>
      <c r="C78" s="3"/>
      <c r="D78" s="3"/>
      <c r="E78" s="3"/>
      <c r="F78" s="3"/>
      <c r="G78" s="3"/>
      <c r="H78" s="3"/>
      <c r="I78" s="3"/>
      <c r="J78" s="3"/>
      <c r="K78" s="3"/>
      <c r="L78" s="3"/>
      <c r="M78" s="3"/>
    </row>
    <row r="79" spans="1:13" ht="26" customHeight="1">
      <c r="A79" s="3"/>
      <c r="B79" s="15" t="s">
        <v>153</v>
      </c>
      <c r="C79" s="15"/>
      <c r="D79" s="15"/>
      <c r="E79" s="15"/>
      <c r="F79" s="15"/>
      <c r="G79" s="15"/>
      <c r="H79" s="15"/>
      <c r="I79" s="15"/>
      <c r="J79" s="15"/>
      <c r="K79" s="15"/>
      <c r="L79" s="15"/>
      <c r="M79" s="15"/>
    </row>
    <row r="80" spans="1:13">
      <c r="A80" s="3"/>
      <c r="B80" s="3"/>
      <c r="C80" s="3"/>
      <c r="D80" s="3"/>
      <c r="E80" s="3"/>
      <c r="F80" s="3"/>
      <c r="G80" s="3"/>
      <c r="H80" s="3"/>
      <c r="I80" s="3"/>
      <c r="J80" s="3"/>
      <c r="K80" s="3"/>
      <c r="L80" s="3"/>
      <c r="M80" s="3"/>
    </row>
    <row r="81" spans="1:13" ht="30" customHeight="1">
      <c r="A81" s="3"/>
      <c r="B81" s="25" t="s">
        <v>154</v>
      </c>
      <c r="C81" s="25"/>
      <c r="D81" s="25"/>
      <c r="E81" s="25"/>
      <c r="F81" s="25"/>
      <c r="G81" s="25"/>
      <c r="H81" s="25"/>
      <c r="I81" s="25"/>
      <c r="J81" s="25"/>
      <c r="K81" s="25"/>
      <c r="L81" s="25"/>
      <c r="M81" s="25"/>
    </row>
    <row r="82" spans="1:13">
      <c r="A82" s="3"/>
      <c r="B82" s="3"/>
      <c r="C82" s="3"/>
      <c r="D82" s="3"/>
      <c r="E82" s="3"/>
      <c r="F82" s="3"/>
      <c r="G82" s="3"/>
      <c r="H82" s="3"/>
      <c r="I82" s="3"/>
      <c r="J82" s="3"/>
      <c r="K82" s="3"/>
      <c r="L82" s="3"/>
      <c r="M82" s="3"/>
    </row>
    <row r="83" spans="1:13" ht="24" customHeight="1">
      <c r="A83" s="3"/>
      <c r="B83" s="26" t="s">
        <v>155</v>
      </c>
      <c r="C83" s="26"/>
      <c r="D83" s="27" t="s">
        <v>156</v>
      </c>
      <c r="E83" s="27"/>
      <c r="F83" s="28" t="s">
        <v>127</v>
      </c>
      <c r="G83" s="28"/>
      <c r="H83" s="29" t="s">
        <v>128</v>
      </c>
      <c r="I83" s="29"/>
      <c r="J83" s="30" t="s">
        <v>36</v>
      </c>
      <c r="K83" s="30"/>
      <c r="L83" s="31" t="s">
        <v>129</v>
      </c>
      <c r="M83" s="31"/>
    </row>
    <row r="84" spans="1:13" ht="24" customHeight="1">
      <c r="A84" s="3"/>
      <c r="B84" s="32" t="s">
        <v>39</v>
      </c>
      <c r="C84" s="32"/>
      <c r="D84" s="33" t="s">
        <v>130</v>
      </c>
      <c r="E84" s="33"/>
      <c r="F84" s="27" t="s">
        <v>131</v>
      </c>
      <c r="G84" s="27"/>
      <c r="H84" s="29" t="s">
        <v>132</v>
      </c>
      <c r="I84" s="29"/>
      <c r="J84" s="26" t="s">
        <v>133</v>
      </c>
      <c r="K84" s="26"/>
      <c r="L84" s="27" t="s">
        <v>134</v>
      </c>
      <c r="M84" s="27"/>
    </row>
    <row r="85" spans="1:13" ht="24" customHeight="1">
      <c r="A85" s="3"/>
      <c r="B85" s="28" t="s">
        <v>135</v>
      </c>
      <c r="C85" s="28"/>
      <c r="D85" s="3"/>
      <c r="E85" s="3"/>
      <c r="F85" s="3"/>
      <c r="G85" s="3"/>
      <c r="H85" s="3"/>
      <c r="I85" s="3"/>
      <c r="J85" s="3"/>
      <c r="K85" s="3"/>
      <c r="L85" s="3"/>
      <c r="M85" s="3"/>
    </row>
    <row r="86" spans="1:13">
      <c r="A86" s="3"/>
      <c r="B86" s="3"/>
      <c r="C86" s="3"/>
      <c r="D86" s="3"/>
      <c r="E86" s="3"/>
      <c r="F86" s="3"/>
      <c r="G86" s="3"/>
      <c r="H86" s="3"/>
      <c r="I86" s="3"/>
      <c r="J86" s="3"/>
      <c r="K86" s="3"/>
      <c r="L86" s="3"/>
      <c r="M86" s="3"/>
    </row>
    <row r="87" spans="1:13">
      <c r="A87" s="3"/>
      <c r="B87" s="3"/>
      <c r="C87" s="3"/>
      <c r="D87" s="3"/>
      <c r="E87" s="3"/>
      <c r="F87" s="3"/>
      <c r="G87" s="3"/>
      <c r="H87" s="3"/>
      <c r="I87" s="3"/>
      <c r="J87" s="3"/>
      <c r="K87" s="3"/>
      <c r="L87" s="3"/>
      <c r="M87" s="3"/>
    </row>
    <row r="88" spans="1:13">
      <c r="A88" s="3"/>
      <c r="B88" s="3"/>
      <c r="C88" s="3"/>
      <c r="D88" s="3"/>
      <c r="E88" s="3"/>
      <c r="F88" s="3"/>
      <c r="G88" s="3"/>
      <c r="H88" s="3"/>
      <c r="I88" s="3"/>
      <c r="J88" s="3"/>
      <c r="K88" s="3"/>
      <c r="L88" s="3"/>
      <c r="M88" s="3"/>
    </row>
    <row r="89" spans="1:13">
      <c r="A89" s="3"/>
      <c r="B89" s="3"/>
      <c r="C89" s="3"/>
      <c r="D89" s="3"/>
      <c r="E89" s="3"/>
      <c r="F89" s="3"/>
      <c r="G89" s="3"/>
      <c r="H89" s="3"/>
      <c r="I89" s="3"/>
      <c r="J89" s="3"/>
      <c r="K89" s="3"/>
      <c r="L89" s="3"/>
      <c r="M89" s="3"/>
    </row>
    <row r="90" spans="1:13">
      <c r="A90" s="3"/>
      <c r="B90" s="3"/>
      <c r="C90" s="3"/>
      <c r="D90" s="3"/>
      <c r="E90" s="3"/>
      <c r="F90" s="3"/>
      <c r="G90" s="3"/>
      <c r="H90" s="3"/>
      <c r="I90" s="3"/>
      <c r="J90" s="3"/>
      <c r="K90" s="3"/>
      <c r="L90" s="3"/>
      <c r="M90" s="3"/>
    </row>
    <row r="91" spans="1:13">
      <c r="A91" s="3"/>
      <c r="B91" s="3"/>
      <c r="C91" s="3"/>
      <c r="D91" s="3"/>
      <c r="E91" s="3"/>
      <c r="F91" s="3"/>
      <c r="G91" s="3"/>
      <c r="H91" s="3"/>
      <c r="I91" s="3"/>
      <c r="J91" s="3"/>
      <c r="K91" s="3"/>
      <c r="L91" s="3"/>
      <c r="M91" s="3"/>
    </row>
    <row r="92" spans="1:13">
      <c r="A92" s="3"/>
      <c r="B92" s="3"/>
      <c r="C92" s="3"/>
      <c r="D92" s="3"/>
      <c r="E92" s="3"/>
      <c r="F92" s="3"/>
      <c r="G92" s="3"/>
      <c r="H92" s="3"/>
      <c r="I92" s="3"/>
      <c r="J92" s="3"/>
      <c r="K92" s="3"/>
      <c r="L92" s="3"/>
      <c r="M92" s="3"/>
    </row>
    <row r="93" spans="1:13">
      <c r="A93" s="3"/>
      <c r="B93" s="3"/>
      <c r="C93" s="3"/>
      <c r="D93" s="3"/>
      <c r="E93" s="3"/>
      <c r="F93" s="3"/>
      <c r="G93" s="3"/>
      <c r="H93" s="3"/>
      <c r="I93" s="3"/>
      <c r="J93" s="3"/>
      <c r="K93" s="3"/>
      <c r="L93" s="3"/>
      <c r="M93" s="3"/>
    </row>
    <row r="94" spans="1:13">
      <c r="A94" s="3"/>
      <c r="B94" s="3"/>
      <c r="C94" s="3"/>
      <c r="D94" s="3"/>
      <c r="E94" s="3"/>
      <c r="F94" s="3"/>
      <c r="G94" s="3"/>
      <c r="H94" s="3"/>
      <c r="I94" s="3"/>
      <c r="J94" s="3"/>
      <c r="K94" s="3"/>
      <c r="L94" s="3"/>
      <c r="M94" s="3"/>
    </row>
    <row r="95" spans="1:13">
      <c r="A95" s="3"/>
      <c r="B95" s="3"/>
      <c r="C95" s="3"/>
      <c r="D95" s="3"/>
      <c r="E95" s="3"/>
      <c r="F95" s="3"/>
      <c r="G95" s="3"/>
      <c r="H95" s="3"/>
      <c r="I95" s="3"/>
      <c r="J95" s="3"/>
      <c r="K95" s="3"/>
      <c r="L95" s="3"/>
      <c r="M95" s="3"/>
    </row>
    <row r="96" spans="1:13">
      <c r="A96" s="3"/>
      <c r="B96" s="3"/>
      <c r="C96" s="3"/>
      <c r="D96" s="3"/>
      <c r="E96" s="3"/>
      <c r="F96" s="3"/>
      <c r="G96" s="3"/>
      <c r="H96" s="3"/>
      <c r="I96" s="3"/>
      <c r="J96" s="3"/>
      <c r="K96" s="3"/>
      <c r="L96" s="3"/>
      <c r="M96" s="3"/>
    </row>
    <row r="97" spans="1:13">
      <c r="A97" s="3"/>
      <c r="B97" s="3"/>
      <c r="C97" s="3"/>
      <c r="D97" s="3"/>
      <c r="E97" s="3"/>
      <c r="F97" s="3"/>
      <c r="G97" s="3"/>
      <c r="H97" s="3"/>
      <c r="I97" s="3"/>
      <c r="J97" s="3"/>
      <c r="K97" s="3"/>
      <c r="L97" s="3"/>
      <c r="M97" s="3"/>
    </row>
    <row r="98" spans="1:13">
      <c r="A98" s="3"/>
      <c r="B98" s="3"/>
      <c r="C98" s="3"/>
      <c r="D98" s="3"/>
      <c r="E98" s="3"/>
      <c r="F98" s="3"/>
      <c r="G98" s="3"/>
      <c r="H98" s="3"/>
      <c r="I98" s="3"/>
      <c r="J98" s="3"/>
      <c r="K98" s="3"/>
      <c r="L98" s="3"/>
      <c r="M98" s="3"/>
    </row>
    <row r="99" spans="1:13">
      <c r="A99" s="3"/>
      <c r="B99" s="3"/>
      <c r="C99" s="3"/>
      <c r="D99" s="3"/>
      <c r="E99" s="3"/>
      <c r="F99" s="3"/>
      <c r="G99" s="3"/>
      <c r="H99" s="3"/>
      <c r="I99" s="3"/>
      <c r="J99" s="3"/>
      <c r="K99" s="3"/>
      <c r="L99" s="3"/>
      <c r="M99" s="3"/>
    </row>
    <row r="100" spans="1:13">
      <c r="A100" s="3"/>
      <c r="B100" s="3"/>
      <c r="C100" s="3"/>
      <c r="D100" s="3"/>
      <c r="E100" s="3"/>
      <c r="F100" s="3"/>
      <c r="G100" s="3"/>
      <c r="H100" s="3"/>
      <c r="I100" s="3"/>
      <c r="J100" s="3"/>
      <c r="K100" s="3"/>
      <c r="L100" s="3"/>
      <c r="M100" s="3"/>
    </row>
    <row r="101" spans="1:13">
      <c r="A101" s="3"/>
      <c r="B101" s="3"/>
      <c r="C101" s="3"/>
      <c r="D101" s="3"/>
      <c r="E101" s="3"/>
      <c r="F101" s="3"/>
      <c r="G101" s="3"/>
      <c r="H101" s="3"/>
      <c r="I101" s="3"/>
      <c r="J101" s="3"/>
      <c r="K101" s="3"/>
      <c r="L101" s="3"/>
      <c r="M101" s="3"/>
    </row>
    <row r="102" spans="1:13">
      <c r="A102" s="3"/>
      <c r="B102" s="3"/>
      <c r="C102" s="3"/>
      <c r="D102" s="3"/>
      <c r="E102" s="3"/>
      <c r="F102" s="3"/>
      <c r="G102" s="3"/>
      <c r="H102" s="3"/>
      <c r="I102" s="3"/>
      <c r="J102" s="3"/>
      <c r="K102" s="3"/>
      <c r="L102" s="3"/>
      <c r="M102" s="3"/>
    </row>
    <row r="103" spans="1:13">
      <c r="A103" s="3"/>
      <c r="B103" s="3"/>
      <c r="C103" s="3"/>
      <c r="D103" s="3"/>
      <c r="E103" s="3"/>
      <c r="F103" s="3"/>
      <c r="G103" s="3"/>
      <c r="H103" s="3"/>
      <c r="I103" s="3"/>
      <c r="J103" s="3"/>
      <c r="K103" s="3"/>
      <c r="L103" s="3"/>
      <c r="M103" s="3"/>
    </row>
    <row r="104" spans="1:13">
      <c r="A104" s="3"/>
      <c r="B104" s="3"/>
      <c r="C104" s="3"/>
      <c r="D104" s="3"/>
      <c r="E104" s="3"/>
      <c r="F104" s="3"/>
      <c r="G104" s="3"/>
      <c r="H104" s="3"/>
      <c r="I104" s="3"/>
      <c r="J104" s="3"/>
      <c r="K104" s="3"/>
      <c r="L104" s="3"/>
      <c r="M104" s="3"/>
    </row>
    <row r="105" spans="1:13">
      <c r="A105" s="3"/>
      <c r="B105" s="3"/>
      <c r="C105" s="3"/>
      <c r="D105" s="3"/>
      <c r="E105" s="3"/>
      <c r="F105" s="3"/>
      <c r="G105" s="3"/>
      <c r="H105" s="3"/>
      <c r="I105" s="3"/>
      <c r="J105" s="3"/>
      <c r="K105" s="3"/>
      <c r="L105" s="3"/>
      <c r="M105" s="3"/>
    </row>
    <row r="106" spans="1:13">
      <c r="A106" s="3"/>
      <c r="B106" s="3"/>
      <c r="C106" s="3"/>
      <c r="D106" s="3"/>
      <c r="E106" s="3"/>
      <c r="F106" s="3"/>
      <c r="G106" s="3"/>
      <c r="H106" s="3"/>
      <c r="I106" s="3"/>
      <c r="J106" s="3"/>
      <c r="K106" s="3"/>
      <c r="L106" s="3"/>
      <c r="M106" s="3"/>
    </row>
    <row r="107" spans="1:13">
      <c r="A107" s="3"/>
      <c r="B107" s="3"/>
      <c r="C107" s="3"/>
      <c r="D107" s="3"/>
      <c r="E107" s="3"/>
      <c r="F107" s="3"/>
      <c r="G107" s="3"/>
      <c r="H107" s="3"/>
      <c r="I107" s="3"/>
      <c r="J107" s="3"/>
      <c r="K107" s="3"/>
      <c r="L107" s="3"/>
      <c r="M107" s="3"/>
    </row>
    <row r="108" spans="1:13">
      <c r="A108" s="3"/>
      <c r="B108" s="3"/>
      <c r="C108" s="3"/>
      <c r="D108" s="3"/>
      <c r="E108" s="3"/>
      <c r="F108" s="3"/>
      <c r="G108" s="3"/>
      <c r="H108" s="3"/>
      <c r="I108" s="3"/>
      <c r="J108" s="3"/>
      <c r="K108" s="3"/>
      <c r="L108" s="3"/>
      <c r="M108" s="3"/>
    </row>
    <row r="109" spans="1:13">
      <c r="A109" s="3"/>
      <c r="B109" s="3"/>
      <c r="C109" s="3"/>
      <c r="D109" s="3"/>
      <c r="E109" s="3"/>
      <c r="F109" s="3"/>
      <c r="G109" s="3"/>
      <c r="H109" s="3"/>
      <c r="I109" s="3"/>
      <c r="J109" s="3"/>
      <c r="K109" s="3"/>
      <c r="L109" s="3"/>
      <c r="M109" s="3"/>
    </row>
    <row r="110" spans="1:13">
      <c r="A110" s="3"/>
      <c r="B110" s="3"/>
      <c r="C110" s="3"/>
      <c r="D110" s="3"/>
      <c r="E110" s="3"/>
      <c r="F110" s="3"/>
      <c r="G110" s="3"/>
      <c r="H110" s="3"/>
      <c r="I110" s="3"/>
      <c r="J110" s="3"/>
      <c r="K110" s="3"/>
      <c r="L110" s="3"/>
      <c r="M110" s="3"/>
    </row>
    <row r="111" spans="1:13">
      <c r="A111" s="3"/>
      <c r="B111" s="3"/>
      <c r="C111" s="3"/>
      <c r="D111" s="3"/>
      <c r="E111" s="3"/>
      <c r="F111" s="3"/>
      <c r="G111" s="3"/>
      <c r="H111" s="3"/>
      <c r="I111" s="3"/>
      <c r="J111" s="3"/>
      <c r="K111" s="3"/>
      <c r="L111" s="3"/>
      <c r="M111" s="3"/>
    </row>
  </sheetData>
  <sheetProtection password="EC7C" sheet="1" formatCells="0" formatColumns="0" formatRows="0" insertColumns="0" insertRows="0" insertHyperlinks="0" deleteColumns="0" deleteRows="0" sort="0" autoFilter="0"/>
  <mergeCells count="65">
    <mergeCell ref="B2:G2"/>
    <mergeCell ref="H2:M2"/>
    <mergeCell ref="B3:G3"/>
    <mergeCell ref="H3:M3"/>
    <mergeCell ref="B5:D5"/>
    <mergeCell ref="E5:G5"/>
    <mergeCell ref="H5:J5"/>
    <mergeCell ref="K5:M5"/>
    <mergeCell ref="B7:C7"/>
    <mergeCell ref="B8:C9"/>
    <mergeCell ref="D7:E7"/>
    <mergeCell ref="D8:E9"/>
    <mergeCell ref="F7:G7"/>
    <mergeCell ref="F8:G9"/>
    <mergeCell ref="H7:I7"/>
    <mergeCell ref="H8:I9"/>
    <mergeCell ref="J7:K7"/>
    <mergeCell ref="J8:K9"/>
    <mergeCell ref="L7:M7"/>
    <mergeCell ref="L8:M9"/>
    <mergeCell ref="B11:C11"/>
    <mergeCell ref="B12:C13"/>
    <mergeCell ref="D11:E11"/>
    <mergeCell ref="D12:E13"/>
    <mergeCell ref="F11:G11"/>
    <mergeCell ref="F12:G13"/>
    <mergeCell ref="H11:I11"/>
    <mergeCell ref="H12:I13"/>
    <mergeCell ref="J11:K11"/>
    <mergeCell ref="J12:K13"/>
    <mergeCell ref="L11:M11"/>
    <mergeCell ref="L12:M13"/>
    <mergeCell ref="B15:M15"/>
    <mergeCell ref="B67:M67"/>
    <mergeCell ref="C68:G68"/>
    <mergeCell ref="K68:M68"/>
    <mergeCell ref="C69:G69"/>
    <mergeCell ref="K69:M69"/>
    <mergeCell ref="C70:G70"/>
    <mergeCell ref="K70:M70"/>
    <mergeCell ref="C71:G71"/>
    <mergeCell ref="K71:M71"/>
    <mergeCell ref="C72:G72"/>
    <mergeCell ref="K72:M72"/>
    <mergeCell ref="C73:G73"/>
    <mergeCell ref="K73:M73"/>
    <mergeCell ref="B75:M75"/>
    <mergeCell ref="B77:E77"/>
    <mergeCell ref="F77:I77"/>
    <mergeCell ref="J77:M77"/>
    <mergeCell ref="B79:M79"/>
    <mergeCell ref="B81:M81"/>
    <mergeCell ref="B83:C83"/>
    <mergeCell ref="D83:E83"/>
    <mergeCell ref="F83:G83"/>
    <mergeCell ref="H83:I83"/>
    <mergeCell ref="J83:K83"/>
    <mergeCell ref="L83:M83"/>
    <mergeCell ref="B84:C84"/>
    <mergeCell ref="D84:E84"/>
    <mergeCell ref="F84:G84"/>
    <mergeCell ref="H84:I84"/>
    <mergeCell ref="J84:K84"/>
    <mergeCell ref="L84:M84"/>
    <mergeCell ref="B85:C85"/>
  </mergeCells>
  <hyperlinks>
    <hyperlink ref="B83" location="'⚙️ Lists &amp; Settings'!A1" display="Settings"/>
    <hyperlink ref="D83" location="'📊 Dashboard'!A1" display="▶ 🏠 Home"/>
    <hyperlink ref="F83" location="'🧶 Product Catalog'!A1" display="Products"/>
    <hyperlink ref="H83" location="'🧵 Yarn &amp; Materials'!A1" display="Yarn"/>
    <hyperlink ref="J83" location="'📦 Made &amp; Stocked'!A1" display="Stock"/>
    <hyperlink ref="L83" location="'🏪 Craft Fairs'!A1" display="Fairs"/>
    <hyperlink ref="B84" location="'💰 Sales Log'!A1" display="Sales"/>
    <hyperlink ref="D84" location="'🧮 Event Profit'!A1" display="Event $"/>
    <hyperlink ref="F84" location="'🔄 Reorder List'!A1" display="Reorder"/>
    <hyperlink ref="H84" location="'🎒 Packing Checklist'!A1" display="Packing"/>
    <hyperlink ref="J84" location="'💵 Pricing Calculator'!A1" display="Pricing"/>
    <hyperlink ref="L84" location="'📅 Monthly Summary'!A1" display="Monthly"/>
    <hyperlink ref="B85"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5268"/>
    <pageSetUpPr fitToPage="1"/>
  </sheetPr>
  <dimension ref="A1:P43"/>
  <sheetViews>
    <sheetView showGridLines="0" zoomScale="85" zoomScaleNormal="85" workbookViewId="0"/>
  </sheetViews>
  <sheetFormatPr defaultRowHeight="15" x14ac:dyDescent="0.25"/>
  <cols>
    <col min="1" max="1" width="2.85546875" customWidth="1"/>
    <col min="2" max="2" width="10.7109375" customWidth="1"/>
    <col min="3" max="3" width="24.7109375" customWidth="1"/>
    <col min="4" max="4" width="16.7109375" customWidth="1"/>
    <col min="5" max="5" width="28.7109375" customWidth="1"/>
    <col min="6" max="10" width="10.7109375" customWidth="1"/>
    <col min="11" max="11" width="9.7109375" customWidth="1"/>
    <col min="12" max="14" width="8.7109375" customWidth="1"/>
    <col min="15" max="15" width="15.7109375" customWidth="1"/>
    <col min="16" max="16" width="18.7109375" customWidth="1"/>
  </cols>
  <sheetData>
    <row r="1" spans="1:16" ht="7" customHeight="1" x14ac:dyDescent="0.25">
      <c r="A1" s="3"/>
      <c r="B1" s="3"/>
      <c r="C1" s="3"/>
      <c r="D1" s="3"/>
      <c r="E1" s="3"/>
      <c r="F1" s="3"/>
      <c r="G1" s="3"/>
      <c r="H1" s="3"/>
      <c r="I1" s="3"/>
      <c r="J1" s="3"/>
      <c r="K1" s="3"/>
      <c r="L1" s="3"/>
      <c r="M1" s="3"/>
      <c r="N1" s="3"/>
      <c r="O1" s="3"/>
      <c r="P1" s="3"/>
    </row>
    <row r="2" spans="1:16" ht="32" customHeight="1" x14ac:dyDescent="0.25">
      <c r="A2" s="3"/>
      <c r="B2" s="4" t="s">
        <v>157</v>
      </c>
      <c r="C2" s="4"/>
      <c r="D2" s="4"/>
      <c r="E2" s="4"/>
      <c r="F2" s="4"/>
      <c r="G2" s="4"/>
      <c r="H2" s="4"/>
      <c r="I2" s="4"/>
      <c r="J2" s="4"/>
      <c r="K2" s="4"/>
      <c r="L2" s="4"/>
      <c r="M2" s="4"/>
      <c r="N2" s="3"/>
      <c r="O2" s="3"/>
      <c r="P2" s="3"/>
    </row>
    <row r="3" spans="1:16" ht="18" customHeight="1" x14ac:dyDescent="0.25">
      <c r="A3" s="3"/>
      <c r="B3" s="5" t="s">
        <v>158</v>
      </c>
      <c r="C3" s="5"/>
      <c r="D3" s="5"/>
      <c r="E3" s="5"/>
      <c r="F3" s="5"/>
      <c r="G3" s="5"/>
      <c r="H3" s="5"/>
      <c r="I3" s="5"/>
      <c r="J3" s="5"/>
      <c r="K3" s="5"/>
      <c r="L3" s="5"/>
      <c r="M3" s="5"/>
      <c r="N3" s="6" t="s">
        <v>70</v>
      </c>
      <c r="O3" s="6"/>
      <c r="P3" s="6"/>
    </row>
    <row r="4" spans="1:16" ht="8" customHeight="1" x14ac:dyDescent="0.25">
      <c r="A4" s="3"/>
      <c r="B4" s="3"/>
      <c r="C4" s="3"/>
      <c r="D4" s="3"/>
      <c r="E4" s="3"/>
      <c r="F4" s="3"/>
      <c r="G4" s="3"/>
      <c r="H4" s="3"/>
      <c r="I4" s="3"/>
      <c r="J4" s="3"/>
      <c r="K4" s="3"/>
      <c r="L4" s="3"/>
      <c r="M4" s="3"/>
      <c r="N4" s="3"/>
      <c r="O4" s="3"/>
      <c r="P4" s="3"/>
    </row>
    <row r="5" spans="1:16" ht="22" customHeight="1" x14ac:dyDescent="0.25">
      <c r="A5" s="3"/>
      <c r="B5" s="38">
        <f>"Products: "&amp;TEXT(COUNTA('🧶 Product Catalog'!$C$8:$C$31),"0")</f>
        <v>12</v>
      </c>
      <c r="C5" s="38"/>
      <c r="D5" s="38"/>
      <c r="E5" s="70">
        <f>"Avg price: "&amp;Currency&amp;TEXT(IFERROR(AVERAGE('🧶 Product Catalog'!$F$8:$F$31),0),"#,##0.00")</f>
        <v>36.08</v>
      </c>
      <c r="F5" s="70"/>
      <c r="G5" s="70"/>
      <c r="H5" s="71" t="str">
        <f>"Stock value: "&amp;Currency&amp;TEXT('_Data'!$AI$14,"#,##0.00")</f>
        <v>$270.20</v>
      </c>
      <c r="I5" s="71"/>
      <c r="J5" s="71"/>
      <c r="K5" s="39" t="str">
        <f>IF('_Data'!$AI$15&gt;0,"! "&amp;TEXT('_Data'!$AI$15,"0")&amp;" products low on stock","Stock levels OK")</f>
        <v>! 7 products low on stock</v>
      </c>
      <c r="L5" s="39"/>
      <c r="M5" s="39"/>
      <c r="N5" s="3"/>
      <c r="O5" s="3"/>
      <c r="P5" s="3"/>
    </row>
    <row r="6" spans="1:16" ht="8" customHeight="1" x14ac:dyDescent="0.25">
      <c r="A6" s="3"/>
      <c r="B6" s="3"/>
      <c r="C6" s="3"/>
      <c r="D6" s="3"/>
      <c r="E6" s="3"/>
      <c r="F6" s="3"/>
      <c r="G6" s="3"/>
      <c r="H6" s="3"/>
      <c r="I6" s="3"/>
      <c r="J6" s="3"/>
      <c r="K6" s="3"/>
      <c r="L6" s="3"/>
      <c r="M6" s="3"/>
      <c r="N6" s="3"/>
      <c r="O6" s="3"/>
      <c r="P6" s="3"/>
    </row>
    <row r="7" spans="1:16" ht="36" customHeight="1" x14ac:dyDescent="0.25">
      <c r="A7" s="62" t="s">
        <v>1</v>
      </c>
      <c r="B7" s="62" t="s">
        <v>159</v>
      </c>
      <c r="C7" s="62" t="s">
        <v>34</v>
      </c>
      <c r="D7" s="62" t="s">
        <v>28</v>
      </c>
      <c r="E7" s="62" t="s">
        <v>160</v>
      </c>
      <c r="F7" s="62" t="s">
        <v>161</v>
      </c>
      <c r="G7" s="62" t="s">
        <v>162</v>
      </c>
      <c r="H7" s="62" t="s">
        <v>163</v>
      </c>
      <c r="I7" s="62" t="s">
        <v>164</v>
      </c>
      <c r="J7" s="62" t="s">
        <v>165</v>
      </c>
      <c r="K7" s="62" t="s">
        <v>7</v>
      </c>
      <c r="L7" s="62" t="s">
        <v>166</v>
      </c>
      <c r="M7" s="62" t="s">
        <v>167</v>
      </c>
      <c r="N7" s="62" t="s">
        <v>168</v>
      </c>
      <c r="O7" s="62" t="s">
        <v>169</v>
      </c>
      <c r="P7" s="62" t="s">
        <v>170</v>
      </c>
    </row>
    <row r="8" spans="1:16" ht="22" customHeight="1" x14ac:dyDescent="0.25">
      <c r="A8" s="68"/>
      <c r="B8" s="21" t="s">
        <v>171</v>
      </c>
      <c r="C8" s="21" t="s">
        <v>172</v>
      </c>
      <c r="D8" s="21" t="s">
        <v>95</v>
      </c>
      <c r="E8" s="72" t="s">
        <v>173</v>
      </c>
      <c r="F8" s="73">
        <v>28</v>
      </c>
      <c r="G8" s="73">
        <v>4.2</v>
      </c>
      <c r="H8" s="73">
        <v>0.8</v>
      </c>
      <c r="I8" s="66">
        <f>IF($C8="","",ROUND(N($G8)+N($H8),2))</f>
        <v>5.0</v>
      </c>
      <c r="J8" s="66">
        <f>IF(OR($C8="",$F8=""),"",ROUND($F8-$I8,2))</f>
        <v>23.0</v>
      </c>
      <c r="K8" s="67">
        <f>IF(OR($C8="",$F8=""),"",IFERROR($J8/$F8,0))</f>
        <v>0.8214285714285714</v>
      </c>
      <c r="L8" s="74">
        <v>2.5</v>
      </c>
      <c r="M8" s="65">
        <f>IF($C8="",0,SUMIFS('📦 Made &amp; Stocked'!$J$8:$J$37,'📦 Made &amp; Stocked'!$B$8:$B$37,$C8))</f>
        <v>5</v>
      </c>
      <c r="N8" s="75">
        <v>4</v>
      </c>
      <c r="O8" s="76" t="str">
        <f>IF($C8="","",IF(N($M8)&lt;=0,"🔴 Out of stock",IF(N($M8)&lt;$N8,"🟠 Low stock","🟢 In stock")))</f>
        <v>🟢 In stock</v>
      </c>
      <c r="P8" s="21" t="s">
        <v>174</v>
      </c>
    </row>
    <row r="9" spans="1:16" ht="22" customHeight="1" x14ac:dyDescent="0.25">
      <c r="A9" s="63"/>
      <c r="B9" s="9" t="s">
        <v>175</v>
      </c>
      <c r="C9" s="9" t="s">
        <v>176</v>
      </c>
      <c r="D9" s="9" t="s">
        <v>99</v>
      </c>
      <c r="E9" s="77" t="s">
        <v>177</v>
      </c>
      <c r="F9" s="13">
        <v>24</v>
      </c>
      <c r="G9" s="13">
        <v>5.6</v>
      </c>
      <c r="H9" s="13">
        <v>0.7</v>
      </c>
      <c r="I9" s="66">
        <f>IF($C9="","",ROUND(N($G9)+N($H9),2))</f>
        <v>6.3</v>
      </c>
      <c r="J9" s="66">
        <f>IF(OR($C9="",$F9=""),"",ROUND($F9-$I9,2))</f>
        <v>17.7</v>
      </c>
      <c r="K9" s="67">
        <f>IF(OR($C9="",$F9=""),"",IFERROR($J9/$F9,0))</f>
        <v>0.7374999999999999</v>
      </c>
      <c r="L9" s="78">
        <v>1.5</v>
      </c>
      <c r="M9" s="65">
        <f>IF($C9="",0,SUMIFS('📦 Made &amp; Stocked'!$J$8:$J$37,'📦 Made &amp; Stocked'!$B$8:$B$37,$C9))</f>
        <v>10</v>
      </c>
      <c r="N9" s="79">
        <v>6</v>
      </c>
      <c r="O9" s="76" t="str">
        <f>IF($C9="","",IF(N($M9)&lt;=0,"🔴 Out of stock",IF(N($M9)&lt;$N9,"🟠 Low stock","🟢 In stock")))</f>
        <v>🟢 In stock</v>
      </c>
      <c r="P9" s="9" t="s">
        <v>178</v>
      </c>
    </row>
    <row r="10" spans="1:16" ht="22" customHeight="1" x14ac:dyDescent="0.25">
      <c r="A10" s="68"/>
      <c r="B10" s="21" t="s">
        <v>179</v>
      </c>
      <c r="C10" s="21" t="s">
        <v>180</v>
      </c>
      <c r="D10" s="21" t="s">
        <v>99</v>
      </c>
      <c r="E10" s="72" t="s">
        <v>181</v>
      </c>
      <c r="F10" s="73">
        <v>95</v>
      </c>
      <c r="G10" s="73">
        <v>18.4</v>
      </c>
      <c r="H10" s="73">
        <v>2.2</v>
      </c>
      <c r="I10" s="66">
        <f>IF($C10="","",ROUND(N($G10)+N($H10),2))</f>
        <v>20.6</v>
      </c>
      <c r="J10" s="66">
        <f>IF(OR($C10="",$F10=""),"",ROUND($F10-$I10,2))</f>
        <v>74.4</v>
      </c>
      <c r="K10" s="67">
        <f>IF(OR($C10="",$F10=""),"",IFERROR($J10/$F10,0))</f>
        <v>0.7831578947368422</v>
      </c>
      <c r="L10" s="74">
        <v>12</v>
      </c>
      <c r="M10" s="65">
        <f>IF($C10="",0,SUMIFS('📦 Made &amp; Stocked'!$J$8:$J$37,'📦 Made &amp; Stocked'!$B$8:$B$37,$C10))</f>
        <v>2</v>
      </c>
      <c r="N10" s="75">
        <v>2</v>
      </c>
      <c r="O10" s="76" t="str">
        <f>IF($C10="","",IF(N($M10)&lt;=0,"🔴 Out of stock",IF(N($M10)&lt;$N10,"🟠 Low stock","🟢 In stock")))</f>
        <v>🟢 In stock</v>
      </c>
      <c r="P10" s="21" t="s">
        <v>182</v>
      </c>
    </row>
    <row r="11" spans="1:16" ht="22" customHeight="1" x14ac:dyDescent="0.25">
      <c r="A11" s="63"/>
      <c r="B11" s="9" t="s">
        <v>183</v>
      </c>
      <c r="C11" s="9" t="s">
        <v>184</v>
      </c>
      <c r="D11" s="9" t="s">
        <v>107</v>
      </c>
      <c r="E11" s="77" t="s">
        <v>185</v>
      </c>
      <c r="F11" s="13">
        <v>32</v>
      </c>
      <c r="G11" s="13">
        <v>6.1</v>
      </c>
      <c r="H11" s="13">
        <v>1</v>
      </c>
      <c r="I11" s="66">
        <f>IF($C11="","",ROUND(N($G11)+N($H11),2))</f>
        <v>7.1</v>
      </c>
      <c r="J11" s="66">
        <f>IF(OR($C11="",$F11=""),"",ROUND($F11-$I11,2))</f>
        <v>24.9</v>
      </c>
      <c r="K11" s="67">
        <f>IF(OR($C11="",$F11=""),"",IFERROR($J11/$F11,0))</f>
        <v>0.778125</v>
      </c>
      <c r="L11" s="78">
        <v>3</v>
      </c>
      <c r="M11" s="65">
        <f>IF($C11="",0,SUMIFS('📦 Made &amp; Stocked'!$J$8:$J$37,'📦 Made &amp; Stocked'!$B$8:$B$37,$C11))</f>
        <v>3</v>
      </c>
      <c r="N11" s="79">
        <v>5</v>
      </c>
      <c r="O11" s="76" t="str">
        <f>IF($C11="","",IF(N($M11)&lt;=0,"🔴 Out of stock",IF(N($M11)&lt;$N11,"🟠 Low stock","🟢 In stock")))</f>
        <v>🟠 Low stock</v>
      </c>
      <c r="P11" s="9" t="s">
        <v>186</v>
      </c>
    </row>
    <row r="12" spans="1:16" ht="22" customHeight="1" x14ac:dyDescent="0.25">
      <c r="A12" s="68"/>
      <c r="B12" s="21" t="s">
        <v>187</v>
      </c>
      <c r="C12" s="21" t="s">
        <v>188</v>
      </c>
      <c r="D12" s="21" t="s">
        <v>99</v>
      </c>
      <c r="E12" s="72" t="s">
        <v>189</v>
      </c>
      <c r="F12" s="73">
        <v>38</v>
      </c>
      <c r="G12" s="73">
        <v>8.9</v>
      </c>
      <c r="H12" s="73">
        <v>1.1</v>
      </c>
      <c r="I12" s="66">
        <f>IF($C12="","",ROUND(N($G12)+N($H12),2))</f>
        <v>10.0</v>
      </c>
      <c r="J12" s="66">
        <f>IF(OR($C12="",$F12=""),"",ROUND($F12-$I12,2))</f>
        <v>28.0</v>
      </c>
      <c r="K12" s="67">
        <f>IF(OR($C12="",$F12=""),"",IFERROR($J12/$F12,0))</f>
        <v>0.7368421052631579</v>
      </c>
      <c r="L12" s="74">
        <v>4</v>
      </c>
      <c r="M12" s="65">
        <f>IF($C12="",0,SUMIFS('📦 Made &amp; Stocked'!$J$8:$J$37,'📦 Made &amp; Stocked'!$B$8:$B$37,$C12))</f>
        <v>4</v>
      </c>
      <c r="N12" s="75">
        <v>4</v>
      </c>
      <c r="O12" s="76" t="str">
        <f>IF($C12="","",IF(N($M12)&lt;=0,"🔴 Out of stock",IF(N($M12)&lt;$N12,"🟠 Low stock","🟢 In stock")))</f>
        <v>🟢 In stock</v>
      </c>
      <c r="P12" s="21" t="s">
        <v>190</v>
      </c>
    </row>
    <row r="13" spans="1:16" ht="22" customHeight="1" x14ac:dyDescent="0.25">
      <c r="A13" s="63"/>
      <c r="B13" s="9" t="s">
        <v>191</v>
      </c>
      <c r="C13" s="9" t="s">
        <v>192</v>
      </c>
      <c r="D13" s="9" t="s">
        <v>111</v>
      </c>
      <c r="E13" s="77" t="s">
        <v>193</v>
      </c>
      <c r="F13" s="13">
        <v>18</v>
      </c>
      <c r="G13" s="13">
        <v>2.6</v>
      </c>
      <c r="H13" s="13">
        <v>0.6</v>
      </c>
      <c r="I13" s="66">
        <f>IF($C13="","",ROUND(N($G13)+N($H13),2))</f>
        <v>3.2</v>
      </c>
      <c r="J13" s="66">
        <f>IF(OR($C13="",$F13=""),"",ROUND($F13-$I13,2))</f>
        <v>14.8</v>
      </c>
      <c r="K13" s="67">
        <f>IF(OR($C13="",$F13=""),"",IFERROR($J13/$F13,0))</f>
        <v>0.8222222222222223</v>
      </c>
      <c r="L13" s="78">
        <v>1.2</v>
      </c>
      <c r="M13" s="65">
        <f>IF($C13="",0,SUMIFS('📦 Made &amp; Stocked'!$J$8:$J$37,'📦 Made &amp; Stocked'!$B$8:$B$37,$C13))</f>
        <v>3</v>
      </c>
      <c r="N13" s="79">
        <v>6</v>
      </c>
      <c r="O13" s="76" t="str">
        <f>IF($C13="","",IF(N($M13)&lt;=0,"🔴 Out of stock",IF(N($M13)&lt;$N13,"🟠 Low stock","🟢 In stock")))</f>
        <v>🟠 Low stock</v>
      </c>
      <c r="P13" s="9" t="s">
        <v>194</v>
      </c>
    </row>
    <row r="14" spans="1:16" ht="22" customHeight="1" x14ac:dyDescent="0.25">
      <c r="A14" s="68"/>
      <c r="B14" s="21" t="s">
        <v>195</v>
      </c>
      <c r="C14" s="21" t="s">
        <v>196</v>
      </c>
      <c r="D14" s="21" t="s">
        <v>103</v>
      </c>
      <c r="E14" s="72" t="s">
        <v>197</v>
      </c>
      <c r="F14" s="73">
        <v>16</v>
      </c>
      <c r="G14" s="73">
        <v>2.2</v>
      </c>
      <c r="H14" s="73">
        <v>0.5</v>
      </c>
      <c r="I14" s="66">
        <f>IF($C14="","",ROUND(N($G14)+N($H14),2))</f>
        <v>2.7</v>
      </c>
      <c r="J14" s="66">
        <f>IF(OR($C14="",$F14=""),"",ROUND($F14-$I14,2))</f>
        <v>13.3</v>
      </c>
      <c r="K14" s="67">
        <f>IF(OR($C14="",$F14=""),"",IFERROR($J14/$F14,0))</f>
        <v>0.83125</v>
      </c>
      <c r="L14" s="74">
        <v>1</v>
      </c>
      <c r="M14" s="65">
        <f>IF($C14="",0,SUMIFS('📦 Made &amp; Stocked'!$J$8:$J$37,'📦 Made &amp; Stocked'!$B$8:$B$37,$C14))</f>
        <v>5</v>
      </c>
      <c r="N14" s="75">
        <v>8</v>
      </c>
      <c r="O14" s="76" t="str">
        <f>IF($C14="","",IF(N($M14)&lt;=0,"🔴 Out of stock",IF(N($M14)&lt;$N14,"🟠 Low stock","🟢 In stock")))</f>
        <v>🟠 Low stock</v>
      </c>
      <c r="P14" s="21" t="s">
        <v>198</v>
      </c>
    </row>
    <row r="15" spans="1:16" ht="22" customHeight="1" x14ac:dyDescent="0.25">
      <c r="A15" s="63"/>
      <c r="B15" s="9" t="s">
        <v>199</v>
      </c>
      <c r="C15" s="9" t="s">
        <v>200</v>
      </c>
      <c r="D15" s="9" t="s">
        <v>103</v>
      </c>
      <c r="E15" s="77" t="s">
        <v>201</v>
      </c>
      <c r="F15" s="13">
        <v>75</v>
      </c>
      <c r="G15" s="13">
        <v>16.8</v>
      </c>
      <c r="H15" s="13">
        <v>2</v>
      </c>
      <c r="I15" s="66">
        <f>IF($C15="","",ROUND(N($G15)+N($H15),2))</f>
        <v>18.8</v>
      </c>
      <c r="J15" s="66">
        <f>IF(OR($C15="",$F15=""),"",ROUND($F15-$I15,2))</f>
        <v>56.2</v>
      </c>
      <c r="K15" s="67">
        <f>IF(OR($C15="",$F15=""),"",IFERROR($J15/$F15,0))</f>
        <v>0.7493333333333334</v>
      </c>
      <c r="L15" s="78">
        <v>10</v>
      </c>
      <c r="M15" s="65">
        <f>IF($C15="",0,SUMIFS('📦 Made &amp; Stocked'!$J$8:$J$37,'📦 Made &amp; Stocked'!$B$8:$B$37,$C15))</f>
        <v>1</v>
      </c>
      <c r="N15" s="79">
        <v>2</v>
      </c>
      <c r="O15" s="76" t="str">
        <f>IF($C15="","",IF(N($M15)&lt;=0,"🔴 Out of stock",IF(N($M15)&lt;$N15,"🟠 Low stock","🟢 In stock")))</f>
        <v>🟠 Low stock</v>
      </c>
      <c r="P15" s="9" t="s">
        <v>202</v>
      </c>
    </row>
    <row r="16" spans="1:16" ht="22" customHeight="1" x14ac:dyDescent="0.25">
      <c r="A16" s="68"/>
      <c r="B16" s="21" t="s">
        <v>203</v>
      </c>
      <c r="C16" s="21" t="s">
        <v>204</v>
      </c>
      <c r="D16" s="21" t="s">
        <v>107</v>
      </c>
      <c r="E16" s="72" t="s">
        <v>205</v>
      </c>
      <c r="F16" s="73">
        <v>16</v>
      </c>
      <c r="G16" s="73">
        <v>2.9</v>
      </c>
      <c r="H16" s="73">
        <v>0.5</v>
      </c>
      <c r="I16" s="66">
        <f>IF($C16="","",ROUND(N($G16)+N($H16),2))</f>
        <v>3.4</v>
      </c>
      <c r="J16" s="66">
        <f>IF(OR($C16="",$F16=""),"",ROUND($F16-$I16,2))</f>
        <v>12.6</v>
      </c>
      <c r="K16" s="67">
        <f>IF(OR($C16="",$F16=""),"",IFERROR($J16/$F16,0))</f>
        <v>0.7875</v>
      </c>
      <c r="L16" s="74">
        <v>1</v>
      </c>
      <c r="M16" s="65">
        <f>IF($C16="",0,SUMIFS('📦 Made &amp; Stocked'!$J$8:$J$37,'📦 Made &amp; Stocked'!$B$8:$B$37,$C16))</f>
        <v>0</v>
      </c>
      <c r="N16" s="75">
        <v>4</v>
      </c>
      <c r="O16" s="76" t="str">
        <f>IF($C16="","",IF(N($M16)&lt;=0,"🔴 Out of stock",IF(N($M16)&lt;$N16,"🟠 Low stock","🟢 In stock")))</f>
        <v>🔴 Out of stock</v>
      </c>
      <c r="P16" s="21" t="s">
        <v>206</v>
      </c>
    </row>
    <row r="17" spans="1:16" ht="22" customHeight="1" x14ac:dyDescent="0.25">
      <c r="A17" s="63"/>
      <c r="B17" s="9" t="s">
        <v>207</v>
      </c>
      <c r="C17" s="9" t="s">
        <v>208</v>
      </c>
      <c r="D17" s="9" t="s">
        <v>95</v>
      </c>
      <c r="E17" s="77" t="s">
        <v>209</v>
      </c>
      <c r="F17" s="13">
        <v>26</v>
      </c>
      <c r="G17" s="13">
        <v>4.6</v>
      </c>
      <c r="H17" s="13">
        <v>0.8</v>
      </c>
      <c r="I17" s="66">
        <f>IF($C17="","",ROUND(N($G17)+N($H17),2))</f>
        <v>5.4</v>
      </c>
      <c r="J17" s="66">
        <f>IF(OR($C17="",$F17=""),"",ROUND($F17-$I17,2))</f>
        <v>20.6</v>
      </c>
      <c r="K17" s="67">
        <f>IF(OR($C17="",$F17=""),"",IFERROR($J17/$F17,0))</f>
        <v>0.7923076923076924</v>
      </c>
      <c r="L17" s="78">
        <v>2.5</v>
      </c>
      <c r="M17" s="65">
        <f>IF($C17="",0,SUMIFS('📦 Made &amp; Stocked'!$J$8:$J$37,'📦 Made &amp; Stocked'!$B$8:$B$37,$C17))</f>
        <v>7</v>
      </c>
      <c r="N17" s="79">
        <v>4</v>
      </c>
      <c r="O17" s="76" t="str">
        <f>IF($C17="","",IF(N($M17)&lt;=0,"🔴 Out of stock",IF(N($M17)&lt;$N17,"🟠 Low stock","🟢 In stock")))</f>
        <v>🟢 In stock</v>
      </c>
      <c r="P17" s="9" t="s">
        <v>210</v>
      </c>
    </row>
    <row r="18" spans="1:16" ht="22" customHeight="1" x14ac:dyDescent="0.25">
      <c r="A18" s="68"/>
      <c r="B18" s="21" t="s">
        <v>211</v>
      </c>
      <c r="C18" s="21" t="s">
        <v>212</v>
      </c>
      <c r="D18" s="21" t="s">
        <v>103</v>
      </c>
      <c r="E18" s="72" t="s">
        <v>213</v>
      </c>
      <c r="F18" s="73">
        <v>55</v>
      </c>
      <c r="G18" s="73">
        <v>10.4</v>
      </c>
      <c r="H18" s="73">
        <v>1.6</v>
      </c>
      <c r="I18" s="66">
        <f>IF($C18="","",ROUND(N($G18)+N($H18),2))</f>
        <v>12.0</v>
      </c>
      <c r="J18" s="66">
        <f>IF(OR($C18="",$F18=""),"",ROUND($F18-$I18,2))</f>
        <v>43.0</v>
      </c>
      <c r="K18" s="67">
        <f>IF(OR($C18="",$F18=""),"",IFERROR($J18/$F18,0))</f>
        <v>0.7818181818181819</v>
      </c>
      <c r="L18" s="74">
        <v>7</v>
      </c>
      <c r="M18" s="65">
        <f>IF($C18="",0,SUMIFS('📦 Made &amp; Stocked'!$J$8:$J$37,'📦 Made &amp; Stocked'!$B$8:$B$37,$C18))</f>
        <v>0</v>
      </c>
      <c r="N18" s="75">
        <v>2</v>
      </c>
      <c r="O18" s="76" t="str">
        <f>IF($C18="","",IF(N($M18)&lt;=0,"🔴 Out of stock",IF(N($M18)&lt;$N18,"🟠 Low stock","🟢 In stock")))</f>
        <v>🔴 Out of stock</v>
      </c>
      <c r="P18" s="21" t="s">
        <v>214</v>
      </c>
    </row>
    <row r="19" spans="1:16" ht="22" customHeight="1" x14ac:dyDescent="0.25">
      <c r="A19" s="63"/>
      <c r="B19" s="9" t="s">
        <v>215</v>
      </c>
      <c r="C19" s="9" t="s">
        <v>216</v>
      </c>
      <c r="D19" s="9" t="s">
        <v>107</v>
      </c>
      <c r="E19" s="77" t="s">
        <v>217</v>
      </c>
      <c r="F19" s="13">
        <v>10</v>
      </c>
      <c r="G19" s="13">
        <v>1.1</v>
      </c>
      <c r="H19" s="13">
        <v>0.4</v>
      </c>
      <c r="I19" s="66">
        <f>IF($C19="","",ROUND(N($G19)+N($H19),2))</f>
        <v>1.5</v>
      </c>
      <c r="J19" s="66">
        <f>IF(OR($C19="",$F19=""),"",ROUND($F19-$I19,2))</f>
        <v>8.5</v>
      </c>
      <c r="K19" s="67">
        <f>IF(OR($C19="",$F19=""),"",IFERROR($J19/$F19,0))</f>
        <v>0.85</v>
      </c>
      <c r="L19" s="78">
        <v>0.5</v>
      </c>
      <c r="M19" s="65">
        <f>IF($C19="",0,SUMIFS('📦 Made &amp; Stocked'!$J$8:$J$37,'📦 Made &amp; Stocked'!$B$8:$B$37,$C19))</f>
        <v>0</v>
      </c>
      <c r="N19" s="79">
        <v>6</v>
      </c>
      <c r="O19" s="76" t="str">
        <f>IF($C19="","",IF(N($M19)&lt;=0,"🔴 Out of stock",IF(N($M19)&lt;$N19,"🟠 Low stock","🟢 In stock")))</f>
        <v>🔴 Out of stock</v>
      </c>
      <c r="P19" s="9" t="s">
        <v>218</v>
      </c>
    </row>
    <row r="20" spans="1:16" ht="22" customHeight="1" x14ac:dyDescent="0.25">
      <c r="A20" s="68"/>
      <c r="B20" s="21"/>
      <c r="C20" s="21"/>
      <c r="D20" s="21"/>
      <c r="E20" s="72"/>
      <c r="F20" s="73"/>
      <c r="G20" s="73"/>
      <c r="H20" s="73"/>
      <c r="I20" s="66">
        <f>IF($C20="","",ROUND(N($G20)+N($H20),2))</f>
        <v>0</v>
      </c>
      <c r="J20" s="66">
        <f>IF(OR($C20="",$F20=""),"",ROUND($F20-$I20,2))</f>
        <v>0</v>
      </c>
      <c r="K20" s="67">
        <f>IF(OR($C20="",$F20=""),"",IFERROR($J20/$F20,0))</f>
        <v>0</v>
      </c>
      <c r="L20" s="74"/>
      <c r="M20" s="65">
        <f>IF($C20="",0,SUMIFS('📦 Made &amp; Stocked'!$J$8:$J$37,'📦 Made &amp; Stocked'!$B$8:$B$37,$C20))</f>
        <v>0</v>
      </c>
      <c r="N20" s="75"/>
      <c r="O20" s="76">
        <f>IF($C20="","",IF(N($M20)&lt;=0,"🔴 Out of stock",IF(N($M20)&lt;$N20,"🟠 Low stock","🟢 In stock")))</f>
        <v>0</v>
      </c>
      <c r="P20" s="21"/>
    </row>
    <row r="21" spans="1:16" ht="22" customHeight="1" x14ac:dyDescent="0.25">
      <c r="A21" s="63"/>
      <c r="B21" s="9"/>
      <c r="C21" s="9"/>
      <c r="D21" s="9"/>
      <c r="E21" s="77"/>
      <c r="F21" s="13"/>
      <c r="G21" s="13"/>
      <c r="H21" s="13"/>
      <c r="I21" s="66">
        <f>IF($C21="","",ROUND(N($G21)+N($H21),2))</f>
        <v>0</v>
      </c>
      <c r="J21" s="66">
        <f>IF(OR($C21="",$F21=""),"",ROUND($F21-$I21,2))</f>
        <v>0</v>
      </c>
      <c r="K21" s="67">
        <f>IF(OR($C21="",$F21=""),"",IFERROR($J21/$F21,0))</f>
        <v>0</v>
      </c>
      <c r="L21" s="78"/>
      <c r="M21" s="65">
        <f>IF($C21="",0,SUMIFS('📦 Made &amp; Stocked'!$J$8:$J$37,'📦 Made &amp; Stocked'!$B$8:$B$37,$C21))</f>
        <v>0</v>
      </c>
      <c r="N21" s="79"/>
      <c r="O21" s="76">
        <f>IF($C21="","",IF(N($M21)&lt;=0,"🔴 Out of stock",IF(N($M21)&lt;$N21,"🟠 Low stock","🟢 In stock")))</f>
        <v>0</v>
      </c>
      <c r="P21" s="9"/>
    </row>
    <row r="22" spans="1:16" ht="22" customHeight="1" x14ac:dyDescent="0.25">
      <c r="A22" s="68"/>
      <c r="B22" s="21"/>
      <c r="C22" s="21"/>
      <c r="D22" s="21"/>
      <c r="E22" s="72"/>
      <c r="F22" s="73"/>
      <c r="G22" s="73"/>
      <c r="H22" s="73"/>
      <c r="I22" s="66">
        <f>IF($C22="","",ROUND(N($G22)+N($H22),2))</f>
        <v>0</v>
      </c>
      <c r="J22" s="66">
        <f>IF(OR($C22="",$F22=""),"",ROUND($F22-$I22,2))</f>
        <v>0</v>
      </c>
      <c r="K22" s="67">
        <f>IF(OR($C22="",$F22=""),"",IFERROR($J22/$F22,0))</f>
        <v>0</v>
      </c>
      <c r="L22" s="74"/>
      <c r="M22" s="65">
        <f>IF($C22="",0,SUMIFS('📦 Made &amp; Stocked'!$J$8:$J$37,'📦 Made &amp; Stocked'!$B$8:$B$37,$C22))</f>
        <v>0</v>
      </c>
      <c r="N22" s="75"/>
      <c r="O22" s="76">
        <f>IF($C22="","",IF(N($M22)&lt;=0,"🔴 Out of stock",IF(N($M22)&lt;$N22,"🟠 Low stock","🟢 In stock")))</f>
        <v>0</v>
      </c>
      <c r="P22" s="21"/>
    </row>
    <row r="23" spans="1:16" ht="22" customHeight="1" x14ac:dyDescent="0.25">
      <c r="A23" s="63"/>
      <c r="B23" s="9"/>
      <c r="C23" s="9"/>
      <c r="D23" s="9"/>
      <c r="E23" s="77"/>
      <c r="F23" s="13"/>
      <c r="G23" s="13"/>
      <c r="H23" s="13"/>
      <c r="I23" s="66">
        <f>IF($C23="","",ROUND(N($G23)+N($H23),2))</f>
        <v>0</v>
      </c>
      <c r="J23" s="66">
        <f>IF(OR($C23="",$F23=""),"",ROUND($F23-$I23,2))</f>
        <v>0</v>
      </c>
      <c r="K23" s="67">
        <f>IF(OR($C23="",$F23=""),"",IFERROR($J23/$F23,0))</f>
        <v>0</v>
      </c>
      <c r="L23" s="78"/>
      <c r="M23" s="65">
        <f>IF($C23="",0,SUMIFS('📦 Made &amp; Stocked'!$J$8:$J$37,'📦 Made &amp; Stocked'!$B$8:$B$37,$C23))</f>
        <v>0</v>
      </c>
      <c r="N23" s="79"/>
      <c r="O23" s="76">
        <f>IF($C23="","",IF(N($M23)&lt;=0,"🔴 Out of stock",IF(N($M23)&lt;$N23,"🟠 Low stock","🟢 In stock")))</f>
        <v>0</v>
      </c>
      <c r="P23" s="9"/>
    </row>
    <row r="24" spans="1:16" ht="22" customHeight="1" x14ac:dyDescent="0.25">
      <c r="A24" s="68"/>
      <c r="B24" s="21"/>
      <c r="C24" s="21"/>
      <c r="D24" s="21"/>
      <c r="E24" s="72"/>
      <c r="F24" s="73"/>
      <c r="G24" s="73"/>
      <c r="H24" s="73"/>
      <c r="I24" s="66">
        <f>IF($C24="","",ROUND(N($G24)+N($H24),2))</f>
        <v>0</v>
      </c>
      <c r="J24" s="66">
        <f>IF(OR($C24="",$F24=""),"",ROUND($F24-$I24,2))</f>
        <v>0</v>
      </c>
      <c r="K24" s="67">
        <f>IF(OR($C24="",$F24=""),"",IFERROR($J24/$F24,0))</f>
        <v>0</v>
      </c>
      <c r="L24" s="74"/>
      <c r="M24" s="65">
        <f>IF($C24="",0,SUMIFS('📦 Made &amp; Stocked'!$J$8:$J$37,'📦 Made &amp; Stocked'!$B$8:$B$37,$C24))</f>
        <v>0</v>
      </c>
      <c r="N24" s="75"/>
      <c r="O24" s="76">
        <f>IF($C24="","",IF(N($M24)&lt;=0,"🔴 Out of stock",IF(N($M24)&lt;$N24,"🟠 Low stock","🟢 In stock")))</f>
        <v>0</v>
      </c>
      <c r="P24" s="21"/>
    </row>
    <row r="25" spans="1:16" ht="22" customHeight="1" x14ac:dyDescent="0.25">
      <c r="A25" s="63"/>
      <c r="B25" s="9"/>
      <c r="C25" s="9"/>
      <c r="D25" s="9"/>
      <c r="E25" s="77"/>
      <c r="F25" s="13"/>
      <c r="G25" s="13"/>
      <c r="H25" s="13"/>
      <c r="I25" s="66">
        <f>IF($C25="","",ROUND(N($G25)+N($H25),2))</f>
        <v>0</v>
      </c>
      <c r="J25" s="66">
        <f>IF(OR($C25="",$F25=""),"",ROUND($F25-$I25,2))</f>
        <v>0</v>
      </c>
      <c r="K25" s="67">
        <f>IF(OR($C25="",$F25=""),"",IFERROR($J25/$F25,0))</f>
        <v>0</v>
      </c>
      <c r="L25" s="78"/>
      <c r="M25" s="65">
        <f>IF($C25="",0,SUMIFS('📦 Made &amp; Stocked'!$J$8:$J$37,'📦 Made &amp; Stocked'!$B$8:$B$37,$C25))</f>
        <v>0</v>
      </c>
      <c r="N25" s="79"/>
      <c r="O25" s="76">
        <f>IF($C25="","",IF(N($M25)&lt;=0,"🔴 Out of stock",IF(N($M25)&lt;$N25,"🟠 Low stock","🟢 In stock")))</f>
        <v>0</v>
      </c>
      <c r="P25" s="9"/>
    </row>
    <row r="26" spans="1:16" ht="22" customHeight="1" x14ac:dyDescent="0.25">
      <c r="A26" s="68"/>
      <c r="B26" s="21"/>
      <c r="C26" s="21"/>
      <c r="D26" s="21"/>
      <c r="E26" s="72"/>
      <c r="F26" s="73"/>
      <c r="G26" s="73"/>
      <c r="H26" s="73"/>
      <c r="I26" s="66">
        <f>IF($C26="","",ROUND(N($G26)+N($H26),2))</f>
        <v>0</v>
      </c>
      <c r="J26" s="66">
        <f>IF(OR($C26="",$F26=""),"",ROUND($F26-$I26,2))</f>
        <v>0</v>
      </c>
      <c r="K26" s="67">
        <f>IF(OR($C26="",$F26=""),"",IFERROR($J26/$F26,0))</f>
        <v>0</v>
      </c>
      <c r="L26" s="74"/>
      <c r="M26" s="65">
        <f>IF($C26="",0,SUMIFS('📦 Made &amp; Stocked'!$J$8:$J$37,'📦 Made &amp; Stocked'!$B$8:$B$37,$C26))</f>
        <v>0</v>
      </c>
      <c r="N26" s="75"/>
      <c r="O26" s="76">
        <f>IF($C26="","",IF(N($M26)&lt;=0,"🔴 Out of stock",IF(N($M26)&lt;$N26,"🟠 Low stock","🟢 In stock")))</f>
        <v>0</v>
      </c>
      <c r="P26" s="21"/>
    </row>
    <row r="27" spans="1:16" ht="22" customHeight="1" x14ac:dyDescent="0.25">
      <c r="A27" s="63"/>
      <c r="B27" s="9"/>
      <c r="C27" s="9"/>
      <c r="D27" s="9"/>
      <c r="E27" s="77"/>
      <c r="F27" s="13"/>
      <c r="G27" s="13"/>
      <c r="H27" s="13"/>
      <c r="I27" s="66">
        <f>IF($C27="","",ROUND(N($G27)+N($H27),2))</f>
        <v>0</v>
      </c>
      <c r="J27" s="66">
        <f>IF(OR($C27="",$F27=""),"",ROUND($F27-$I27,2))</f>
        <v>0</v>
      </c>
      <c r="K27" s="67">
        <f>IF(OR($C27="",$F27=""),"",IFERROR($J27/$F27,0))</f>
        <v>0</v>
      </c>
      <c r="L27" s="78"/>
      <c r="M27" s="65">
        <f>IF($C27="",0,SUMIFS('📦 Made &amp; Stocked'!$J$8:$J$37,'📦 Made &amp; Stocked'!$B$8:$B$37,$C27))</f>
        <v>0</v>
      </c>
      <c r="N27" s="79"/>
      <c r="O27" s="76">
        <f>IF($C27="","",IF(N($M27)&lt;=0,"🔴 Out of stock",IF(N($M27)&lt;$N27,"🟠 Low stock","🟢 In stock")))</f>
        <v>0</v>
      </c>
      <c r="P27" s="9"/>
    </row>
    <row r="28" spans="1:16" ht="22" customHeight="1" x14ac:dyDescent="0.25">
      <c r="A28" s="68"/>
      <c r="B28" s="21"/>
      <c r="C28" s="21"/>
      <c r="D28" s="21"/>
      <c r="E28" s="72"/>
      <c r="F28" s="73"/>
      <c r="G28" s="73"/>
      <c r="H28" s="73"/>
      <c r="I28" s="66">
        <f>IF($C28="","",ROUND(N($G28)+N($H28),2))</f>
        <v>0</v>
      </c>
      <c r="J28" s="66">
        <f>IF(OR($C28="",$F28=""),"",ROUND($F28-$I28,2))</f>
        <v>0</v>
      </c>
      <c r="K28" s="67">
        <f>IF(OR($C28="",$F28=""),"",IFERROR($J28/$F28,0))</f>
        <v>0</v>
      </c>
      <c r="L28" s="74"/>
      <c r="M28" s="65">
        <f>IF($C28="",0,SUMIFS('📦 Made &amp; Stocked'!$J$8:$J$37,'📦 Made &amp; Stocked'!$B$8:$B$37,$C28))</f>
        <v>0</v>
      </c>
      <c r="N28" s="75"/>
      <c r="O28" s="76">
        <f>IF($C28="","",IF(N($M28)&lt;=0,"🔴 Out of stock",IF(N($M28)&lt;$N28,"🟠 Low stock","🟢 In stock")))</f>
        <v>0</v>
      </c>
      <c r="P28" s="21"/>
    </row>
    <row r="29" spans="1:16" ht="22" customHeight="1" x14ac:dyDescent="0.25">
      <c r="A29" s="63"/>
      <c r="B29" s="9"/>
      <c r="C29" s="9"/>
      <c r="D29" s="9"/>
      <c r="E29" s="77"/>
      <c r="F29" s="13"/>
      <c r="G29" s="13"/>
      <c r="H29" s="13"/>
      <c r="I29" s="66">
        <f>IF($C29="","",ROUND(N($G29)+N($H29),2))</f>
        <v>0</v>
      </c>
      <c r="J29" s="66">
        <f>IF(OR($C29="",$F29=""),"",ROUND($F29-$I29,2))</f>
        <v>0</v>
      </c>
      <c r="K29" s="67">
        <f>IF(OR($C29="",$F29=""),"",IFERROR($J29/$F29,0))</f>
        <v>0</v>
      </c>
      <c r="L29" s="78"/>
      <c r="M29" s="65">
        <f>IF($C29="",0,SUMIFS('📦 Made &amp; Stocked'!$J$8:$J$37,'📦 Made &amp; Stocked'!$B$8:$B$37,$C29))</f>
        <v>0</v>
      </c>
      <c r="N29" s="79"/>
      <c r="O29" s="76">
        <f>IF($C29="","",IF(N($M29)&lt;=0,"🔴 Out of stock",IF(N($M29)&lt;$N29,"🟠 Low stock","🟢 In stock")))</f>
        <v>0</v>
      </c>
      <c r="P29" s="9"/>
    </row>
    <row r="30" spans="1:16" ht="22" customHeight="1" x14ac:dyDescent="0.25">
      <c r="A30" s="68"/>
      <c r="B30" s="21"/>
      <c r="C30" s="21"/>
      <c r="D30" s="21"/>
      <c r="E30" s="72"/>
      <c r="F30" s="73"/>
      <c r="G30" s="73"/>
      <c r="H30" s="73"/>
      <c r="I30" s="66">
        <f>IF($C30="","",ROUND(N($G30)+N($H30),2))</f>
        <v>0</v>
      </c>
      <c r="J30" s="66">
        <f>IF(OR($C30="",$F30=""),"",ROUND($F30-$I30,2))</f>
        <v>0</v>
      </c>
      <c r="K30" s="67">
        <f>IF(OR($C30="",$F30=""),"",IFERROR($J30/$F30,0))</f>
        <v>0</v>
      </c>
      <c r="L30" s="74"/>
      <c r="M30" s="65">
        <f>IF($C30="",0,SUMIFS('📦 Made &amp; Stocked'!$J$8:$J$37,'📦 Made &amp; Stocked'!$B$8:$B$37,$C30))</f>
        <v>0</v>
      </c>
      <c r="N30" s="75"/>
      <c r="O30" s="76">
        <f>IF($C30="","",IF(N($M30)&lt;=0,"🔴 Out of stock",IF(N($M30)&lt;$N30,"🟠 Low stock","🟢 In stock")))</f>
        <v>0</v>
      </c>
      <c r="P30" s="21"/>
    </row>
    <row r="31" spans="1:16" ht="22" customHeight="1" x14ac:dyDescent="0.25">
      <c r="A31" s="63"/>
      <c r="B31" s="9"/>
      <c r="C31" s="9"/>
      <c r="D31" s="9"/>
      <c r="E31" s="77"/>
      <c r="F31" s="13"/>
      <c r="G31" s="13"/>
      <c r="H31" s="13"/>
      <c r="I31" s="66">
        <f>IF($C31="","",ROUND(N($G31)+N($H31),2))</f>
        <v>0</v>
      </c>
      <c r="J31" s="66">
        <f>IF(OR($C31="",$F31=""),"",ROUND($F31-$I31,2))</f>
        <v>0</v>
      </c>
      <c r="K31" s="67">
        <f>IF(OR($C31="",$F31=""),"",IFERROR($J31/$F31,0))</f>
        <v>0</v>
      </c>
      <c r="L31" s="78"/>
      <c r="M31" s="65">
        <f>IF($C31="",0,SUMIFS('📦 Made &amp; Stocked'!$J$8:$J$37,'📦 Made &amp; Stocked'!$B$8:$B$37,$C31))</f>
        <v>0</v>
      </c>
      <c r="N31" s="79"/>
      <c r="O31" s="76">
        <f>IF($C31="","",IF(N($M31)&lt;=0,"🔴 Out of stock",IF(N($M31)&lt;$N31,"🟠 Low stock","🟢 In stock")))</f>
        <v>0</v>
      </c>
      <c r="P31" s="9"/>
    </row>
    <row r="32" spans="1:16" x14ac:dyDescent="0.25">
      <c r="A32" s="3"/>
      <c r="B32" s="3"/>
      <c r="C32" s="3"/>
      <c r="D32" s="3"/>
      <c r="E32" s="3"/>
      <c r="F32" s="3"/>
      <c r="G32" s="3"/>
      <c r="H32" s="3"/>
      <c r="I32" s="3"/>
      <c r="J32" s="3"/>
      <c r="K32" s="3"/>
      <c r="L32" s="3"/>
      <c r="M32" s="3"/>
      <c r="N32" s="3"/>
      <c r="O32" s="3"/>
      <c r="P32" s="3"/>
    </row>
    <row r="33" spans="1:16" ht="24" customHeight="1" x14ac:dyDescent="0.25">
      <c r="A33" s="3"/>
      <c r="B33" s="80"/>
      <c r="C33" s="81">
        <f>COUNTA('🧶 Product Catalog'!$C$8:$C$31)</f>
        <v>12</v>
      </c>
      <c r="D33" s="82"/>
      <c r="E33" s="82"/>
      <c r="F33" s="83">
        <f>IFERROR(AVERAGE('🧶 Product Catalog'!$F$8:$F$31),0)</f>
        <v>36.08</v>
      </c>
      <c r="G33" s="80"/>
      <c r="H33" s="80"/>
      <c r="I33" s="83">
        <f>IFERROR(AVERAGE('🧶 Product Catalog'!$I$8:$I$31),0)</f>
        <v>8.0</v>
      </c>
      <c r="J33" s="83">
        <f>IFERROR(AVERAGE('🧶 Product Catalog'!$J$8:$J$31),0)</f>
        <v>28.08</v>
      </c>
      <c r="K33" s="80"/>
      <c r="L33" s="80"/>
      <c r="M33" s="84">
        <f>SUM('🧶 Product Catalog'!$M$8:$M$31)</f>
        <v>40</v>
      </c>
      <c r="N33" s="3"/>
      <c r="O33" s="3"/>
      <c r="P33" s="3"/>
    </row>
    <row r="34" spans="1:16" x14ac:dyDescent="0.25">
      <c r="A34" s="3"/>
      <c r="B34" s="3"/>
      <c r="C34" s="3"/>
      <c r="D34" s="3"/>
      <c r="E34" s="3"/>
      <c r="F34" s="3"/>
      <c r="G34" s="3"/>
      <c r="H34" s="3"/>
      <c r="I34" s="3"/>
      <c r="J34" s="3"/>
      <c r="K34" s="3"/>
      <c r="L34" s="3"/>
      <c r="M34" s="3"/>
      <c r="N34" s="3"/>
      <c r="O34" s="3"/>
      <c r="P34" s="3"/>
    </row>
    <row r="35" spans="1:16" ht="22" customHeight="1" x14ac:dyDescent="0.25">
      <c r="A35" s="3"/>
      <c r="B35" s="60" t="s">
        <v>220</v>
      </c>
      <c r="C35" s="60"/>
      <c r="D35" s="60"/>
      <c r="E35" s="60"/>
      <c r="F35" s="60"/>
      <c r="G35" s="60"/>
      <c r="H35" s="60"/>
      <c r="I35" s="60"/>
      <c r="J35" s="60"/>
      <c r="K35" s="60"/>
      <c r="L35" s="60"/>
      <c r="M35" s="60"/>
      <c r="N35" s="60"/>
      <c r="O35" s="60"/>
      <c r="P35" s="60"/>
    </row>
    <row r="36" spans="1:16" ht="51.8" customHeight="1" x14ac:dyDescent="0.25">
      <c r="A36" s="3"/>
      <c r="B36" s="15" t="s">
        <v>221</v>
      </c>
      <c r="C36" s="15"/>
      <c r="D36" s="15"/>
      <c r="E36" s="15"/>
      <c r="F36" s="15"/>
      <c r="G36" s="15"/>
      <c r="H36" s="15"/>
      <c r="I36" s="15"/>
      <c r="J36" s="15"/>
      <c r="K36" s="15"/>
      <c r="L36" s="15"/>
      <c r="M36" s="15"/>
      <c r="N36" s="15"/>
      <c r="O36" s="15"/>
      <c r="P36" s="15"/>
    </row>
    <row r="37" spans="1:16" x14ac:dyDescent="0.25">
      <c r="A37" s="3"/>
      <c r="B37" s="3"/>
      <c r="C37" s="3"/>
      <c r="D37" s="3"/>
      <c r="E37" s="3"/>
      <c r="F37" s="3"/>
      <c r="G37" s="3"/>
      <c r="H37" s="3"/>
      <c r="I37" s="3"/>
      <c r="J37" s="3"/>
      <c r="K37" s="3"/>
      <c r="L37" s="3"/>
      <c r="M37" s="3"/>
      <c r="N37" s="3"/>
      <c r="O37" s="3"/>
      <c r="P37" s="3"/>
    </row>
    <row r="38" spans="1:16" x14ac:dyDescent="0.25">
      <c r="A38" s="3"/>
      <c r="B38" s="3"/>
      <c r="C38" s="3"/>
      <c r="D38" s="3"/>
      <c r="E38" s="3"/>
      <c r="F38" s="3"/>
      <c r="G38" s="3"/>
      <c r="H38" s="3"/>
      <c r="I38" s="3"/>
      <c r="J38" s="3"/>
      <c r="K38" s="3"/>
      <c r="L38" s="3"/>
      <c r="M38" s="3"/>
      <c r="N38" s="3"/>
      <c r="O38" s="3"/>
      <c r="P38" s="3"/>
    </row>
    <row r="39" spans="1:16" x14ac:dyDescent="0.25">
      <c r="A39" s="3"/>
      <c r="B39" s="3"/>
      <c r="C39" s="3"/>
      <c r="D39" s="3"/>
      <c r="E39" s="3"/>
      <c r="F39" s="3"/>
      <c r="G39" s="3"/>
      <c r="H39" s="3"/>
      <c r="I39" s="3"/>
      <c r="J39" s="3"/>
      <c r="K39" s="3"/>
      <c r="L39" s="3"/>
      <c r="M39" s="3"/>
      <c r="N39" s="3"/>
      <c r="O39" s="3"/>
      <c r="P39" s="3"/>
    </row>
    <row r="40" spans="1:16" ht="30" customHeight="1" x14ac:dyDescent="0.25">
      <c r="A40" s="3"/>
      <c r="B40" s="25" t="s">
        <v>222</v>
      </c>
      <c r="C40" s="25"/>
      <c r="D40" s="25"/>
      <c r="E40" s="25"/>
      <c r="F40" s="25"/>
      <c r="G40" s="25"/>
      <c r="H40" s="25"/>
      <c r="I40" s="25"/>
      <c r="J40" s="25"/>
      <c r="K40" s="25"/>
      <c r="L40" s="25"/>
      <c r="M40" s="25"/>
      <c r="N40" s="25"/>
      <c r="O40" s="25"/>
      <c r="P40" s="25"/>
    </row>
    <row r="41" spans="1:16" x14ac:dyDescent="0.25">
      <c r="A41" s="3"/>
      <c r="B41" s="3"/>
      <c r="C41" s="3"/>
      <c r="D41" s="3"/>
      <c r="E41" s="3"/>
      <c r="F41" s="3"/>
      <c r="G41" s="3"/>
      <c r="H41" s="3"/>
      <c r="I41" s="3"/>
      <c r="J41" s="3"/>
      <c r="K41" s="3"/>
      <c r="L41" s="3"/>
      <c r="M41" s="3"/>
      <c r="N41" s="3"/>
      <c r="O41" s="3"/>
      <c r="P41" s="3"/>
    </row>
    <row r="42" spans="1:16" ht="24" customHeight="1" x14ac:dyDescent="0.25">
      <c r="A42" s="3"/>
      <c r="B42" s="26" t="s">
        <v>155</v>
      </c>
      <c r="C42" s="26"/>
      <c r="D42" s="27" t="s">
        <v>126</v>
      </c>
      <c r="E42" s="27"/>
      <c r="F42" s="28" t="s">
        <v>223</v>
      </c>
      <c r="G42" s="28"/>
      <c r="H42" s="29" t="s">
        <v>128</v>
      </c>
      <c r="I42" s="29"/>
      <c r="J42" s="30" t="s">
        <v>36</v>
      </c>
      <c r="K42" s="30"/>
      <c r="L42" s="31" t="s">
        <v>129</v>
      </c>
      <c r="M42" s="31"/>
      <c r="N42" s="32" t="s">
        <v>39</v>
      </c>
      <c r="O42" s="32"/>
      <c r="P42" s="3"/>
    </row>
    <row r="43" spans="1:16" ht="24" customHeight="1" x14ac:dyDescent="0.25">
      <c r="B43" s="33" t="s">
        <v>130</v>
      </c>
      <c r="C43" s="33"/>
      <c r="D43" s="27" t="s">
        <v>131</v>
      </c>
      <c r="E43" s="27"/>
      <c r="F43" s="29" t="s">
        <v>132</v>
      </c>
      <c r="G43" s="29"/>
      <c r="H43" s="26" t="s">
        <v>133</v>
      </c>
      <c r="I43" s="26"/>
      <c r="J43" s="27" t="s">
        <v>134</v>
      </c>
      <c r="K43" s="27"/>
      <c r="L43" s="28" t="s">
        <v>135</v>
      </c>
      <c r="M43" s="28"/>
    </row>
  </sheetData>
  <sheetProtection password="EC7C" sheet="1" formatCells="0" formatColumns="0" formatRows="0" insertColumns="0" insertRows="0" insertHyperlinks="0" deleteColumns="0" deleteRows="0" sort="0" autoFilter="0"/>
  <mergeCells count="25">
    <mergeCell ref="B2:M2"/>
    <mergeCell ref="B3:M3"/>
    <mergeCell ref="N3:P3"/>
    <mergeCell ref="B5:D5"/>
    <mergeCell ref="E5:G5"/>
    <mergeCell ref="H5:J5"/>
    <mergeCell ref="K5:M5"/>
    <mergeCell ref="N5:P5"/>
    <mergeCell ref="C33:E33"/>
    <mergeCell ref="B35:P35"/>
    <mergeCell ref="B36:P36"/>
    <mergeCell ref="B40:P40"/>
    <mergeCell ref="B42:C42"/>
    <mergeCell ref="D42:E42"/>
    <mergeCell ref="F42:G42"/>
    <mergeCell ref="H42:I42"/>
    <mergeCell ref="J42:K42"/>
    <mergeCell ref="L42:M42"/>
    <mergeCell ref="N42:O42"/>
    <mergeCell ref="B43:C43"/>
    <mergeCell ref="D43:E43"/>
    <mergeCell ref="F43:G43"/>
    <mergeCell ref="H43:I43"/>
    <mergeCell ref="J43:K43"/>
    <mergeCell ref="L43:M43"/>
  </mergeCells>
  <conditionalFormatting sqref="K8:K31">
    <cfRule type="dataBar" priority="4">
      <dataBar>
        <cfvo type="min"/>
        <cfvo type="max"/>
        <color rgb="FF8A5F79"/>
      </dataBar>
      <extLst>
        <ext xmlns:x14="http://schemas.microsoft.com/office/spreadsheetml/2009/9/main" uri="{B025F937-C7B1-47D3-B67F-A62EFF666E3E}">
          <x14:id>{DA7ABA51-AAAA-BBBB-0004-000000000001}</x14:id>
        </ext>
      </extLst>
    </cfRule>
  </conditionalFormatting>
  <conditionalFormatting sqref="O8:O31">
    <cfRule type="expression" dxfId="0" priority="1">
      <formula>$O8="🔴 Out of stock"</formula>
    </cfRule>
    <cfRule type="expression" dxfId="1" priority="2">
      <formula>$O8="🟠 Low stock"</formula>
    </cfRule>
    <cfRule type="expression" dxfId="2" priority="3">
      <formula>$O8="🟢 In stock"</formula>
    </cfRule>
  </conditionalFormatting>
  <dataValidations count="6">
    <dataValidation type="list" allowBlank="1" showInputMessage="1" promptTitle="Category" prompt="Pick a category - you can edit the list on the Lists &amp; Settings tab." sqref="D8:D31">
      <formula1>Categories</formula1>
    </dataValidation>
    <dataValidation type="decimal" operator="greaterThanOrEqual" errorStyle="warning" allowBlank="1" showInputMessage="1" showErrorMessage="1" errorTitle="Enter money" error="Please enter a positive number (no currency symbol) - the symbol comes from Setup." sqref="F8:F31">
      <formula1>0</formula1>
    </dataValidation>
    <dataValidation type="decimal" operator="greaterThanOrEqual" errorStyle="warning" allowBlank="1" showInputMessage="1" showErrorMessage="1" errorTitle="Enter money" error="Please enter a positive number (no currency symbol) - the symbol comes from Setup." sqref="G8:G31">
      <formula1>0</formula1>
    </dataValidation>
    <dataValidation type="decimal" operator="greaterThanOrEqual" errorStyle="warning" allowBlank="1" showInputMessage="1" showErrorMessage="1" errorTitle="Enter money" error="Please enter a positive number (no currency symbol) - the symbol comes from Setup." sqref="H8:H31">
      <formula1>0</formula1>
    </dataValidation>
    <dataValidation type="whole" errorStyle="warning" allowBlank="1" showInputMessage="1" showErrorMessage="1" errorTitle="Whole numbers only" error="Please enter a whole number." sqref="N8:N31">
      <formula1>0</formula1>
      <formula2>9999</formula2>
    </dataValidation>
    <dataValidation type="decimal" errorStyle="warning" allowBlank="1" showInputMessage="1" showErrorMessage="1" errorTitle="Hours" error="Enter hours as a number, e.g. 1.5." sqref="L8:L31">
      <formula1>0</formula1>
      <formula2>1000</formula2>
    </dataValidation>
  </dataValidations>
  <hyperlinks>
    <hyperlink ref="N3" location="'📊 Dashboard'!A1" display="🏠  Dashboard"/>
    <hyperlink ref="B42" location="'⚙️ Lists &amp; Settings'!A1" display="Settings"/>
    <hyperlink ref="D42" location="'📊 Dashboard'!A1" display="🏠 Home"/>
    <hyperlink ref="F42" location="'🧶 Product Catalog'!A1" display="▶ Products"/>
    <hyperlink ref="H42" location="'🧵 Yarn &amp; Materials'!A1" display="Yarn"/>
    <hyperlink ref="J42" location="'📦 Made &amp; Stocked'!A1" display="Stock"/>
    <hyperlink ref="L42" location="'🏪 Craft Fairs'!A1" display="Fairs"/>
    <hyperlink ref="N42" location="'💰 Sales Log'!A1" display="Sales"/>
    <hyperlink ref="B43" location="'🧮 Event Profit'!A1" display="Event $"/>
    <hyperlink ref="D43" location="'🔄 Reorder List'!A1" display="Reorder"/>
    <hyperlink ref="F43" location="'🎒 Packing Checklist'!A1" display="Packing"/>
    <hyperlink ref="H43" location="'💵 Pricing Calculator'!A1" display="Pricing"/>
    <hyperlink ref="J43" location="'📅 Monthly Summary'!A1" display="Monthly"/>
    <hyperlink ref="L43"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4-000000000001}">
            <x14:dataBar minLength="0" maxLength="100" border="1" gradient="0" negativeBarBorderColorSameAsPositive="0">
              <x14:cfvo type="min"/>
              <x14:cfvo type="max"/>
              <x14:borderColor rgb="FF8A5F79"/>
              <x14:negativeFillColor rgb="FFFF0000"/>
              <x14:negativeBorderColor rgb="FFFF0000"/>
              <x14:axisColor rgb="FF000000"/>
            </x14:dataBar>
          </x14:cfRule>
          <xm:sqref>K8:K31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A5273"/>
    <pageSetUpPr fitToPage="1"/>
  </sheetPr>
  <dimension ref="A1:N44"/>
  <sheetViews>
    <sheetView showGridLines="0" zoomScale="85" zoomScaleNormal="85" workbookViewId="0"/>
  </sheetViews>
  <sheetFormatPr defaultRowHeight="15" x14ac:dyDescent="0.25"/>
  <cols>
    <col min="1" max="1" width="2.85546875" customWidth="1"/>
    <col min="2" max="2" width="22.7109375" customWidth="1"/>
    <col min="3" max="4" width="14.7109375" customWidth="1"/>
    <col min="5" max="5" width="15.7109375" customWidth="1"/>
    <col min="6" max="6" width="10.7109375" customWidth="1"/>
    <col min="7" max="7" width="8.7109375" customWidth="1"/>
    <col min="8" max="9" width="10.7109375" customWidth="1"/>
    <col min="10" max="10" width="9.7109375" customWidth="1"/>
    <col min="11" max="11" width="10.7109375" customWidth="1"/>
    <col min="12" max="12" width="18.7109375" customWidth="1"/>
    <col min="13" max="13" width="10.7109375" customWidth="1"/>
    <col min="14" max="14" width="13.7109375" customWidth="1"/>
  </cols>
  <sheetData>
    <row r="1" spans="1:14" ht="7" customHeight="1" x14ac:dyDescent="0.25">
      <c r="A1" s="3"/>
      <c r="B1" s="3"/>
      <c r="C1" s="3"/>
      <c r="D1" s="3"/>
      <c r="E1" s="3"/>
      <c r="F1" s="3"/>
      <c r="G1" s="3"/>
      <c r="H1" s="3"/>
      <c r="I1" s="3"/>
      <c r="J1" s="3"/>
      <c r="K1" s="3"/>
      <c r="L1" s="3"/>
      <c r="M1" s="3"/>
      <c r="N1" s="3"/>
    </row>
    <row r="2" spans="1:14" ht="32" customHeight="1" x14ac:dyDescent="0.25">
      <c r="A2" s="3"/>
      <c r="B2" s="4" t="s">
        <v>224</v>
      </c>
      <c r="C2" s="4"/>
      <c r="D2" s="4"/>
      <c r="E2" s="4"/>
      <c r="F2" s="4"/>
      <c r="G2" s="4"/>
      <c r="H2" s="4"/>
      <c r="I2" s="4"/>
      <c r="J2" s="4"/>
      <c r="K2" s="4"/>
      <c r="L2" s="3"/>
      <c r="M2" s="3"/>
      <c r="N2" s="3"/>
    </row>
    <row r="3" spans="1:14" ht="18" customHeight="1" x14ac:dyDescent="0.25">
      <c r="A3" s="3"/>
      <c r="B3" s="5" t="s">
        <v>225</v>
      </c>
      <c r="C3" s="5"/>
      <c r="D3" s="5"/>
      <c r="E3" s="5"/>
      <c r="F3" s="5"/>
      <c r="G3" s="5"/>
      <c r="H3" s="5"/>
      <c r="I3" s="5"/>
      <c r="J3" s="5"/>
      <c r="K3" s="5"/>
      <c r="L3" s="6" t="s">
        <v>70</v>
      </c>
      <c r="M3" s="6"/>
      <c r="N3" s="6"/>
    </row>
    <row r="4" spans="1:14" ht="8" customHeight="1" x14ac:dyDescent="0.25">
      <c r="A4" s="3"/>
      <c r="B4" s="3"/>
      <c r="C4" s="3"/>
      <c r="D4" s="3"/>
      <c r="E4" s="3"/>
      <c r="F4" s="3"/>
      <c r="G4" s="3"/>
      <c r="H4" s="3"/>
      <c r="I4" s="3"/>
      <c r="J4" s="3"/>
      <c r="K4" s="3"/>
      <c r="L4" s="3"/>
      <c r="M4" s="3"/>
      <c r="N4" s="3"/>
    </row>
    <row r="5" spans="1:14" ht="22" customHeight="1" x14ac:dyDescent="0.25">
      <c r="A5" s="3"/>
      <c r="B5" s="85" t="str">
        <f>"Materials: "&amp;TEXT(COUNTA('🧵 Yarn &amp; Materials'!$B$8:$B$31),"0")</f>
        <v>Materials: 10</v>
      </c>
      <c r="C5" s="85"/>
      <c r="D5" s="85"/>
      <c r="E5" s="71" t="str">
        <f>"Still on the shelf: "&amp;TEXT(SUM('🧵 Yarn &amp; Materials'!$K$8:$K$31),"#,##0")</f>
        <v>Still on the shelf: 74</v>
      </c>
      <c r="F5" s="71"/>
      <c r="G5" s="71"/>
      <c r="H5" s="37" t="str">
        <f>"Stash value: "&amp;Currency&amp;TEXT(SUM('🧵 Yarn &amp; Materials'!$I$8:$I$31),"#,##0.00")</f>
        <v>Stash value: $360.30</v>
      </c>
      <c r="I5" s="37"/>
      <c r="J5" s="37"/>
      <c r="K5" s="39" t="str">
        <f>IF('_Data'!$AI$16&gt;0,"! "&amp;TEXT('_Data'!$AI$16,"0")&amp;" materials running low","Stash looks healthy")</f>
        <v>! 5 materials running low</v>
      </c>
      <c r="L5" s="39"/>
      <c r="M5" s="39"/>
      <c r="N5" s="3"/>
    </row>
    <row r="6" spans="1:14" ht="8" customHeight="1" x14ac:dyDescent="0.25">
      <c r="A6" s="3"/>
      <c r="B6" s="3"/>
      <c r="C6" s="3"/>
      <c r="D6" s="3"/>
      <c r="E6" s="3"/>
      <c r="F6" s="3"/>
      <c r="G6" s="3"/>
      <c r="H6" s="3"/>
      <c r="I6" s="3"/>
      <c r="J6" s="3"/>
      <c r="K6" s="3"/>
      <c r="L6" s="3"/>
      <c r="M6" s="3"/>
      <c r="N6" s="3"/>
    </row>
    <row r="7" spans="1:14" ht="36" customHeight="1" x14ac:dyDescent="0.25">
      <c r="A7" s="62" t="s">
        <v>1</v>
      </c>
      <c r="B7" s="62" t="s">
        <v>226</v>
      </c>
      <c r="C7" s="62" t="s">
        <v>227</v>
      </c>
      <c r="D7" s="62" t="s">
        <v>228</v>
      </c>
      <c r="E7" s="62" t="s">
        <v>229</v>
      </c>
      <c r="F7" s="62" t="s">
        <v>230</v>
      </c>
      <c r="G7" s="62" t="s">
        <v>231</v>
      </c>
      <c r="H7" s="62" t="s">
        <v>232</v>
      </c>
      <c r="I7" s="62" t="s">
        <v>233</v>
      </c>
      <c r="J7" s="62" t="s">
        <v>234</v>
      </c>
      <c r="K7" s="62" t="s">
        <v>235</v>
      </c>
      <c r="L7" s="62" t="s">
        <v>236</v>
      </c>
      <c r="M7" s="62" t="s">
        <v>237</v>
      </c>
      <c r="N7" s="62" t="s">
        <v>238</v>
      </c>
    </row>
    <row r="8" spans="1:14" ht="22" customHeight="1" x14ac:dyDescent="0.25">
      <c r="A8" s="68"/>
      <c r="B8" s="21" t="s">
        <v>239</v>
      </c>
      <c r="C8" s="21" t="s">
        <v>240</v>
      </c>
      <c r="D8" s="21" t="s">
        <v>241</v>
      </c>
      <c r="E8" s="21" t="s">
        <v>108</v>
      </c>
      <c r="F8" s="75">
        <v>20</v>
      </c>
      <c r="G8" s="86" t="s">
        <v>97</v>
      </c>
      <c r="H8" s="73">
        <v>3.4</v>
      </c>
      <c r="I8" s="66">
        <f>IF($B8="","",ROUND(N($F8)*N($H8),2))</f>
        <v>68.0</v>
      </c>
      <c r="J8" s="75">
        <v>16</v>
      </c>
      <c r="K8" s="65">
        <f>IF($B8="","",N($F8)-N($J8))</f>
        <v>4</v>
      </c>
      <c r="L8" s="21" t="s">
        <v>98</v>
      </c>
      <c r="M8" s="75">
        <v>5</v>
      </c>
      <c r="N8" s="76" t="str">
        <f>IF($B8="","",IF($K8&lt;=$M8,"✅ Reorder","❌ OK"))</f>
        <v>✅ Reorder</v>
      </c>
    </row>
    <row r="9" spans="1:14" ht="22" customHeight="1" x14ac:dyDescent="0.25">
      <c r="A9" s="63"/>
      <c r="B9" s="9" t="s">
        <v>242</v>
      </c>
      <c r="C9" s="9" t="s">
        <v>243</v>
      </c>
      <c r="D9" s="9" t="s">
        <v>244</v>
      </c>
      <c r="E9" s="9" t="s">
        <v>108</v>
      </c>
      <c r="F9" s="79">
        <v>15</v>
      </c>
      <c r="G9" s="24" t="s">
        <v>97</v>
      </c>
      <c r="H9" s="13">
        <v>2.6</v>
      </c>
      <c r="I9" s="66">
        <f>IF($B9="","",ROUND(N($F9)*N($H9),2))</f>
        <v>39.0</v>
      </c>
      <c r="J9" s="79">
        <v>9</v>
      </c>
      <c r="K9" s="65">
        <f>IF($B9="","",N($F9)-N($J9))</f>
        <v>6</v>
      </c>
      <c r="L9" s="9" t="s">
        <v>102</v>
      </c>
      <c r="M9" s="79">
        <v>4</v>
      </c>
      <c r="N9" s="76" t="str">
        <f>IF($B9="","",IF($K9&lt;=$M9,"✅ Reorder","❌ OK"))</f>
        <v>❌ OK</v>
      </c>
    </row>
    <row r="10" spans="1:14" ht="22" customHeight="1" x14ac:dyDescent="0.25">
      <c r="A10" s="68"/>
      <c r="B10" s="21" t="s">
        <v>245</v>
      </c>
      <c r="C10" s="21" t="s">
        <v>246</v>
      </c>
      <c r="D10" s="21" t="s">
        <v>247</v>
      </c>
      <c r="E10" s="21" t="s">
        <v>104</v>
      </c>
      <c r="F10" s="75">
        <v>12</v>
      </c>
      <c r="G10" s="86" t="s">
        <v>97</v>
      </c>
      <c r="H10" s="73">
        <v>6.8</v>
      </c>
      <c r="I10" s="66">
        <f>IF($B10="","",ROUND(N($F10)*N($H10),2))</f>
        <v>81.6</v>
      </c>
      <c r="J10" s="75">
        <v>10</v>
      </c>
      <c r="K10" s="65">
        <f>IF($B10="","",N($F10)-N($J10))</f>
        <v>2</v>
      </c>
      <c r="L10" s="21" t="s">
        <v>98</v>
      </c>
      <c r="M10" s="75">
        <v>4</v>
      </c>
      <c r="N10" s="76" t="str">
        <f>IF($B10="","",IF($K10&lt;=$M10,"✅ Reorder","❌ OK"))</f>
        <v>✅ Reorder</v>
      </c>
    </row>
    <row r="11" spans="1:14" ht="22" customHeight="1" x14ac:dyDescent="0.25">
      <c r="A11" s="63"/>
      <c r="B11" s="9" t="s">
        <v>248</v>
      </c>
      <c r="C11" s="9" t="s">
        <v>249</v>
      </c>
      <c r="D11" s="9" t="s">
        <v>250</v>
      </c>
      <c r="E11" s="9" t="s">
        <v>116</v>
      </c>
      <c r="F11" s="79">
        <v>10</v>
      </c>
      <c r="G11" s="24" t="s">
        <v>97</v>
      </c>
      <c r="H11" s="13">
        <v>4.9</v>
      </c>
      <c r="I11" s="66">
        <f>IF($B11="","",ROUND(N($F11)*N($H11),2))</f>
        <v>49.0</v>
      </c>
      <c r="J11" s="79">
        <v>6</v>
      </c>
      <c r="K11" s="65">
        <f>IF($B11="","",N($F11)-N($J11))</f>
        <v>4</v>
      </c>
      <c r="L11" s="9" t="s">
        <v>102</v>
      </c>
      <c r="M11" s="79">
        <v>3</v>
      </c>
      <c r="N11" s="76" t="str">
        <f>IF($B11="","",IF($K11&lt;=$M11,"✅ Reorder","❌ OK"))</f>
        <v>❌ OK</v>
      </c>
    </row>
    <row r="12" spans="1:14" ht="22" customHeight="1" x14ac:dyDescent="0.25">
      <c r="A12" s="68"/>
      <c r="B12" s="21" t="s">
        <v>251</v>
      </c>
      <c r="C12" s="21" t="s">
        <v>252</v>
      </c>
      <c r="D12" s="21" t="s">
        <v>241</v>
      </c>
      <c r="E12" s="21" t="s">
        <v>104</v>
      </c>
      <c r="F12" s="75">
        <v>8</v>
      </c>
      <c r="G12" s="86" t="s">
        <v>97</v>
      </c>
      <c r="H12" s="73">
        <v>3.2</v>
      </c>
      <c r="I12" s="66">
        <f>IF($B12="","",ROUND(N($F12)*N($H12),2))</f>
        <v>25.6</v>
      </c>
      <c r="J12" s="75">
        <v>7</v>
      </c>
      <c r="K12" s="65">
        <f>IF($B12="","",N($F12)-N($J12))</f>
        <v>1</v>
      </c>
      <c r="L12" s="21" t="s">
        <v>98</v>
      </c>
      <c r="M12" s="75">
        <v>3</v>
      </c>
      <c r="N12" s="76" t="str">
        <f>IF($B12="","",IF($K12&lt;=$M12,"✅ Reorder","❌ OK"))</f>
        <v>✅ Reorder</v>
      </c>
    </row>
    <row r="13" spans="1:14" ht="22" customHeight="1" x14ac:dyDescent="0.25">
      <c r="A13" s="63"/>
      <c r="B13" s="9" t="s">
        <v>253</v>
      </c>
      <c r="C13" s="9" t="s">
        <v>254</v>
      </c>
      <c r="D13" s="9" t="s">
        <v>247</v>
      </c>
      <c r="E13" s="9" t="s">
        <v>108</v>
      </c>
      <c r="F13" s="79">
        <v>10</v>
      </c>
      <c r="G13" s="24" t="s">
        <v>97</v>
      </c>
      <c r="H13" s="13">
        <v>5.4</v>
      </c>
      <c r="I13" s="66">
        <f>IF($B13="","",ROUND(N($F13)*N($H13),2))</f>
        <v>54.0</v>
      </c>
      <c r="J13" s="79">
        <v>4</v>
      </c>
      <c r="K13" s="65">
        <f>IF($B13="","",N($F13)-N($J13))</f>
        <v>6</v>
      </c>
      <c r="L13" s="9" t="s">
        <v>106</v>
      </c>
      <c r="M13" s="79">
        <v>3</v>
      </c>
      <c r="N13" s="76" t="str">
        <f>IF($B13="","",IF($K13&lt;=$M13,"✅ Reorder","❌ OK"))</f>
        <v>❌ OK</v>
      </c>
    </row>
    <row r="14" spans="1:14" ht="22" customHeight="1" x14ac:dyDescent="0.25">
      <c r="A14" s="68"/>
      <c r="B14" s="21" t="s">
        <v>255</v>
      </c>
      <c r="C14" s="21" t="s">
        <v>256</v>
      </c>
      <c r="D14" s="21" t="s">
        <v>257</v>
      </c>
      <c r="E14" s="21" t="s">
        <v>118</v>
      </c>
      <c r="F14" s="75">
        <v>6</v>
      </c>
      <c r="G14" s="86" t="s">
        <v>117</v>
      </c>
      <c r="H14" s="73">
        <v>2.1</v>
      </c>
      <c r="I14" s="66">
        <f>IF($B14="","",ROUND(N($F14)*N($H14),2))</f>
        <v>12.6</v>
      </c>
      <c r="J14" s="75">
        <v>4</v>
      </c>
      <c r="K14" s="65">
        <f>IF($B14="","",N($F14)-N($J14))</f>
        <v>2</v>
      </c>
      <c r="L14" s="21" t="s">
        <v>106</v>
      </c>
      <c r="M14" s="75">
        <v>2</v>
      </c>
      <c r="N14" s="76" t="str">
        <f>IF($B14="","",IF($K14&lt;=$M14,"✅ Reorder","❌ OK"))</f>
        <v>✅ Reorder</v>
      </c>
    </row>
    <row r="15" spans="1:14" ht="22" customHeight="1" x14ac:dyDescent="0.25">
      <c r="A15" s="63"/>
      <c r="B15" s="9" t="s">
        <v>258</v>
      </c>
      <c r="C15" s="9" t="s">
        <v>240</v>
      </c>
      <c r="D15" s="9" t="s">
        <v>257</v>
      </c>
      <c r="E15" s="9" t="s">
        <v>118</v>
      </c>
      <c r="F15" s="79">
        <v>40</v>
      </c>
      <c r="G15" s="24" t="s">
        <v>117</v>
      </c>
      <c r="H15" s="13">
        <v>0.35</v>
      </c>
      <c r="I15" s="66">
        <f>IF($B15="","",ROUND(N($F15)*N($H15),2))</f>
        <v>14.0</v>
      </c>
      <c r="J15" s="79">
        <v>22</v>
      </c>
      <c r="K15" s="65">
        <f>IF($B15="","",N($F15)-N($J15))</f>
        <v>18</v>
      </c>
      <c r="L15" s="9" t="s">
        <v>102</v>
      </c>
      <c r="M15" s="79">
        <v>10</v>
      </c>
      <c r="N15" s="76" t="str">
        <f>IF($B15="","",IF($K15&lt;=$M15,"✅ Reorder","❌ OK"))</f>
        <v>❌ OK</v>
      </c>
    </row>
    <row r="16" spans="1:14" ht="22" customHeight="1" x14ac:dyDescent="0.25">
      <c r="A16" s="68"/>
      <c r="B16" s="21" t="s">
        <v>259</v>
      </c>
      <c r="C16" s="21" t="s">
        <v>260</v>
      </c>
      <c r="D16" s="21" t="s">
        <v>257</v>
      </c>
      <c r="E16" s="21" t="s">
        <v>118</v>
      </c>
      <c r="F16" s="75">
        <v>30</v>
      </c>
      <c r="G16" s="86" t="s">
        <v>117</v>
      </c>
      <c r="H16" s="73">
        <v>0.25</v>
      </c>
      <c r="I16" s="66">
        <f>IF($B16="","",ROUND(N($F16)*N($H16),2))</f>
        <v>7.5</v>
      </c>
      <c r="J16" s="75">
        <v>24</v>
      </c>
      <c r="K16" s="65">
        <f>IF($B16="","",N($F16)-N($J16))</f>
        <v>6</v>
      </c>
      <c r="L16" s="21" t="s">
        <v>106</v>
      </c>
      <c r="M16" s="75">
        <v>10</v>
      </c>
      <c r="N16" s="76" t="str">
        <f>IF($B16="","",IF($K16&lt;=$M16,"✅ Reorder","❌ OK"))</f>
        <v>✅ Reorder</v>
      </c>
    </row>
    <row r="17" spans="1:14" ht="22" customHeight="1" x14ac:dyDescent="0.25">
      <c r="A17" s="63"/>
      <c r="B17" s="9" t="s">
        <v>261</v>
      </c>
      <c r="C17" s="9" t="s">
        <v>262</v>
      </c>
      <c r="D17" s="9" t="s">
        <v>263</v>
      </c>
      <c r="E17" s="9" t="s">
        <v>118</v>
      </c>
      <c r="F17" s="79">
        <v>60</v>
      </c>
      <c r="G17" s="24" t="s">
        <v>117</v>
      </c>
      <c r="H17" s="13">
        <v>0.15</v>
      </c>
      <c r="I17" s="66">
        <f>IF($B17="","",ROUND(N($F17)*N($H17),2))</f>
        <v>9.0</v>
      </c>
      <c r="J17" s="79">
        <v>35</v>
      </c>
      <c r="K17" s="65">
        <f>IF($B17="","",N($F17)-N($J17))</f>
        <v>25</v>
      </c>
      <c r="L17" s="9" t="s">
        <v>110</v>
      </c>
      <c r="M17" s="79">
        <v>20</v>
      </c>
      <c r="N17" s="76" t="str">
        <f>IF($B17="","",IF($K17&lt;=$M17,"✅ Reorder","❌ OK"))</f>
        <v>❌ OK</v>
      </c>
    </row>
    <row r="18" spans="1:14" ht="22" customHeight="1" x14ac:dyDescent="0.25">
      <c r="A18" s="68"/>
      <c r="B18" s="21"/>
      <c r="C18" s="21"/>
      <c r="D18" s="21"/>
      <c r="E18" s="21"/>
      <c r="F18" s="75"/>
      <c r="G18" s="86"/>
      <c r="H18" s="73"/>
      <c r="I18" s="66">
        <f>IF($B18="","",ROUND(N($F18)*N($H18),2))</f>
        <v>0</v>
      </c>
      <c r="J18" s="75"/>
      <c r="K18" s="65">
        <f>IF($B18="","",N($F18)-N($J18))</f>
        <v>0</v>
      </c>
      <c r="L18" s="21"/>
      <c r="M18" s="75"/>
      <c r="N18" s="76">
        <f>IF($B18="","",IF($K18&lt;=$M18,"✅ Reorder","❌ OK"))</f>
        <v>0</v>
      </c>
    </row>
    <row r="19" spans="1:14" ht="22" customHeight="1" x14ac:dyDescent="0.25">
      <c r="A19" s="63"/>
      <c r="B19" s="9"/>
      <c r="C19" s="9"/>
      <c r="D19" s="9"/>
      <c r="E19" s="9"/>
      <c r="F19" s="79"/>
      <c r="G19" s="24"/>
      <c r="H19" s="13"/>
      <c r="I19" s="66">
        <f>IF($B19="","",ROUND(N($F19)*N($H19),2))</f>
        <v>0</v>
      </c>
      <c r="J19" s="79"/>
      <c r="K19" s="65">
        <f>IF($B19="","",N($F19)-N($J19))</f>
        <v>0</v>
      </c>
      <c r="L19" s="9"/>
      <c r="M19" s="79"/>
      <c r="N19" s="76">
        <f>IF($B19="","",IF($K19&lt;=$M19,"✅ Reorder","❌ OK"))</f>
        <v>0</v>
      </c>
    </row>
    <row r="20" spans="1:14" ht="22" customHeight="1" x14ac:dyDescent="0.25">
      <c r="A20" s="68"/>
      <c r="B20" s="21"/>
      <c r="C20" s="21"/>
      <c r="D20" s="21"/>
      <c r="E20" s="21"/>
      <c r="F20" s="75"/>
      <c r="G20" s="86"/>
      <c r="H20" s="73"/>
      <c r="I20" s="66">
        <f>IF($B20="","",ROUND(N($F20)*N($H20),2))</f>
        <v>0</v>
      </c>
      <c r="J20" s="75"/>
      <c r="K20" s="65">
        <f>IF($B20="","",N($F20)-N($J20))</f>
        <v>0</v>
      </c>
      <c r="L20" s="21"/>
      <c r="M20" s="75"/>
      <c r="N20" s="76">
        <f>IF($B20="","",IF($K20&lt;=$M20,"✅ Reorder","❌ OK"))</f>
        <v>0</v>
      </c>
    </row>
    <row r="21" spans="1:14" ht="22" customHeight="1" x14ac:dyDescent="0.25">
      <c r="A21" s="63"/>
      <c r="B21" s="9"/>
      <c r="C21" s="9"/>
      <c r="D21" s="9"/>
      <c r="E21" s="9"/>
      <c r="F21" s="79"/>
      <c r="G21" s="24"/>
      <c r="H21" s="13"/>
      <c r="I21" s="66">
        <f>IF($B21="","",ROUND(N($F21)*N($H21),2))</f>
        <v>0</v>
      </c>
      <c r="J21" s="79"/>
      <c r="K21" s="65">
        <f>IF($B21="","",N($F21)-N($J21))</f>
        <v>0</v>
      </c>
      <c r="L21" s="9"/>
      <c r="M21" s="79"/>
      <c r="N21" s="76">
        <f>IF($B21="","",IF($K21&lt;=$M21,"✅ Reorder","❌ OK"))</f>
        <v>0</v>
      </c>
    </row>
    <row r="22" spans="1:14" ht="22" customHeight="1" x14ac:dyDescent="0.25">
      <c r="A22" s="68"/>
      <c r="B22" s="21"/>
      <c r="C22" s="21"/>
      <c r="D22" s="21"/>
      <c r="E22" s="21"/>
      <c r="F22" s="75"/>
      <c r="G22" s="86"/>
      <c r="H22" s="73"/>
      <c r="I22" s="66">
        <f>IF($B22="","",ROUND(N($F22)*N($H22),2))</f>
        <v>0</v>
      </c>
      <c r="J22" s="75"/>
      <c r="K22" s="65">
        <f>IF($B22="","",N($F22)-N($J22))</f>
        <v>0</v>
      </c>
      <c r="L22" s="21"/>
      <c r="M22" s="75"/>
      <c r="N22" s="76">
        <f>IF($B22="","",IF($K22&lt;=$M22,"✅ Reorder","❌ OK"))</f>
        <v>0</v>
      </c>
    </row>
    <row r="23" spans="1:14" ht="22" customHeight="1" x14ac:dyDescent="0.25">
      <c r="A23" s="63"/>
      <c r="B23" s="9"/>
      <c r="C23" s="9"/>
      <c r="D23" s="9"/>
      <c r="E23" s="9"/>
      <c r="F23" s="79"/>
      <c r="G23" s="24"/>
      <c r="H23" s="13"/>
      <c r="I23" s="66">
        <f>IF($B23="","",ROUND(N($F23)*N($H23),2))</f>
        <v>0</v>
      </c>
      <c r="J23" s="79"/>
      <c r="K23" s="65">
        <f>IF($B23="","",N($F23)-N($J23))</f>
        <v>0</v>
      </c>
      <c r="L23" s="9"/>
      <c r="M23" s="79"/>
      <c r="N23" s="76">
        <f>IF($B23="","",IF($K23&lt;=$M23,"✅ Reorder","❌ OK"))</f>
        <v>0</v>
      </c>
    </row>
    <row r="24" spans="1:14" ht="22" customHeight="1" x14ac:dyDescent="0.25">
      <c r="A24" s="68"/>
      <c r="B24" s="21"/>
      <c r="C24" s="21"/>
      <c r="D24" s="21"/>
      <c r="E24" s="21"/>
      <c r="F24" s="75"/>
      <c r="G24" s="86"/>
      <c r="H24" s="73"/>
      <c r="I24" s="66">
        <f>IF($B24="","",ROUND(N($F24)*N($H24),2))</f>
        <v>0</v>
      </c>
      <c r="J24" s="75"/>
      <c r="K24" s="65">
        <f>IF($B24="","",N($F24)-N($J24))</f>
        <v>0</v>
      </c>
      <c r="L24" s="21"/>
      <c r="M24" s="75"/>
      <c r="N24" s="76">
        <f>IF($B24="","",IF($K24&lt;=$M24,"✅ Reorder","❌ OK"))</f>
        <v>0</v>
      </c>
    </row>
    <row r="25" spans="1:14" ht="22" customHeight="1" x14ac:dyDescent="0.25">
      <c r="A25" s="63"/>
      <c r="B25" s="9"/>
      <c r="C25" s="9"/>
      <c r="D25" s="9"/>
      <c r="E25" s="9"/>
      <c r="F25" s="79"/>
      <c r="G25" s="24"/>
      <c r="H25" s="13"/>
      <c r="I25" s="66">
        <f>IF($B25="","",ROUND(N($F25)*N($H25),2))</f>
        <v>0</v>
      </c>
      <c r="J25" s="79"/>
      <c r="K25" s="65">
        <f>IF($B25="","",N($F25)-N($J25))</f>
        <v>0</v>
      </c>
      <c r="L25" s="9"/>
      <c r="M25" s="79"/>
      <c r="N25" s="76">
        <f>IF($B25="","",IF($K25&lt;=$M25,"✅ Reorder","❌ OK"))</f>
        <v>0</v>
      </c>
    </row>
    <row r="26" spans="1:14" ht="22" customHeight="1" x14ac:dyDescent="0.25">
      <c r="A26" s="68"/>
      <c r="B26" s="21"/>
      <c r="C26" s="21"/>
      <c r="D26" s="21"/>
      <c r="E26" s="21"/>
      <c r="F26" s="75"/>
      <c r="G26" s="86"/>
      <c r="H26" s="73"/>
      <c r="I26" s="66">
        <f>IF($B26="","",ROUND(N($F26)*N($H26),2))</f>
        <v>0</v>
      </c>
      <c r="J26" s="75"/>
      <c r="K26" s="65">
        <f>IF($B26="","",N($F26)-N($J26))</f>
        <v>0</v>
      </c>
      <c r="L26" s="21"/>
      <c r="M26" s="75"/>
      <c r="N26" s="76">
        <f>IF($B26="","",IF($K26&lt;=$M26,"✅ Reorder","❌ OK"))</f>
        <v>0</v>
      </c>
    </row>
    <row r="27" spans="1:14" ht="22" customHeight="1" x14ac:dyDescent="0.25">
      <c r="A27" s="63"/>
      <c r="B27" s="9"/>
      <c r="C27" s="9"/>
      <c r="D27" s="9"/>
      <c r="E27" s="9"/>
      <c r="F27" s="79"/>
      <c r="G27" s="24"/>
      <c r="H27" s="13"/>
      <c r="I27" s="66">
        <f>IF($B27="","",ROUND(N($F27)*N($H27),2))</f>
        <v>0</v>
      </c>
      <c r="J27" s="79"/>
      <c r="K27" s="65">
        <f>IF($B27="","",N($F27)-N($J27))</f>
        <v>0</v>
      </c>
      <c r="L27" s="9"/>
      <c r="M27" s="79"/>
      <c r="N27" s="76">
        <f>IF($B27="","",IF($K27&lt;=$M27,"✅ Reorder","❌ OK"))</f>
        <v>0</v>
      </c>
    </row>
    <row r="28" spans="1:14" ht="22" customHeight="1" x14ac:dyDescent="0.25">
      <c r="A28" s="68"/>
      <c r="B28" s="21"/>
      <c r="C28" s="21"/>
      <c r="D28" s="21"/>
      <c r="E28" s="21"/>
      <c r="F28" s="75"/>
      <c r="G28" s="86"/>
      <c r="H28" s="73"/>
      <c r="I28" s="66">
        <f>IF($B28="","",ROUND(N($F28)*N($H28),2))</f>
        <v>0</v>
      </c>
      <c r="J28" s="75"/>
      <c r="K28" s="65">
        <f>IF($B28="","",N($F28)-N($J28))</f>
        <v>0</v>
      </c>
      <c r="L28" s="21"/>
      <c r="M28" s="75"/>
      <c r="N28" s="76">
        <f>IF($B28="","",IF($K28&lt;=$M28,"✅ Reorder","❌ OK"))</f>
        <v>0</v>
      </c>
    </row>
    <row r="29" spans="1:14" ht="22" customHeight="1" x14ac:dyDescent="0.25">
      <c r="A29" s="63"/>
      <c r="B29" s="9"/>
      <c r="C29" s="9"/>
      <c r="D29" s="9"/>
      <c r="E29" s="9"/>
      <c r="F29" s="79"/>
      <c r="G29" s="24"/>
      <c r="H29" s="13"/>
      <c r="I29" s="66">
        <f>IF($B29="","",ROUND(N($F29)*N($H29),2))</f>
        <v>0</v>
      </c>
      <c r="J29" s="79"/>
      <c r="K29" s="65">
        <f>IF($B29="","",N($F29)-N($J29))</f>
        <v>0</v>
      </c>
      <c r="L29" s="9"/>
      <c r="M29" s="79"/>
      <c r="N29" s="76">
        <f>IF($B29="","",IF($K29&lt;=$M29,"✅ Reorder","❌ OK"))</f>
        <v>0</v>
      </c>
    </row>
    <row r="30" spans="1:14" ht="22" customHeight="1" x14ac:dyDescent="0.25">
      <c r="A30" s="68"/>
      <c r="B30" s="21"/>
      <c r="C30" s="21"/>
      <c r="D30" s="21"/>
      <c r="E30" s="21"/>
      <c r="F30" s="75"/>
      <c r="G30" s="86"/>
      <c r="H30" s="73"/>
      <c r="I30" s="66">
        <f>IF($B30="","",ROUND(N($F30)*N($H30),2))</f>
        <v>0</v>
      </c>
      <c r="J30" s="75"/>
      <c r="K30" s="65">
        <f>IF($B30="","",N($F30)-N($J30))</f>
        <v>0</v>
      </c>
      <c r="L30" s="21"/>
      <c r="M30" s="75"/>
      <c r="N30" s="76">
        <f>IF($B30="","",IF($K30&lt;=$M30,"✅ Reorder","❌ OK"))</f>
        <v>0</v>
      </c>
    </row>
    <row r="31" spans="1:14" ht="22" customHeight="1" x14ac:dyDescent="0.25">
      <c r="A31" s="63"/>
      <c r="B31" s="9"/>
      <c r="C31" s="9"/>
      <c r="D31" s="9"/>
      <c r="E31" s="9"/>
      <c r="F31" s="79"/>
      <c r="G31" s="24"/>
      <c r="H31" s="13"/>
      <c r="I31" s="66">
        <f>IF($B31="","",ROUND(N($F31)*N($H31),2))</f>
        <v>0</v>
      </c>
      <c r="J31" s="79"/>
      <c r="K31" s="65">
        <f>IF($B31="","",N($F31)-N($J31))</f>
        <v>0</v>
      </c>
      <c r="L31" s="9"/>
      <c r="M31" s="79"/>
      <c r="N31" s="76">
        <f>IF($B31="","",IF($K31&lt;=$M31,"✅ Reorder","❌ OK"))</f>
        <v>0</v>
      </c>
    </row>
    <row r="32" spans="1:14" x14ac:dyDescent="0.25">
      <c r="A32" s="3"/>
      <c r="B32" s="3"/>
      <c r="C32" s="3"/>
      <c r="D32" s="3"/>
      <c r="E32" s="3"/>
      <c r="F32" s="3"/>
      <c r="G32" s="3"/>
      <c r="H32" s="3"/>
      <c r="I32" s="3"/>
      <c r="J32" s="3"/>
      <c r="K32" s="3"/>
      <c r="L32" s="3"/>
      <c r="M32" s="3"/>
      <c r="N32" s="3"/>
    </row>
    <row r="33" spans="1:14" ht="24" customHeight="1" x14ac:dyDescent="0.25">
      <c r="A33" s="3"/>
      <c r="B33" s="81">
        <f>COUNTA('🧵 Yarn &amp; Materials'!$B$8:$B$31)</f>
        <v>10</v>
      </c>
      <c r="C33" s="82" t="s">
        <v>264</v>
      </c>
      <c r="D33" s="82"/>
      <c r="E33" s="82"/>
      <c r="F33" s="80"/>
      <c r="G33" s="80"/>
      <c r="H33" s="80"/>
      <c r="I33" s="83">
        <f>SUM('🧵 Yarn &amp; Materials'!$I$8:$I$31)</f>
        <v>360.3</v>
      </c>
      <c r="J33" s="84">
        <f>SUM('🧵 Yarn &amp; Materials'!$J$8:$J$31)</f>
        <v>137</v>
      </c>
      <c r="K33" s="3"/>
      <c r="L33" s="3"/>
      <c r="M33" s="3"/>
      <c r="N33" s="3"/>
    </row>
    <row r="34" spans="1:14" x14ac:dyDescent="0.25">
      <c r="A34" s="3"/>
      <c r="B34" s="3"/>
      <c r="C34" s="3"/>
      <c r="D34" s="3"/>
      <c r="E34" s="3"/>
      <c r="F34" s="3"/>
      <c r="G34" s="3"/>
      <c r="H34" s="3"/>
      <c r="I34" s="3"/>
      <c r="J34" s="3"/>
      <c r="K34" s="3"/>
      <c r="L34" s="3"/>
      <c r="M34" s="3"/>
      <c r="N34" s="3"/>
    </row>
    <row r="35" spans="1:14" ht="22" customHeight="1" x14ac:dyDescent="0.25">
      <c r="A35" s="3"/>
      <c r="B35" s="60" t="s">
        <v>220</v>
      </c>
      <c r="C35" s="60"/>
      <c r="D35" s="60"/>
      <c r="E35" s="60"/>
      <c r="F35" s="60"/>
      <c r="G35" s="60"/>
      <c r="H35" s="60"/>
      <c r="I35" s="60"/>
      <c r="J35" s="60"/>
      <c r="K35" s="60"/>
      <c r="L35" s="60"/>
      <c r="M35" s="60"/>
      <c r="N35" s="60"/>
    </row>
    <row r="36" spans="1:14" ht="37.2" customHeight="1" x14ac:dyDescent="0.25">
      <c r="A36" s="3"/>
      <c r="B36" s="15" t="s">
        <v>265</v>
      </c>
      <c r="C36" s="15"/>
      <c r="D36" s="15"/>
      <c r="E36" s="15"/>
      <c r="F36" s="15"/>
      <c r="G36" s="15"/>
      <c r="H36" s="15"/>
      <c r="I36" s="15"/>
      <c r="J36" s="15"/>
      <c r="K36" s="15"/>
      <c r="L36" s="15"/>
      <c r="M36" s="15"/>
      <c r="N36" s="15"/>
    </row>
    <row r="37" spans="1:14" x14ac:dyDescent="0.25">
      <c r="A37" s="3"/>
      <c r="B37" s="3"/>
      <c r="C37" s="3"/>
      <c r="D37" s="3"/>
      <c r="E37" s="3"/>
      <c r="F37" s="3"/>
      <c r="G37" s="3"/>
      <c r="H37" s="3"/>
      <c r="I37" s="3"/>
      <c r="J37" s="3"/>
      <c r="K37" s="3"/>
      <c r="L37" s="3"/>
      <c r="M37" s="3"/>
      <c r="N37" s="3"/>
    </row>
    <row r="38" spans="1:14" x14ac:dyDescent="0.25">
      <c r="A38" s="3"/>
      <c r="B38" s="3"/>
      <c r="C38" s="3"/>
      <c r="D38" s="3"/>
      <c r="E38" s="3"/>
      <c r="F38" s="3"/>
      <c r="G38" s="3"/>
      <c r="H38" s="3"/>
      <c r="I38" s="3"/>
      <c r="J38" s="3"/>
      <c r="K38" s="3"/>
      <c r="L38" s="3"/>
      <c r="M38" s="3"/>
      <c r="N38" s="3"/>
    </row>
    <row r="39" spans="1:14" x14ac:dyDescent="0.25">
      <c r="A39" s="3"/>
      <c r="B39" s="3"/>
      <c r="C39" s="3"/>
      <c r="D39" s="3"/>
      <c r="E39" s="3"/>
      <c r="F39" s="3"/>
      <c r="G39" s="3"/>
      <c r="H39" s="3"/>
      <c r="I39" s="3"/>
      <c r="J39" s="3"/>
      <c r="K39" s="3"/>
      <c r="L39" s="3"/>
      <c r="M39" s="3"/>
      <c r="N39" s="3"/>
    </row>
    <row r="40" spans="1:14" ht="30" customHeight="1" x14ac:dyDescent="0.25">
      <c r="A40" s="3"/>
      <c r="B40" s="25" t="s">
        <v>222</v>
      </c>
      <c r="C40" s="25"/>
      <c r="D40" s="25"/>
      <c r="E40" s="25"/>
      <c r="F40" s="25"/>
      <c r="G40" s="25"/>
      <c r="H40" s="25"/>
      <c r="I40" s="25"/>
      <c r="J40" s="25"/>
      <c r="K40" s="25"/>
      <c r="L40" s="25"/>
      <c r="M40" s="25"/>
      <c r="N40" s="25"/>
    </row>
    <row r="41" spans="1:14" x14ac:dyDescent="0.25">
      <c r="A41" s="3"/>
      <c r="B41" s="3"/>
      <c r="C41" s="3"/>
      <c r="D41" s="3"/>
      <c r="E41" s="3"/>
      <c r="F41" s="3"/>
      <c r="G41" s="3"/>
      <c r="H41" s="3"/>
      <c r="I41" s="3"/>
      <c r="J41" s="3"/>
      <c r="K41" s="3"/>
      <c r="L41" s="3"/>
      <c r="M41" s="3"/>
      <c r="N41" s="3"/>
    </row>
    <row r="42" spans="1:14" ht="24" customHeight="1" x14ac:dyDescent="0.25">
      <c r="A42" s="3"/>
      <c r="B42" s="26" t="s">
        <v>155</v>
      </c>
      <c r="C42" s="26"/>
      <c r="D42" s="27" t="s">
        <v>126</v>
      </c>
      <c r="E42" s="27"/>
      <c r="F42" s="28" t="s">
        <v>127</v>
      </c>
      <c r="G42" s="28"/>
      <c r="H42" s="29" t="s">
        <v>266</v>
      </c>
      <c r="I42" s="29"/>
      <c r="J42" s="30" t="s">
        <v>36</v>
      </c>
      <c r="K42" s="30"/>
      <c r="L42" s="31" t="s">
        <v>129</v>
      </c>
      <c r="M42" s="31"/>
      <c r="N42" s="3"/>
    </row>
    <row r="43" spans="1:14" ht="24" customHeight="1" x14ac:dyDescent="0.25">
      <c r="B43" s="32" t="s">
        <v>39</v>
      </c>
      <c r="C43" s="32"/>
      <c r="D43" s="33" t="s">
        <v>130</v>
      </c>
      <c r="E43" s="33"/>
      <c r="F43" s="27" t="s">
        <v>131</v>
      </c>
      <c r="G43" s="27"/>
      <c r="H43" s="29" t="s">
        <v>132</v>
      </c>
      <c r="I43" s="29"/>
      <c r="J43" s="26" t="s">
        <v>133</v>
      </c>
      <c r="K43" s="26"/>
      <c r="L43" s="27" t="s">
        <v>134</v>
      </c>
      <c r="M43" s="27"/>
    </row>
    <row r="44" spans="1:14" ht="24" customHeight="1" x14ac:dyDescent="0.25">
      <c r="B44" s="28" t="s">
        <v>135</v>
      </c>
      <c r="C44" s="28"/>
    </row>
  </sheetData>
  <sheetProtection password="EC7C" sheet="1" formatCells="0" formatColumns="0" formatRows="0" insertColumns="0" insertRows="0" insertHyperlinks="0" deleteColumns="0" deleteRows="0" sort="0" autoFilter="0"/>
  <mergeCells count="24">
    <mergeCell ref="B2:K2"/>
    <mergeCell ref="B3:K3"/>
    <mergeCell ref="L3:N3"/>
    <mergeCell ref="B5:D5"/>
    <mergeCell ref="E5:G5"/>
    <mergeCell ref="H5:J5"/>
    <mergeCell ref="K5:M5"/>
    <mergeCell ref="C33:E33"/>
    <mergeCell ref="B35:N35"/>
    <mergeCell ref="B36:N36"/>
    <mergeCell ref="B40:N40"/>
    <mergeCell ref="B42:C42"/>
    <mergeCell ref="D42:E42"/>
    <mergeCell ref="F42:G42"/>
    <mergeCell ref="H42:I42"/>
    <mergeCell ref="J42:K42"/>
    <mergeCell ref="L42:M42"/>
    <mergeCell ref="B43:C43"/>
    <mergeCell ref="D43:E43"/>
    <mergeCell ref="F43:G43"/>
    <mergeCell ref="H43:I43"/>
    <mergeCell ref="J43:K43"/>
    <mergeCell ref="L43:M43"/>
    <mergeCell ref="B44:C44"/>
  </mergeCells>
  <conditionalFormatting sqref="K8:K31">
    <cfRule type="dataBar" priority="3">
      <dataBar>
        <cfvo type="min"/>
        <cfvo type="max"/>
        <color rgb="FF7A5273"/>
      </dataBar>
      <extLst>
        <ext xmlns:x14="http://schemas.microsoft.com/office/spreadsheetml/2009/9/main" uri="{B025F937-C7B1-47D3-B67F-A62EFF666E3E}">
          <x14:id>{DA7ABA51-AAAA-BBBB-0005-000000000001}</x14:id>
        </ext>
      </extLst>
    </cfRule>
  </conditionalFormatting>
  <conditionalFormatting sqref="N8:N31">
    <cfRule type="expression" dxfId="1" priority="1">
      <formula>$N8="✅ Reorder"</formula>
    </cfRule>
    <cfRule type="expression" dxfId="2" priority="2">
      <formula>$N8="❌ OK"</formula>
    </cfRule>
  </conditionalFormatting>
  <dataValidations count="7">
    <dataValidation type="list" allowBlank="1" showInputMessage="1" promptTitle="Yarn weight" prompt="Pick the weight - edit options on Lists &amp; Settings." sqref="E8:E31">
      <formula1>YarnWeights</formula1>
    </dataValidation>
    <dataValidation type="list" allowBlank="1" showInputMessage="1" promptTitle="Unit" prompt="balls, metres, grams... your call." sqref="G8:G31">
      <formula1>Units</formula1>
    </dataValidation>
    <dataValidation type="list" allowBlank="1" showInputMessage="1" promptTitle="Supplier" sqref="L8:L31">
      <formula1>Suppliers</formula1>
    </dataValidation>
    <dataValidation type="decimal" operator="greaterThanOrEqual" errorStyle="warning" allowBlank="1" showInputMessage="1" showErrorMessage="1" errorTitle="Enter money" error="Please enter a positive number (no currency symbol) - the symbol comes from Setup." sqref="H8:H31">
      <formula1>0</formula1>
    </dataValidation>
    <dataValidation type="whole" errorStyle="warning" allowBlank="1" showInputMessage="1" showErrorMessage="1" errorTitle="Whole numbers only" error="Please enter a whole number." sqref="F8:F31">
      <formula1>0</formula1>
      <formula2>99999</formula2>
    </dataValidation>
    <dataValidation type="whole" errorStyle="warning" allowBlank="1" showInputMessage="1" showErrorMessage="1" errorTitle="Whole numbers only" error="Please enter a whole number." sqref="J8:J31">
      <formula1>0</formula1>
      <formula2>99999</formula2>
    </dataValidation>
    <dataValidation type="whole" errorStyle="warning" allowBlank="1" showInputMessage="1" showErrorMessage="1" errorTitle="Whole numbers only" error="Please enter a whole number." sqref="M8:M31">
      <formula1>0</formula1>
      <formula2>99999</formula2>
    </dataValidation>
  </dataValidations>
  <hyperlinks>
    <hyperlink ref="L3" location="'📊 Dashboard'!A1" display="🏠  Dashboard"/>
    <hyperlink ref="B42" location="'⚙️ Lists &amp; Settings'!A1" display="Settings"/>
    <hyperlink ref="D42" location="'📊 Dashboard'!A1" display="🏠 Home"/>
    <hyperlink ref="F42" location="'🧶 Product Catalog'!A1" display="Products"/>
    <hyperlink ref="H42" location="'🧵 Yarn &amp; Materials'!A1" display="▶ Yarn"/>
    <hyperlink ref="J42" location="'📦 Made &amp; Stocked'!A1" display="Stock"/>
    <hyperlink ref="L42" location="'🏪 Craft Fairs'!A1" display="Fairs"/>
    <hyperlink ref="B43" location="'💰 Sales Log'!A1" display="Sales"/>
    <hyperlink ref="D43" location="'🧮 Event Profit'!A1" display="Event $"/>
    <hyperlink ref="F43" location="'🔄 Reorder List'!A1" display="Reorder"/>
    <hyperlink ref="H43" location="'🎒 Packing Checklist'!A1" display="Packing"/>
    <hyperlink ref="J43" location="'💵 Pricing Calculator'!A1" display="Pricing"/>
    <hyperlink ref="L43" location="'📅 Monthly Summary'!A1" display="Monthly"/>
    <hyperlink ref="B44"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5-000000000001}">
            <x14:dataBar minLength="0" maxLength="100" border="1" gradient="0" negativeBarBorderColorSameAsPositive="0">
              <x14:cfvo type="min"/>
              <x14:cfvo type="max"/>
              <x14:borderColor rgb="FF7A5273"/>
              <x14:negativeFillColor rgb="FFFF0000"/>
              <x14:negativeBorderColor rgb="FFFF0000"/>
              <x14:axisColor rgb="FF000000"/>
            </x14:dataBar>
          </x14:cfRule>
          <xm:sqref>K8:K31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C7A4C"/>
    <pageSetUpPr fitToPage="1"/>
  </sheetPr>
  <dimension ref="A1:M50"/>
  <sheetViews>
    <sheetView showGridLines="0" zoomScale="85" zoomScaleNormal="85" workbookViewId="0"/>
  </sheetViews>
  <sheetFormatPr defaultRowHeight="15" x14ac:dyDescent="0.25"/>
  <cols>
    <col min="1" max="1" width="2.85546875" customWidth="1"/>
    <col min="2" max="2" width="24.7109375" customWidth="1"/>
    <col min="3" max="3" width="12.7109375" customWidth="1"/>
    <col min="4" max="4" width="8.7109375" customWidth="1"/>
    <col min="5" max="6" width="9.7109375" customWidth="1"/>
    <col min="7" max="7" width="8.7109375" customWidth="1"/>
    <col min="8" max="10" width="9.7109375" customWidth="1"/>
    <col min="11" max="11" width="10.7109375" customWidth="1"/>
    <col min="12" max="12" width="22.7109375" customWidth="1"/>
  </cols>
  <sheetData>
    <row r="1" spans="1:13" ht="7" customHeight="1" x14ac:dyDescent="0.25">
      <c r="A1" s="3"/>
      <c r="B1" s="3"/>
      <c r="C1" s="3"/>
      <c r="D1" s="3"/>
      <c r="E1" s="3"/>
      <c r="F1" s="3"/>
      <c r="G1" s="3"/>
      <c r="H1" s="3"/>
      <c r="I1" s="3"/>
      <c r="J1" s="3"/>
      <c r="K1" s="3"/>
      <c r="L1" s="3"/>
    </row>
    <row r="2" spans="1:13" ht="32" customHeight="1" x14ac:dyDescent="0.25">
      <c r="A2" s="3"/>
      <c r="B2" s="4" t="s">
        <v>267</v>
      </c>
      <c r="C2" s="4"/>
      <c r="D2" s="4"/>
      <c r="E2" s="4"/>
      <c r="F2" s="4"/>
      <c r="G2" s="4"/>
      <c r="H2" s="4"/>
      <c r="I2" s="4"/>
      <c r="J2" s="3"/>
      <c r="K2" s="3"/>
      <c r="L2" s="3"/>
    </row>
    <row r="3" spans="1:13" ht="18" customHeight="1" x14ac:dyDescent="0.25">
      <c r="A3" s="3"/>
      <c r="B3" s="5" t="s">
        <v>268</v>
      </c>
      <c r="C3" s="5"/>
      <c r="D3" s="5"/>
      <c r="E3" s="5"/>
      <c r="F3" s="5"/>
      <c r="G3" s="5"/>
      <c r="H3" s="5"/>
      <c r="I3" s="5"/>
      <c r="J3" s="6" t="s">
        <v>70</v>
      </c>
      <c r="K3" s="6"/>
      <c r="L3" s="6"/>
    </row>
    <row r="4" spans="1:13" ht="8" customHeight="1" x14ac:dyDescent="0.25">
      <c r="A4" s="3"/>
      <c r="B4" s="3"/>
      <c r="C4" s="3"/>
      <c r="D4" s="3"/>
      <c r="E4" s="3"/>
      <c r="F4" s="3"/>
      <c r="G4" s="3"/>
      <c r="H4" s="3"/>
      <c r="I4" s="3"/>
      <c r="J4" s="3"/>
      <c r="K4" s="3"/>
      <c r="L4" s="3"/>
    </row>
    <row r="5" spans="1:13" ht="22" customHeight="1" x14ac:dyDescent="0.25">
      <c r="A5" s="3"/>
      <c r="B5" s="36" t="str">
        <f>"Batches: "&amp;TEXT(COUNTA('📦 Made &amp; Stocked'!$B$8:$B$37),"0")</f>
        <v>Batches: 12</v>
      </c>
      <c r="C5" s="36"/>
      <c r="D5" s="36"/>
      <c r="E5" s="37" t="str">
        <f>"Made this year: "&amp;TEXT(SUM('📦 Made &amp; Stocked'!$D$8:$D$37),"#,##0")</f>
        <v>Made this year: 118</v>
      </c>
      <c r="F5" s="37"/>
      <c r="G5" s="37"/>
      <c r="H5" s="70" t="str">
        <f>"Sold: "&amp;TEXT(SUM('📦 Made &amp; Stocked'!$G$8:$G$37),"#,##0")</f>
        <v>Sold: 77</v>
      </c>
      <c r="I5" s="70"/>
      <c r="J5" s="70"/>
      <c r="K5" s="71" t="str">
        <f>"On the shelf: "&amp;TEXT(SUM('📦 Made &amp; Stocked'!$J$8:$J$37),"#,##0")</f>
        <v>On the shelf: 40</v>
      </c>
      <c r="L5" s="71"/>
      <c r="M5" s="71"/>
    </row>
    <row r="6" spans="1:13" ht="8" customHeight="1" x14ac:dyDescent="0.25">
      <c r="A6" s="3"/>
      <c r="B6" s="3"/>
      <c r="C6" s="3"/>
      <c r="D6" s="3"/>
      <c r="E6" s="3"/>
      <c r="F6" s="3"/>
      <c r="G6" s="3"/>
      <c r="H6" s="3"/>
      <c r="I6" s="3"/>
      <c r="J6" s="3"/>
      <c r="K6" s="3"/>
      <c r="L6" s="3"/>
    </row>
    <row r="7" spans="1:13" ht="36" customHeight="1" x14ac:dyDescent="0.25">
      <c r="A7" s="62" t="s">
        <v>1</v>
      </c>
      <c r="B7" s="62" t="s">
        <v>34</v>
      </c>
      <c r="C7" s="62" t="s">
        <v>269</v>
      </c>
      <c r="D7" s="62" t="s">
        <v>270</v>
      </c>
      <c r="E7" s="62" t="s">
        <v>271</v>
      </c>
      <c r="F7" s="62" t="s">
        <v>272</v>
      </c>
      <c r="G7" s="62" t="s">
        <v>273</v>
      </c>
      <c r="H7" s="62" t="s">
        <v>274</v>
      </c>
      <c r="I7" s="62" t="s">
        <v>275</v>
      </c>
      <c r="J7" s="62" t="s">
        <v>276</v>
      </c>
      <c r="K7" s="62" t="s">
        <v>277</v>
      </c>
      <c r="L7" s="62" t="s">
        <v>278</v>
      </c>
    </row>
    <row r="8" spans="1:13" ht="22" customHeight="1" x14ac:dyDescent="0.25">
      <c r="A8" s="68"/>
      <c r="B8" s="21" t="s">
        <v>172</v>
      </c>
      <c r="C8" s="87">
        <v>46083</v>
      </c>
      <c r="D8" s="75">
        <v>11</v>
      </c>
      <c r="E8" s="75">
        <v>1</v>
      </c>
      <c r="F8" s="75">
        <v>10</v>
      </c>
      <c r="G8" s="75">
        <v>6</v>
      </c>
      <c r="H8" s="75">
        <v>0</v>
      </c>
      <c r="I8" s="75">
        <v>0</v>
      </c>
      <c r="J8" s="65">
        <f>IF($B8="","",N($D8)+N($H8)-N($G8)-N($I8))</f>
        <v>5</v>
      </c>
      <c r="K8" s="65">
        <f>IF($B8="","",$J8-N($E8))</f>
        <v>4</v>
      </c>
      <c r="L8" s="21" t="s">
        <v>279</v>
      </c>
    </row>
    <row r="9" spans="1:13" ht="22" customHeight="1" x14ac:dyDescent="0.25">
      <c r="A9" s="63"/>
      <c r="B9" s="9" t="s">
        <v>176</v>
      </c>
      <c r="C9" s="88">
        <v>46093</v>
      </c>
      <c r="D9" s="79">
        <v>15</v>
      </c>
      <c r="E9" s="79">
        <v>1</v>
      </c>
      <c r="F9" s="79">
        <v>12</v>
      </c>
      <c r="G9" s="79">
        <v>5</v>
      </c>
      <c r="H9" s="79">
        <v>0</v>
      </c>
      <c r="I9" s="79">
        <v>0</v>
      </c>
      <c r="J9" s="65">
        <f>IF($B9="","",N($D9)+N($H9)-N($G9)-N($I9))</f>
        <v>10</v>
      </c>
      <c r="K9" s="65">
        <f>IF($B9="","",$J9-N($E9))</f>
        <v>9</v>
      </c>
      <c r="L9" s="9"/>
    </row>
    <row r="10" spans="1:13" ht="22" customHeight="1" x14ac:dyDescent="0.25">
      <c r="A10" s="68"/>
      <c r="B10" s="21" t="s">
        <v>180</v>
      </c>
      <c r="C10" s="87">
        <v>46130</v>
      </c>
      <c r="D10" s="75">
        <v>3</v>
      </c>
      <c r="E10" s="75">
        <v>0</v>
      </c>
      <c r="F10" s="75">
        <v>2</v>
      </c>
      <c r="G10" s="75">
        <v>1</v>
      </c>
      <c r="H10" s="75">
        <v>0</v>
      </c>
      <c r="I10" s="75">
        <v>0</v>
      </c>
      <c r="J10" s="65">
        <f>IF($B10="","",N($D10)+N($H10)-N($G10)-N($I10))</f>
        <v>2</v>
      </c>
      <c r="K10" s="65">
        <f>IF($B10="","",$J10-N($E10))</f>
        <v>2</v>
      </c>
      <c r="L10" s="21" t="s">
        <v>280</v>
      </c>
    </row>
    <row r="11" spans="1:13" ht="22" customHeight="1" x14ac:dyDescent="0.25">
      <c r="A11" s="63"/>
      <c r="B11" s="9" t="s">
        <v>184</v>
      </c>
      <c r="C11" s="88">
        <v>46114</v>
      </c>
      <c r="D11" s="79">
        <v>11</v>
      </c>
      <c r="E11" s="79">
        <v>1</v>
      </c>
      <c r="F11" s="79">
        <v>10</v>
      </c>
      <c r="G11" s="79">
        <v>8</v>
      </c>
      <c r="H11" s="79">
        <v>0</v>
      </c>
      <c r="I11" s="79">
        <v>0</v>
      </c>
      <c r="J11" s="65">
        <f>IF($B11="","",N($D11)+N($H11)-N($G11)-N($I11))</f>
        <v>3</v>
      </c>
      <c r="K11" s="65">
        <f>IF($B11="","",$J11-N($E11))</f>
        <v>2</v>
      </c>
      <c r="L11" s="9"/>
    </row>
    <row r="12" spans="1:13" ht="22" customHeight="1" x14ac:dyDescent="0.25">
      <c r="A12" s="68"/>
      <c r="B12" s="21" t="s">
        <v>188</v>
      </c>
      <c r="C12" s="87">
        <v>46256</v>
      </c>
      <c r="D12" s="75">
        <v>6</v>
      </c>
      <c r="E12" s="75">
        <v>0</v>
      </c>
      <c r="F12" s="75">
        <v>4</v>
      </c>
      <c r="G12" s="75">
        <v>2</v>
      </c>
      <c r="H12" s="75">
        <v>0</v>
      </c>
      <c r="I12" s="75">
        <v>0</v>
      </c>
      <c r="J12" s="65">
        <f>IF($B12="","",N($D12)+N($H12)-N($G12)-N($I12))</f>
        <v>4</v>
      </c>
      <c r="K12" s="65">
        <f>IF($B12="","",$J12-N($E12))</f>
        <v>4</v>
      </c>
      <c r="L12" s="21" t="s">
        <v>281</v>
      </c>
    </row>
    <row r="13" spans="1:13" ht="22" customHeight="1" x14ac:dyDescent="0.25">
      <c r="A13" s="63"/>
      <c r="B13" s="9" t="s">
        <v>192</v>
      </c>
      <c r="C13" s="88">
        <v>46109</v>
      </c>
      <c r="D13" s="79">
        <v>8</v>
      </c>
      <c r="E13" s="79">
        <v>0</v>
      </c>
      <c r="F13" s="79">
        <v>6</v>
      </c>
      <c r="G13" s="79">
        <v>5</v>
      </c>
      <c r="H13" s="79">
        <v>0</v>
      </c>
      <c r="I13" s="79">
        <v>0</v>
      </c>
      <c r="J13" s="65">
        <f>IF($B13="","",N($D13)+N($H13)-N($G13)-N($I13))</f>
        <v>3</v>
      </c>
      <c r="K13" s="65">
        <f>IF($B13="","",$J13-N($E13))</f>
        <v>3</v>
      </c>
      <c r="L13" s="9"/>
    </row>
    <row r="14" spans="1:13" ht="22" customHeight="1" x14ac:dyDescent="0.25">
      <c r="A14" s="68"/>
      <c r="B14" s="21" t="s">
        <v>196</v>
      </c>
      <c r="C14" s="87">
        <v>46073</v>
      </c>
      <c r="D14" s="75">
        <v>20</v>
      </c>
      <c r="E14" s="75">
        <v>0</v>
      </c>
      <c r="F14" s="75">
        <v>16</v>
      </c>
      <c r="G14" s="75">
        <v>14</v>
      </c>
      <c r="H14" s="75">
        <v>0</v>
      </c>
      <c r="I14" s="75">
        <v>1</v>
      </c>
      <c r="J14" s="65">
        <f>IF($B14="","",N($D14)+N($H14)-N($G14)-N($I14))</f>
        <v>5</v>
      </c>
      <c r="K14" s="65">
        <f>IF($B14="","",$J14-N($E14))</f>
        <v>5</v>
      </c>
      <c r="L14" s="21" t="s">
        <v>282</v>
      </c>
    </row>
    <row r="15" spans="1:13" ht="22" customHeight="1" x14ac:dyDescent="0.25">
      <c r="A15" s="63"/>
      <c r="B15" s="9" t="s">
        <v>200</v>
      </c>
      <c r="C15" s="88">
        <v>46063</v>
      </c>
      <c r="D15" s="79">
        <v>3</v>
      </c>
      <c r="E15" s="79">
        <v>0</v>
      </c>
      <c r="F15" s="79">
        <v>3</v>
      </c>
      <c r="G15" s="79">
        <v>2</v>
      </c>
      <c r="H15" s="79">
        <v>0</v>
      </c>
      <c r="I15" s="79">
        <v>0</v>
      </c>
      <c r="J15" s="65">
        <f>IF($B15="","",N($D15)+N($H15)-N($G15)-N($I15))</f>
        <v>1</v>
      </c>
      <c r="K15" s="65">
        <f>IF($B15="","",$J15-N($E15))</f>
        <v>1</v>
      </c>
      <c r="L15" s="9" t="s">
        <v>283</v>
      </c>
    </row>
    <row r="16" spans="1:13" ht="22" customHeight="1" x14ac:dyDescent="0.25">
      <c r="A16" s="68"/>
      <c r="B16" s="21" t="s">
        <v>204</v>
      </c>
      <c r="C16" s="87">
        <v>46144</v>
      </c>
      <c r="D16" s="75">
        <v>10</v>
      </c>
      <c r="E16" s="75">
        <v>0</v>
      </c>
      <c r="F16" s="75">
        <v>10</v>
      </c>
      <c r="G16" s="75">
        <v>10</v>
      </c>
      <c r="H16" s="75">
        <v>0</v>
      </c>
      <c r="I16" s="75">
        <v>0</v>
      </c>
      <c r="J16" s="65">
        <f>IF($B16="","",N($D16)+N($H16)-N($G16)-N($I16))</f>
        <v>0</v>
      </c>
      <c r="K16" s="65">
        <f>IF($B16="","",$J16-N($E16))</f>
        <v>0</v>
      </c>
      <c r="L16" s="21" t="s">
        <v>284</v>
      </c>
    </row>
    <row r="17" spans="1:12" ht="22" customHeight="1" x14ac:dyDescent="0.25">
      <c r="A17" s="63"/>
      <c r="B17" s="9" t="s">
        <v>208</v>
      </c>
      <c r="C17" s="88">
        <v>46259</v>
      </c>
      <c r="D17" s="79">
        <v>10</v>
      </c>
      <c r="E17" s="79">
        <v>2</v>
      </c>
      <c r="F17" s="79">
        <v>6</v>
      </c>
      <c r="G17" s="79">
        <v>3</v>
      </c>
      <c r="H17" s="79">
        <v>0</v>
      </c>
      <c r="I17" s="79">
        <v>0</v>
      </c>
      <c r="J17" s="65">
        <f>IF($B17="","",N($D17)+N($H17)-N($G17)-N($I17))</f>
        <v>7</v>
      </c>
      <c r="K17" s="65">
        <f>IF($B17="","",$J17-N($E17))</f>
        <v>5</v>
      </c>
      <c r="L17" s="9" t="s">
        <v>285</v>
      </c>
    </row>
    <row r="18" spans="1:12" ht="22" customHeight="1" x14ac:dyDescent="0.25">
      <c r="A18" s="68"/>
      <c r="B18" s="21" t="s">
        <v>212</v>
      </c>
      <c r="C18" s="87">
        <v>46086</v>
      </c>
      <c r="D18" s="75">
        <v>3</v>
      </c>
      <c r="E18" s="75">
        <v>0</v>
      </c>
      <c r="F18" s="75">
        <v>3</v>
      </c>
      <c r="G18" s="75">
        <v>3</v>
      </c>
      <c r="H18" s="75">
        <v>0</v>
      </c>
      <c r="I18" s="75">
        <v>0</v>
      </c>
      <c r="J18" s="65">
        <f>IF($B18="","",N($D18)+N($H18)-N($G18)-N($I18))</f>
        <v>0</v>
      </c>
      <c r="K18" s="65">
        <f>IF($B18="","",$J18-N($E18))</f>
        <v>0</v>
      </c>
      <c r="L18" s="21"/>
    </row>
    <row r="19" spans="1:12" ht="22" customHeight="1" x14ac:dyDescent="0.25">
      <c r="A19" s="63"/>
      <c r="B19" s="9" t="s">
        <v>216</v>
      </c>
      <c r="C19" s="88">
        <v>46132</v>
      </c>
      <c r="D19" s="79">
        <v>18</v>
      </c>
      <c r="E19" s="79">
        <v>0</v>
      </c>
      <c r="F19" s="79">
        <v>16</v>
      </c>
      <c r="G19" s="79">
        <v>18</v>
      </c>
      <c r="H19" s="79">
        <v>0</v>
      </c>
      <c r="I19" s="79">
        <v>0</v>
      </c>
      <c r="J19" s="65">
        <f>IF($B19="","",N($D19)+N($H19)-N($G19)-N($I19))</f>
        <v>0</v>
      </c>
      <c r="K19" s="65">
        <f>IF($B19="","",$J19-N($E19))</f>
        <v>0</v>
      </c>
      <c r="L19" s="9" t="s">
        <v>286</v>
      </c>
    </row>
    <row r="20" spans="1:12" ht="22" customHeight="1" x14ac:dyDescent="0.25">
      <c r="A20" s="68"/>
      <c r="B20" s="21"/>
      <c r="C20" s="87"/>
      <c r="D20" s="75"/>
      <c r="E20" s="75"/>
      <c r="F20" s="75"/>
      <c r="G20" s="75"/>
      <c r="H20" s="75"/>
      <c r="I20" s="75"/>
      <c r="J20" s="65">
        <f>IF($B20="","",N($D20)+N($H20)-N($G20)-N($I20))</f>
        <v>0</v>
      </c>
      <c r="K20" s="65">
        <f>IF($B20="","",$J20-N($E20))</f>
        <v>0</v>
      </c>
      <c r="L20" s="21"/>
    </row>
    <row r="21" spans="1:12" ht="22" customHeight="1" x14ac:dyDescent="0.25">
      <c r="A21" s="63"/>
      <c r="B21" s="9"/>
      <c r="C21" s="88"/>
      <c r="D21" s="79"/>
      <c r="E21" s="79"/>
      <c r="F21" s="79"/>
      <c r="G21" s="79"/>
      <c r="H21" s="79"/>
      <c r="I21" s="79"/>
      <c r="J21" s="65">
        <f>IF($B21="","",N($D21)+N($H21)-N($G21)-N($I21))</f>
        <v>0</v>
      </c>
      <c r="K21" s="65">
        <f>IF($B21="","",$J21-N($E21))</f>
        <v>0</v>
      </c>
      <c r="L21" s="9"/>
    </row>
    <row r="22" spans="1:12" ht="22" customHeight="1" x14ac:dyDescent="0.25">
      <c r="A22" s="68"/>
      <c r="B22" s="21"/>
      <c r="C22" s="87"/>
      <c r="D22" s="75"/>
      <c r="E22" s="75"/>
      <c r="F22" s="75"/>
      <c r="G22" s="75"/>
      <c r="H22" s="75"/>
      <c r="I22" s="75"/>
      <c r="J22" s="65">
        <f>IF($B22="","",N($D22)+N($H22)-N($G22)-N($I22))</f>
        <v>0</v>
      </c>
      <c r="K22" s="65">
        <f>IF($B22="","",$J22-N($E22))</f>
        <v>0</v>
      </c>
      <c r="L22" s="21"/>
    </row>
    <row r="23" spans="1:12" ht="22" customHeight="1" x14ac:dyDescent="0.25">
      <c r="A23" s="63"/>
      <c r="B23" s="9"/>
      <c r="C23" s="88"/>
      <c r="D23" s="79"/>
      <c r="E23" s="79"/>
      <c r="F23" s="79"/>
      <c r="G23" s="79"/>
      <c r="H23" s="79"/>
      <c r="I23" s="79"/>
      <c r="J23" s="65">
        <f>IF($B23="","",N($D23)+N($H23)-N($G23)-N($I23))</f>
        <v>0</v>
      </c>
      <c r="K23" s="65">
        <f>IF($B23="","",$J23-N($E23))</f>
        <v>0</v>
      </c>
      <c r="L23" s="9"/>
    </row>
    <row r="24" spans="1:12" ht="22" customHeight="1" x14ac:dyDescent="0.25">
      <c r="A24" s="68"/>
      <c r="B24" s="21"/>
      <c r="C24" s="87"/>
      <c r="D24" s="75"/>
      <c r="E24" s="75"/>
      <c r="F24" s="75"/>
      <c r="G24" s="75"/>
      <c r="H24" s="75"/>
      <c r="I24" s="75"/>
      <c r="J24" s="65">
        <f>IF($B24="","",N($D24)+N($H24)-N($G24)-N($I24))</f>
        <v>0</v>
      </c>
      <c r="K24" s="65">
        <f>IF($B24="","",$J24-N($E24))</f>
        <v>0</v>
      </c>
      <c r="L24" s="21"/>
    </row>
    <row r="25" spans="1:12" ht="22" customHeight="1" x14ac:dyDescent="0.25">
      <c r="A25" s="63"/>
      <c r="B25" s="9"/>
      <c r="C25" s="88"/>
      <c r="D25" s="79"/>
      <c r="E25" s="79"/>
      <c r="F25" s="79"/>
      <c r="G25" s="79"/>
      <c r="H25" s="79"/>
      <c r="I25" s="79"/>
      <c r="J25" s="65">
        <f>IF($B25="","",N($D25)+N($H25)-N($G25)-N($I25))</f>
        <v>0</v>
      </c>
      <c r="K25" s="65">
        <f>IF($B25="","",$J25-N($E25))</f>
        <v>0</v>
      </c>
      <c r="L25" s="9"/>
    </row>
    <row r="26" spans="1:12" ht="22" customHeight="1" x14ac:dyDescent="0.25">
      <c r="A26" s="68"/>
      <c r="B26" s="21"/>
      <c r="C26" s="87"/>
      <c r="D26" s="75"/>
      <c r="E26" s="75"/>
      <c r="F26" s="75"/>
      <c r="G26" s="75"/>
      <c r="H26" s="75"/>
      <c r="I26" s="75"/>
      <c r="J26" s="65">
        <f>IF($B26="","",N($D26)+N($H26)-N($G26)-N($I26))</f>
        <v>0</v>
      </c>
      <c r="K26" s="65">
        <f>IF($B26="","",$J26-N($E26))</f>
        <v>0</v>
      </c>
      <c r="L26" s="21"/>
    </row>
    <row r="27" spans="1:12" ht="22" customHeight="1" x14ac:dyDescent="0.25">
      <c r="A27" s="63"/>
      <c r="B27" s="9"/>
      <c r="C27" s="88"/>
      <c r="D27" s="79"/>
      <c r="E27" s="79"/>
      <c r="F27" s="79"/>
      <c r="G27" s="79"/>
      <c r="H27" s="79"/>
      <c r="I27" s="79"/>
      <c r="J27" s="65">
        <f>IF($B27="","",N($D27)+N($H27)-N($G27)-N($I27))</f>
        <v>0</v>
      </c>
      <c r="K27" s="65">
        <f>IF($B27="","",$J27-N($E27))</f>
        <v>0</v>
      </c>
      <c r="L27" s="9"/>
    </row>
    <row r="28" spans="1:12" ht="22" customHeight="1" x14ac:dyDescent="0.25">
      <c r="A28" s="68"/>
      <c r="B28" s="21"/>
      <c r="C28" s="87"/>
      <c r="D28" s="75"/>
      <c r="E28" s="75"/>
      <c r="F28" s="75"/>
      <c r="G28" s="75"/>
      <c r="H28" s="75"/>
      <c r="I28" s="75"/>
      <c r="J28" s="65">
        <f>IF($B28="","",N($D28)+N($H28)-N($G28)-N($I28))</f>
        <v>0</v>
      </c>
      <c r="K28" s="65">
        <f>IF($B28="","",$J28-N($E28))</f>
        <v>0</v>
      </c>
      <c r="L28" s="21"/>
    </row>
    <row r="29" spans="1:12" ht="22" customHeight="1" x14ac:dyDescent="0.25">
      <c r="A29" s="63"/>
      <c r="B29" s="9"/>
      <c r="C29" s="88"/>
      <c r="D29" s="79"/>
      <c r="E29" s="79"/>
      <c r="F29" s="79"/>
      <c r="G29" s="79"/>
      <c r="H29" s="79"/>
      <c r="I29" s="79"/>
      <c r="J29" s="65">
        <f>IF($B29="","",N($D29)+N($H29)-N($G29)-N($I29))</f>
        <v>0</v>
      </c>
      <c r="K29" s="65">
        <f>IF($B29="","",$J29-N($E29))</f>
        <v>0</v>
      </c>
      <c r="L29" s="9"/>
    </row>
    <row r="30" spans="1:12" ht="22" customHeight="1" x14ac:dyDescent="0.25">
      <c r="A30" s="68"/>
      <c r="B30" s="21"/>
      <c r="C30" s="87"/>
      <c r="D30" s="75"/>
      <c r="E30" s="75"/>
      <c r="F30" s="75"/>
      <c r="G30" s="75"/>
      <c r="H30" s="75"/>
      <c r="I30" s="75"/>
      <c r="J30" s="65">
        <f>IF($B30="","",N($D30)+N($H30)-N($G30)-N($I30))</f>
        <v>0</v>
      </c>
      <c r="K30" s="65">
        <f>IF($B30="","",$J30-N($E30))</f>
        <v>0</v>
      </c>
      <c r="L30" s="21"/>
    </row>
    <row r="31" spans="1:12" ht="22" customHeight="1" x14ac:dyDescent="0.25">
      <c r="A31" s="63"/>
      <c r="B31" s="9"/>
      <c r="C31" s="88"/>
      <c r="D31" s="79"/>
      <c r="E31" s="79"/>
      <c r="F31" s="79"/>
      <c r="G31" s="79"/>
      <c r="H31" s="79"/>
      <c r="I31" s="79"/>
      <c r="J31" s="65">
        <f>IF($B31="","",N($D31)+N($H31)-N($G31)-N($I31))</f>
        <v>0</v>
      </c>
      <c r="K31" s="65">
        <f>IF($B31="","",$J31-N($E31))</f>
        <v>0</v>
      </c>
      <c r="L31" s="9"/>
    </row>
    <row r="32" spans="1:12" ht="22" customHeight="1" x14ac:dyDescent="0.25">
      <c r="A32" s="68"/>
      <c r="B32" s="21"/>
      <c r="C32" s="87"/>
      <c r="D32" s="75"/>
      <c r="E32" s="75"/>
      <c r="F32" s="75"/>
      <c r="G32" s="75"/>
      <c r="H32" s="75"/>
      <c r="I32" s="75"/>
      <c r="J32" s="65">
        <f>IF($B32="","",N($D32)+N($H32)-N($G32)-N($I32))</f>
        <v>0</v>
      </c>
      <c r="K32" s="65">
        <f>IF($B32="","",$J32-N($E32))</f>
        <v>0</v>
      </c>
      <c r="L32" s="21"/>
    </row>
    <row r="33" spans="1:12" ht="22" customHeight="1" x14ac:dyDescent="0.25">
      <c r="A33" s="63"/>
      <c r="B33" s="9"/>
      <c r="C33" s="88"/>
      <c r="D33" s="79"/>
      <c r="E33" s="79"/>
      <c r="F33" s="79"/>
      <c r="G33" s="79"/>
      <c r="H33" s="79"/>
      <c r="I33" s="79"/>
      <c r="J33" s="65">
        <f>IF($B33="","",N($D33)+N($H33)-N($G33)-N($I33))</f>
        <v>0</v>
      </c>
      <c r="K33" s="65">
        <f>IF($B33="","",$J33-N($E33))</f>
        <v>0</v>
      </c>
      <c r="L33" s="9"/>
    </row>
    <row r="34" spans="1:12" ht="22" customHeight="1" x14ac:dyDescent="0.25">
      <c r="A34" s="68"/>
      <c r="B34" s="21"/>
      <c r="C34" s="87"/>
      <c r="D34" s="75"/>
      <c r="E34" s="75"/>
      <c r="F34" s="75"/>
      <c r="G34" s="75"/>
      <c r="H34" s="75"/>
      <c r="I34" s="75"/>
      <c r="J34" s="65">
        <f>IF($B34="","",N($D34)+N($H34)-N($G34)-N($I34))</f>
        <v>0</v>
      </c>
      <c r="K34" s="65">
        <f>IF($B34="","",$J34-N($E34))</f>
        <v>0</v>
      </c>
      <c r="L34" s="21"/>
    </row>
    <row r="35" spans="1:12" ht="22" customHeight="1" x14ac:dyDescent="0.25">
      <c r="A35" s="63"/>
      <c r="B35" s="9"/>
      <c r="C35" s="88"/>
      <c r="D35" s="79"/>
      <c r="E35" s="79"/>
      <c r="F35" s="79"/>
      <c r="G35" s="79"/>
      <c r="H35" s="79"/>
      <c r="I35" s="79"/>
      <c r="J35" s="65">
        <f>IF($B35="","",N($D35)+N($H35)-N($G35)-N($I35))</f>
        <v>0</v>
      </c>
      <c r="K35" s="65">
        <f>IF($B35="","",$J35-N($E35))</f>
        <v>0</v>
      </c>
      <c r="L35" s="9"/>
    </row>
    <row r="36" spans="1:12" ht="22" customHeight="1" x14ac:dyDescent="0.25">
      <c r="A36" s="68"/>
      <c r="B36" s="21"/>
      <c r="C36" s="87"/>
      <c r="D36" s="75"/>
      <c r="E36" s="75"/>
      <c r="F36" s="75"/>
      <c r="G36" s="75"/>
      <c r="H36" s="75"/>
      <c r="I36" s="75"/>
      <c r="J36" s="65">
        <f>IF($B36="","",N($D36)+N($H36)-N($G36)-N($I36))</f>
        <v>0</v>
      </c>
      <c r="K36" s="65">
        <f>IF($B36="","",$J36-N($E36))</f>
        <v>0</v>
      </c>
      <c r="L36" s="21"/>
    </row>
    <row r="37" spans="1:12" ht="22" customHeight="1" x14ac:dyDescent="0.25">
      <c r="A37" s="63"/>
      <c r="B37" s="9"/>
      <c r="C37" s="88"/>
      <c r="D37" s="79"/>
      <c r="E37" s="79"/>
      <c r="F37" s="79"/>
      <c r="G37" s="79"/>
      <c r="H37" s="79"/>
      <c r="I37" s="79"/>
      <c r="J37" s="65">
        <f>IF($B37="","",N($D37)+N($H37)-N($G37)-N($I37))</f>
        <v>0</v>
      </c>
      <c r="K37" s="65">
        <f>IF($B37="","",$J37-N($E37))</f>
        <v>0</v>
      </c>
      <c r="L37" s="9"/>
    </row>
    <row r="38" spans="1:12" x14ac:dyDescent="0.25">
      <c r="A38" s="3"/>
      <c r="B38" s="3"/>
      <c r="C38" s="3"/>
      <c r="D38" s="3"/>
      <c r="E38" s="3"/>
      <c r="F38" s="3"/>
      <c r="G38" s="3"/>
      <c r="H38" s="3"/>
      <c r="I38" s="3"/>
      <c r="J38" s="3"/>
      <c r="K38" s="3"/>
      <c r="L38" s="3"/>
    </row>
    <row r="39" spans="1:12" ht="24" customHeight="1" x14ac:dyDescent="0.25">
      <c r="A39" s="3"/>
      <c r="B39" s="80"/>
      <c r="C39" s="82" t="s">
        <v>264</v>
      </c>
      <c r="D39" s="84">
        <f>SUM('📦 Made &amp; Stocked'!$D$8:$D$37)</f>
        <v>118</v>
      </c>
      <c r="E39" s="82"/>
      <c r="F39" s="84">
        <f>SUM('📦 Made &amp; Stocked'!$F$8:$F$37)</f>
        <v>98</v>
      </c>
      <c r="G39" s="84">
        <f>SUM('📦 Made &amp; Stocked'!$G$8:$G$37)</f>
        <v>77</v>
      </c>
      <c r="H39" s="80"/>
      <c r="I39" s="80"/>
      <c r="J39" s="84">
        <f>SUM('📦 Made &amp; Stocked'!$J$8:$J$37)</f>
        <v>40</v>
      </c>
      <c r="K39" s="3"/>
      <c r="L39" s="3"/>
    </row>
    <row r="40" spans="1:12" x14ac:dyDescent="0.25">
      <c r="A40" s="3"/>
      <c r="B40" s="3"/>
      <c r="C40" s="3"/>
      <c r="D40" s="3"/>
      <c r="E40" s="3"/>
      <c r="F40" s="3"/>
      <c r="G40" s="3"/>
      <c r="H40" s="3"/>
      <c r="I40" s="3"/>
      <c r="J40" s="3"/>
      <c r="K40" s="3"/>
      <c r="L40" s="3"/>
    </row>
    <row r="41" spans="1:12" ht="22" customHeight="1" x14ac:dyDescent="0.25">
      <c r="A41" s="3"/>
      <c r="B41" s="60" t="s">
        <v>220</v>
      </c>
      <c r="C41" s="60"/>
      <c r="D41" s="60"/>
      <c r="E41" s="60"/>
      <c r="F41" s="60"/>
      <c r="G41" s="60"/>
      <c r="H41" s="60"/>
      <c r="I41" s="60"/>
      <c r="J41" s="60"/>
      <c r="K41" s="60"/>
      <c r="L41" s="60"/>
    </row>
    <row r="42" spans="1:12" ht="51.8" customHeight="1" x14ac:dyDescent="0.25">
      <c r="A42" s="3"/>
      <c r="B42" s="15" t="s">
        <v>287</v>
      </c>
      <c r="C42" s="15"/>
      <c r="D42" s="15"/>
      <c r="E42" s="15"/>
      <c r="F42" s="15"/>
      <c r="G42" s="15"/>
      <c r="H42" s="15"/>
      <c r="I42" s="15"/>
      <c r="J42" s="15"/>
      <c r="K42" s="15"/>
      <c r="L42" s="15"/>
    </row>
    <row r="43" spans="1:12" x14ac:dyDescent="0.25">
      <c r="A43" s="3"/>
      <c r="B43" s="3"/>
      <c r="C43" s="3"/>
      <c r="D43" s="3"/>
      <c r="E43" s="3"/>
      <c r="F43" s="3"/>
      <c r="G43" s="3"/>
      <c r="H43" s="3"/>
      <c r="I43" s="3"/>
      <c r="J43" s="3"/>
      <c r="K43" s="3"/>
      <c r="L43" s="3"/>
    </row>
    <row r="44" spans="1:12" x14ac:dyDescent="0.25">
      <c r="A44" s="3"/>
      <c r="B44" s="3"/>
      <c r="C44" s="3"/>
      <c r="D44" s="3"/>
      <c r="E44" s="3"/>
      <c r="F44" s="3"/>
      <c r="G44" s="3"/>
      <c r="H44" s="3"/>
      <c r="I44" s="3"/>
      <c r="J44" s="3"/>
      <c r="K44" s="3"/>
      <c r="L44" s="3"/>
    </row>
    <row r="45" spans="1:12" x14ac:dyDescent="0.25">
      <c r="A45" s="3"/>
      <c r="B45" s="3"/>
      <c r="C45" s="3"/>
      <c r="D45" s="3"/>
      <c r="E45" s="3"/>
      <c r="F45" s="3"/>
      <c r="G45" s="3"/>
      <c r="H45" s="3"/>
      <c r="I45" s="3"/>
      <c r="J45" s="3"/>
      <c r="K45" s="3"/>
      <c r="L45" s="3"/>
    </row>
    <row r="46" spans="1:12" ht="30" customHeight="1" x14ac:dyDescent="0.25">
      <c r="A46" s="3"/>
      <c r="B46" s="25" t="s">
        <v>222</v>
      </c>
      <c r="C46" s="25"/>
      <c r="D46" s="25"/>
      <c r="E46" s="25"/>
      <c r="F46" s="25"/>
      <c r="G46" s="25"/>
      <c r="H46" s="25"/>
      <c r="I46" s="25"/>
      <c r="J46" s="25"/>
      <c r="K46" s="25"/>
      <c r="L46" s="25"/>
    </row>
    <row r="47" spans="1:12" x14ac:dyDescent="0.25">
      <c r="A47" s="3"/>
      <c r="B47" s="3"/>
      <c r="C47" s="3"/>
      <c r="D47" s="3"/>
      <c r="E47" s="3"/>
      <c r="F47" s="3"/>
      <c r="G47" s="3"/>
      <c r="H47" s="3"/>
      <c r="I47" s="3"/>
      <c r="J47" s="3"/>
      <c r="K47" s="3"/>
      <c r="L47" s="3"/>
    </row>
    <row r="48" spans="1:12" ht="24" customHeight="1" x14ac:dyDescent="0.25">
      <c r="A48" s="3"/>
      <c r="B48" s="26" t="s">
        <v>155</v>
      </c>
      <c r="C48" s="26"/>
      <c r="D48" s="27" t="s">
        <v>126</v>
      </c>
      <c r="E48" s="27"/>
      <c r="F48" s="28" t="s">
        <v>127</v>
      </c>
      <c r="G48" s="28"/>
      <c r="H48" s="29" t="s">
        <v>128</v>
      </c>
      <c r="I48" s="29"/>
      <c r="J48" s="30" t="s">
        <v>288</v>
      </c>
      <c r="K48" s="30"/>
      <c r="L48" s="3"/>
    </row>
    <row r="49" spans="2:11" ht="24" customHeight="1" x14ac:dyDescent="0.25">
      <c r="B49" s="31" t="s">
        <v>129</v>
      </c>
      <c r="C49" s="31"/>
      <c r="D49" s="32" t="s">
        <v>39</v>
      </c>
      <c r="E49" s="32"/>
      <c r="F49" s="33" t="s">
        <v>130</v>
      </c>
      <c r="G49" s="33"/>
      <c r="H49" s="27" t="s">
        <v>131</v>
      </c>
      <c r="I49" s="27"/>
      <c r="J49" s="29" t="s">
        <v>132</v>
      </c>
      <c r="K49" s="29"/>
    </row>
    <row r="50" spans="2:11" ht="24" customHeight="1" x14ac:dyDescent="0.25">
      <c r="B50" s="26" t="s">
        <v>133</v>
      </c>
      <c r="C50" s="26"/>
      <c r="D50" s="27" t="s">
        <v>134</v>
      </c>
      <c r="E50" s="27"/>
      <c r="F50" s="28" t="s">
        <v>135</v>
      </c>
      <c r="G50" s="28"/>
    </row>
  </sheetData>
  <sheetProtection password="EC7C" sheet="1" formatCells="0" formatColumns="0" formatRows="0" insertColumns="0" insertRows="0" insertHyperlinks="0" deleteColumns="0" deleteRows="0" sort="0" autoFilter="0"/>
  <mergeCells count="24">
    <mergeCell ref="B2:I2"/>
    <mergeCell ref="B3:I3"/>
    <mergeCell ref="J3:L3"/>
    <mergeCell ref="B5:D5"/>
    <mergeCell ref="E5:G5"/>
    <mergeCell ref="H5:J5"/>
    <mergeCell ref="K5:M5"/>
    <mergeCell ref="C39:E39"/>
    <mergeCell ref="B41:L41"/>
    <mergeCell ref="B42:L42"/>
    <mergeCell ref="B46:L46"/>
    <mergeCell ref="B48:C48"/>
    <mergeCell ref="D48:E48"/>
    <mergeCell ref="F48:G48"/>
    <mergeCell ref="H48:I48"/>
    <mergeCell ref="J48:K48"/>
    <mergeCell ref="B49:C49"/>
    <mergeCell ref="D49:E49"/>
    <mergeCell ref="F49:G49"/>
    <mergeCell ref="H49:I49"/>
    <mergeCell ref="J49:K49"/>
    <mergeCell ref="B50:C50"/>
    <mergeCell ref="D50:E50"/>
    <mergeCell ref="F50:G50"/>
  </mergeCells>
  <conditionalFormatting sqref="J8:J37">
    <cfRule type="dataBar" priority="2">
      <dataBar>
        <cfvo type="min"/>
        <cfvo type="max"/>
        <color rgb="FF4C7A4C"/>
      </dataBar>
      <extLst>
        <ext xmlns:x14="http://schemas.microsoft.com/office/spreadsheetml/2009/9/main" uri="{B025F937-C7B1-47D3-B67F-A62EFF666E3E}">
          <x14:id>{DA7ABA51-AAAA-BBBB-0006-000000000001}</x14:id>
        </ext>
      </extLst>
    </cfRule>
  </conditionalFormatting>
  <conditionalFormatting sqref="K8:K37">
    <cfRule type="expression" dxfId="3" priority="1">
      <formula>AND($B8&lt;&gt;"",$K8&lt;0)</formula>
    </cfRule>
  </conditionalFormatting>
  <dataValidations count="8">
    <dataValidation type="list" allowBlank="1" showInputMessage="1" promptTitle="Product" prompt="Pick a product from your catalog." sqref="B8:B37">
      <formula1>ProductsList</formula1>
    </dataValidation>
    <dataValidation type="date" errorStyle="warning" allowBlank="1" showInputMessage="1" showErrorMessage="1" errorTitle="That's not a date" error="Enter a date between 2000 and 2100." promptTitle="Date" prompt="Type a date, or pick one from the calendar picker." sqref="C8:C37">
      <formula1>36526</formula1>
      <formula2>73415</formula2>
    </dataValidation>
    <dataValidation type="whole" errorStyle="warning" allowBlank="1" showInputMessage="1" showErrorMessage="1" errorTitle="Whole numbers only" error="Please enter a whole number." sqref="D8:D37">
      <formula1>0</formula1>
      <formula2>9999</formula2>
    </dataValidation>
    <dataValidation type="whole" errorStyle="warning" allowBlank="1" showInputMessage="1" showErrorMessage="1" errorTitle="Whole numbers only" error="Please enter a whole number." sqref="E8:E37">
      <formula1>0</formula1>
      <formula2>9999</formula2>
    </dataValidation>
    <dataValidation type="whole" errorStyle="warning" allowBlank="1" showInputMessage="1" showErrorMessage="1" errorTitle="Whole numbers only" error="Please enter a whole number." sqref="F8:F37">
      <formula1>0</formula1>
      <formula2>9999</formula2>
    </dataValidation>
    <dataValidation type="whole" errorStyle="warning" allowBlank="1" showInputMessage="1" showErrorMessage="1" errorTitle="Whole numbers only" error="Please enter a whole number." sqref="G8:G37">
      <formula1>0</formula1>
      <formula2>9999</formula2>
    </dataValidation>
    <dataValidation type="whole" errorStyle="warning" allowBlank="1" showInputMessage="1" showErrorMessage="1" errorTitle="Whole numbers only" error="Please enter a whole number." sqref="H8:H37">
      <formula1>0</formula1>
      <formula2>9999</formula2>
    </dataValidation>
    <dataValidation type="whole" errorStyle="warning" allowBlank="1" showInputMessage="1" showErrorMessage="1" errorTitle="Whole numbers only" error="Please enter a whole number." sqref="I8:I37">
      <formula1>0</formula1>
      <formula2>9999</formula2>
    </dataValidation>
  </dataValidations>
  <hyperlinks>
    <hyperlink ref="J3" location="'📊 Dashboard'!A1" display="🏠  Dashboard"/>
    <hyperlink ref="B48" location="'⚙️ Lists &amp; Settings'!A1" display="Settings"/>
    <hyperlink ref="D48" location="'📊 Dashboard'!A1" display="🏠 Home"/>
    <hyperlink ref="F48" location="'🧶 Product Catalog'!A1" display="Products"/>
    <hyperlink ref="H48" location="'🧵 Yarn &amp; Materials'!A1" display="Yarn"/>
    <hyperlink ref="J48" location="'📦 Made &amp; Stocked'!A1" display="▶ Stock"/>
    <hyperlink ref="B49" location="'🏪 Craft Fairs'!A1" display="Fairs"/>
    <hyperlink ref="D49" location="'💰 Sales Log'!A1" display="Sales"/>
    <hyperlink ref="F49" location="'🧮 Event Profit'!A1" display="Event $"/>
    <hyperlink ref="H49" location="'🔄 Reorder List'!A1" display="Reorder"/>
    <hyperlink ref="J49" location="'🎒 Packing Checklist'!A1" display="Packing"/>
    <hyperlink ref="B50" location="'💵 Pricing Calculator'!A1" display="Pricing"/>
    <hyperlink ref="D50" location="'📅 Monthly Summary'!A1" display="Monthly"/>
    <hyperlink ref="F50"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6-000000000001}">
            <x14:dataBar minLength="0" maxLength="100" border="1" gradient="0" negativeBarBorderColorSameAsPositive="0">
              <x14:cfvo type="min"/>
              <x14:cfvo type="max"/>
              <x14:borderColor rgb="FF4C7A4C"/>
              <x14:negativeFillColor rgb="FFFF0000"/>
              <x14:negativeBorderColor rgb="FFFF0000"/>
              <x14:axisColor rgb="FF000000"/>
            </x14:dataBar>
          </x14:cfRule>
          <xm:sqref>J8:J37</xm:sqref>
        </x14:conditionalFormatting>
      </x14:conditionalFormattings>
    </ext>
  </extLst>
</worksheet>
</file>

<file path=xl/worksheets/sheet7.xml><?xml version="1.0" encoding="utf-8"?>
<worksheet xmlns="http://schemas.openxmlformats.org/spreadsheetml/2006/main" xmlns:r="http://schemas.openxmlformats.org/officeDocument/2006/relationships">
  <sheetPr>
    <tabColor rgb="FFB98A2E"/>
    <pageSetUpPr fitToPage="1"/>
  </sheetPr>
  <dimension ref="A1:R43"/>
  <sheetViews>
    <sheetView showGridLines="0" zoomScale="80" zoomScaleNormal="80" workbookViewId="0"/>
  </sheetViews>
  <sheetFormatPr defaultRowHeight="15"/>
  <cols>
    <col min="1" max="1" width="2.85546875" customWidth="1"/>
    <col min="2" max="2" width="22.7109375" customWidth="1"/>
    <col min="3" max="3" width="12.7109375" customWidth="1"/>
    <col min="4" max="4" width="18.7109375" customWidth="1"/>
    <col min="5" max="5" width="16.7109375" customWidth="1"/>
    <col min="6" max="10" width="9.7109375" customWidth="1"/>
    <col min="11" max="11" width="10.7109375" customWidth="1"/>
    <col min="12" max="13" width="8.7109375" customWidth="1"/>
    <col min="14" max="16" width="10.7109375" customWidth="1"/>
    <col min="17" max="17" width="9.7109375" customWidth="1"/>
    <col min="18" max="18" width="22.7109375" customWidth="1"/>
  </cols>
  <sheetData>
    <row r="1" spans="1:18" ht="7" customHeight="1">
      <c r="A1" s="3"/>
      <c r="B1" s="3"/>
      <c r="C1" s="3"/>
      <c r="D1" s="3"/>
      <c r="E1" s="3"/>
      <c r="F1" s="3"/>
      <c r="G1" s="3"/>
      <c r="H1" s="3"/>
      <c r="I1" s="3"/>
      <c r="J1" s="3"/>
      <c r="K1" s="3"/>
      <c r="L1" s="3"/>
      <c r="M1" s="3"/>
      <c r="N1" s="3"/>
      <c r="O1" s="3"/>
      <c r="P1" s="3"/>
      <c r="Q1" s="3"/>
      <c r="R1" s="3"/>
    </row>
    <row r="2" spans="1:18" ht="32" customHeight="1">
      <c r="A2" s="3"/>
      <c r="B2" s="4" t="s">
        <v>289</v>
      </c>
      <c r="C2" s="4"/>
      <c r="D2" s="4"/>
      <c r="E2" s="4"/>
      <c r="F2" s="4"/>
      <c r="G2" s="4"/>
      <c r="H2" s="4"/>
      <c r="I2" s="4"/>
      <c r="J2" s="4"/>
      <c r="K2" s="4"/>
      <c r="L2" s="4"/>
      <c r="M2" s="4"/>
      <c r="N2" s="4"/>
      <c r="O2" s="4"/>
      <c r="P2" s="3"/>
      <c r="Q2" s="3"/>
      <c r="R2" s="3"/>
    </row>
    <row r="3" spans="1:18" ht="18" customHeight="1">
      <c r="A3" s="3"/>
      <c r="B3" s="5" t="s">
        <v>290</v>
      </c>
      <c r="C3" s="5"/>
      <c r="D3" s="5"/>
      <c r="E3" s="5"/>
      <c r="F3" s="5"/>
      <c r="G3" s="5"/>
      <c r="H3" s="5"/>
      <c r="I3" s="5"/>
      <c r="J3" s="5"/>
      <c r="K3" s="5"/>
      <c r="L3" s="5"/>
      <c r="M3" s="5"/>
      <c r="N3" s="5"/>
      <c r="O3" s="5"/>
      <c r="P3" s="6" t="s">
        <v>70</v>
      </c>
      <c r="Q3" s="6"/>
      <c r="R3" s="6"/>
    </row>
    <row r="4" spans="1:18" ht="8" customHeight="1">
      <c r="A4" s="3"/>
      <c r="B4" s="3"/>
      <c r="C4" s="3"/>
      <c r="D4" s="3"/>
      <c r="E4" s="3"/>
      <c r="F4" s="3"/>
      <c r="G4" s="3"/>
      <c r="H4" s="3"/>
      <c r="I4" s="3"/>
      <c r="J4" s="3"/>
      <c r="K4" s="3"/>
      <c r="L4" s="3"/>
      <c r="M4" s="3"/>
      <c r="N4" s="3"/>
      <c r="O4" s="3"/>
      <c r="P4" s="3"/>
      <c r="Q4" s="3"/>
      <c r="R4" s="3"/>
    </row>
    <row r="5" spans="1:18" ht="22" customHeight="1">
      <c r="A5" s="3"/>
      <c r="B5" s="37" t="str">
        <f>"Fairs booked: "&amp;TEXT(COUNTA('🏪 Craft Fairs'!$B$8:$B$31),"0")</f>
        <v>Fairs booked: 8</v>
      </c>
      <c r="C5" s="37"/>
      <c r="D5" s="37"/>
      <c r="E5" s="39" t="str">
        <f>"Fair costs: "&amp;Currency&amp;TEXT(SUM('🏪 Craft Fairs'!$K$8:$K$31),"#,##0.00")</f>
        <v>Fair costs: $680.00</v>
      </c>
      <c r="F5" s="39"/>
      <c r="G5" s="39"/>
      <c r="H5" s="36" t="str">
        <f>"Sales: "&amp;Currency&amp;TEXT(SUM('🏪 Craft Fairs'!$N$8:$N$31),"#,##0.00")</f>
        <v>Sales: $1,760.00</v>
      </c>
      <c r="I5" s="36"/>
      <c r="J5" s="36"/>
      <c r="K5" s="71" t="str">
        <f>"Net: "&amp;Currency&amp;TEXT(SUM('🏪 Craft Fairs'!$P$8:$P$31),"#,##0.00")</f>
        <v>Net: $716.50</v>
      </c>
      <c r="L5" s="71"/>
      <c r="M5" s="71"/>
      <c r="N5" s="3"/>
      <c r="O5" s="3"/>
      <c r="P5" s="3"/>
      <c r="Q5" s="3"/>
      <c r="R5" s="3"/>
    </row>
    <row r="6" spans="1:18" ht="8" customHeight="1">
      <c r="A6" s="3"/>
      <c r="B6" s="3"/>
      <c r="C6" s="3"/>
      <c r="D6" s="3"/>
      <c r="E6" s="3"/>
      <c r="F6" s="3"/>
      <c r="G6" s="3"/>
      <c r="H6" s="3"/>
      <c r="I6" s="3"/>
      <c r="J6" s="3"/>
      <c r="K6" s="3"/>
      <c r="L6" s="3"/>
      <c r="M6" s="3"/>
      <c r="N6" s="3"/>
      <c r="O6" s="3"/>
      <c r="P6" s="3"/>
      <c r="Q6" s="3"/>
      <c r="R6" s="3"/>
    </row>
    <row r="7" spans="1:18" ht="36" customHeight="1">
      <c r="A7" s="62" t="s">
        <v>1</v>
      </c>
      <c r="B7" s="62" t="s">
        <v>291</v>
      </c>
      <c r="C7" s="62" t="s">
        <v>292</v>
      </c>
      <c r="D7" s="62" t="s">
        <v>293</v>
      </c>
      <c r="E7" s="62" t="s">
        <v>294</v>
      </c>
      <c r="F7" s="62" t="s">
        <v>295</v>
      </c>
      <c r="G7" s="62" t="s">
        <v>30</v>
      </c>
      <c r="H7" s="62" t="s">
        <v>31</v>
      </c>
      <c r="I7" s="62" t="s">
        <v>296</v>
      </c>
      <c r="J7" s="62" t="s">
        <v>297</v>
      </c>
      <c r="K7" s="62" t="s">
        <v>298</v>
      </c>
      <c r="L7" s="62" t="s">
        <v>299</v>
      </c>
      <c r="M7" s="62" t="s">
        <v>300</v>
      </c>
      <c r="N7" s="62" t="s">
        <v>39</v>
      </c>
      <c r="O7" s="62" t="s">
        <v>301</v>
      </c>
      <c r="P7" s="62" t="s">
        <v>44</v>
      </c>
      <c r="Q7" s="62" t="s">
        <v>7</v>
      </c>
      <c r="R7" s="62" t="s">
        <v>302</v>
      </c>
    </row>
    <row r="8" spans="1:18" ht="22" customHeight="1">
      <c r="A8" s="68"/>
      <c r="B8" s="21" t="s">
        <v>303</v>
      </c>
      <c r="C8" s="87">
        <v>46095</v>
      </c>
      <c r="D8" s="21" t="s">
        <v>304</v>
      </c>
      <c r="E8" s="21" t="s">
        <v>305</v>
      </c>
      <c r="F8" s="73">
        <v>45</v>
      </c>
      <c r="G8" s="73">
        <v>12</v>
      </c>
      <c r="H8" s="73">
        <v>5</v>
      </c>
      <c r="I8" s="73">
        <v>8</v>
      </c>
      <c r="J8" s="73">
        <v>20</v>
      </c>
      <c r="K8" s="66">
        <f>IF($B8="","",ROUND(N($F8)+N($G8)+N($H8)+N($I8)+N($J8),2))</f>
        <v>90</v>
      </c>
      <c r="L8" s="75">
        <v>38</v>
      </c>
      <c r="M8" s="65">
        <f>IF($B8="","",SUMIFS('💰 Sales Log'!$E$8:$E$67,'💰 Sales Log'!$C$8:$C$67,$B8))</f>
        <v>14</v>
      </c>
      <c r="N8" s="66">
        <f>IF($B8="","",SUMIFS('💰 Sales Log'!$H$8:$H$67,'💰 Sales Log'!$C$8:$C$67,$B8))</f>
        <v>300.0</v>
      </c>
      <c r="O8" s="66">
        <f>IF($B8="","",SUMIFS('💰 Sales Log'!$M$8:$M$67,'💰 Sales Log'!$C$8:$C$67,$B8))</f>
        <v>58.8</v>
      </c>
      <c r="P8" s="66">
        <f>IF($B8="","",ROUND($N8-$K8-$O8,2))</f>
        <v>151.2</v>
      </c>
      <c r="Q8" s="67">
        <f>IF(OR($B8="",$N8=0),"",IFERROR($P8/$N8,0))</f>
        <v>0.504</v>
      </c>
      <c r="R8" s="21" t="s">
        <v>196</v>
      </c>
    </row>
    <row r="9" spans="1:18" ht="22" customHeight="1">
      <c r="A9" s="63"/>
      <c r="B9" s="9" t="s">
        <v>306</v>
      </c>
      <c r="C9" s="88">
        <v>46117</v>
      </c>
      <c r="D9" s="9" t="s">
        <v>307</v>
      </c>
      <c r="E9" s="9" t="s">
        <v>308</v>
      </c>
      <c r="F9" s="13">
        <v>30</v>
      </c>
      <c r="G9" s="13">
        <v>8</v>
      </c>
      <c r="H9" s="13">
        <v>0</v>
      </c>
      <c r="I9" s="13">
        <v>6</v>
      </c>
      <c r="J9" s="13">
        <v>10</v>
      </c>
      <c r="K9" s="66">
        <f>IF($B9="","",ROUND(N($F9)+N($G9)+N($H9)+N($I9)+N($J9),2))</f>
        <v>54</v>
      </c>
      <c r="L9" s="79">
        <v>20</v>
      </c>
      <c r="M9" s="65">
        <f>IF($B9="","",SUMIFS('💰 Sales Log'!$E$8:$E$67,'💰 Sales Log'!$C$8:$C$67,$B9))</f>
        <v>9</v>
      </c>
      <c r="N9" s="66">
        <f>IF($B9="","",SUMIFS('💰 Sales Log'!$H$8:$H$67,'💰 Sales Log'!$C$8:$C$67,$B9))</f>
        <v>174.0</v>
      </c>
      <c r="O9" s="66">
        <f>IF($B9="","",SUMIFS('💰 Sales Log'!$M$8:$M$67,'💰 Sales Log'!$C$8:$C$67,$B9))</f>
        <v>30.4</v>
      </c>
      <c r="P9" s="66">
        <f>IF($B9="","",ROUND($N9-$K9-$O9,2))</f>
        <v>89.6</v>
      </c>
      <c r="Q9" s="67">
        <f>IF(OR($B9="",$N9=0),"",IFERROR($P9/$N9,0))</f>
        <v>0.5149425287356322</v>
      </c>
      <c r="R9" s="9" t="s">
        <v>196</v>
      </c>
    </row>
    <row r="10" spans="1:18" ht="22" customHeight="1">
      <c r="A10" s="68"/>
      <c r="B10" s="21" t="s">
        <v>309</v>
      </c>
      <c r="C10" s="87">
        <v>46158</v>
      </c>
      <c r="D10" s="21" t="s">
        <v>310</v>
      </c>
      <c r="E10" s="21" t="s">
        <v>311</v>
      </c>
      <c r="F10" s="73">
        <v>25</v>
      </c>
      <c r="G10" s="73">
        <v>6</v>
      </c>
      <c r="H10" s="73">
        <v>0</v>
      </c>
      <c r="I10" s="73">
        <v>5</v>
      </c>
      <c r="J10" s="73">
        <v>8</v>
      </c>
      <c r="K10" s="66">
        <f>IF($B10="","",ROUND(N($F10)+N($G10)+N($H10)+N($I10)+N($J10),2))</f>
        <v>44</v>
      </c>
      <c r="L10" s="75">
        <v>30</v>
      </c>
      <c r="M10" s="65">
        <f>IF($B10="","",SUMIFS('💰 Sales Log'!$E$8:$E$67,'💰 Sales Log'!$C$8:$C$67,$B10))</f>
        <v>19</v>
      </c>
      <c r="N10" s="66">
        <f>IF($B10="","",SUMIFS('💰 Sales Log'!$H$8:$H$67,'💰 Sales Log'!$C$8:$C$67,$B10))</f>
        <v>244.0</v>
      </c>
      <c r="O10" s="66">
        <f>IF($B10="","",SUMIFS('💰 Sales Log'!$M$8:$M$67,'💰 Sales Log'!$C$8:$C$67,$B10))</f>
        <v>43.5</v>
      </c>
      <c r="P10" s="66">
        <f>IF($B10="","",ROUND($N10-$K10-$O10,2))</f>
        <v>156.5</v>
      </c>
      <c r="Q10" s="67">
        <f>IF(OR($B10="",$N10=0),"",IFERROR($P10/$N10,0))</f>
        <v>0.6413934426229508</v>
      </c>
      <c r="R10" s="21" t="s">
        <v>216</v>
      </c>
    </row>
    <row r="11" spans="1:18" ht="22" customHeight="1">
      <c r="A11" s="63"/>
      <c r="B11" s="9" t="s">
        <v>312</v>
      </c>
      <c r="C11" s="88">
        <v>46192</v>
      </c>
      <c r="D11" s="9" t="s">
        <v>313</v>
      </c>
      <c r="E11" s="9" t="s">
        <v>314</v>
      </c>
      <c r="F11" s="13">
        <v>60</v>
      </c>
      <c r="G11" s="13">
        <v>15</v>
      </c>
      <c r="H11" s="13">
        <v>6</v>
      </c>
      <c r="I11" s="13">
        <v>10</v>
      </c>
      <c r="J11" s="13">
        <v>25</v>
      </c>
      <c r="K11" s="66">
        <f>IF($B11="","",ROUND(N($F11)+N($G11)+N($H11)+N($I11)+N($J11),2))</f>
        <v>116</v>
      </c>
      <c r="L11" s="79">
        <v>30</v>
      </c>
      <c r="M11" s="65">
        <f>IF($B11="","",SUMIFS('💰 Sales Log'!$E$8:$E$67,'💰 Sales Log'!$C$8:$C$67,$B11))</f>
        <v>21</v>
      </c>
      <c r="N11" s="66">
        <f>IF($B11="","",SUMIFS('💰 Sales Log'!$H$8:$H$67,'💰 Sales Log'!$C$8:$C$67,$B11))</f>
        <v>398.0</v>
      </c>
      <c r="O11" s="66">
        <f>IF($B11="","",SUMIFS('💰 Sales Log'!$M$8:$M$67,'💰 Sales Log'!$C$8:$C$67,$B11))</f>
        <v>82.8</v>
      </c>
      <c r="P11" s="66">
        <f>IF($B11="","",ROUND($N11-$K11-$O11,2))</f>
        <v>199.2</v>
      </c>
      <c r="Q11" s="67">
        <f>IF(OR($B11="",$N11=0),"",IFERROR($P11/$N11,0))</f>
        <v>0.5005025125628141</v>
      </c>
      <c r="R11" s="9" t="s">
        <v>216</v>
      </c>
    </row>
    <row r="12" spans="1:18" ht="22" customHeight="1">
      <c r="A12" s="68"/>
      <c r="B12" s="21" t="s">
        <v>315</v>
      </c>
      <c r="C12" s="87">
        <v>46228</v>
      </c>
      <c r="D12" s="21" t="s">
        <v>316</v>
      </c>
      <c r="E12" s="21" t="s">
        <v>317</v>
      </c>
      <c r="F12" s="73">
        <v>40</v>
      </c>
      <c r="G12" s="73">
        <v>10</v>
      </c>
      <c r="H12" s="73">
        <v>4</v>
      </c>
      <c r="I12" s="73">
        <v>7</v>
      </c>
      <c r="J12" s="73">
        <v>12</v>
      </c>
      <c r="K12" s="66">
        <f>IF($B12="","",ROUND(N($F12)+N($G12)+N($H12)+N($I12)+N($J12),2))</f>
        <v>73</v>
      </c>
      <c r="L12" s="75">
        <v>16</v>
      </c>
      <c r="M12" s="65">
        <f>IF($B12="","",SUMIFS('💰 Sales Log'!$E$8:$E$67,'💰 Sales Log'!$C$8:$C$67,$B12))</f>
        <v>9</v>
      </c>
      <c r="N12" s="66">
        <f>IF($B12="","",SUMIFS('💰 Sales Log'!$H$8:$H$67,'💰 Sales Log'!$C$8:$C$67,$B12))</f>
        <v>309.0</v>
      </c>
      <c r="O12" s="66">
        <f>IF($B12="","",SUMIFS('💰 Sales Log'!$M$8:$M$67,'💰 Sales Log'!$C$8:$C$67,$B12))</f>
        <v>72.6</v>
      </c>
      <c r="P12" s="66">
        <f>IF($B12="","",ROUND($N12-$K12-$O12,2))</f>
        <v>163.4</v>
      </c>
      <c r="Q12" s="67">
        <f>IF(OR($B12="",$N12=0),"",IFERROR($P12/$N12,0))</f>
        <v>0.5288025889967638</v>
      </c>
      <c r="R12" s="21" t="s">
        <v>184</v>
      </c>
    </row>
    <row r="13" spans="1:18" ht="22" customHeight="1">
      <c r="A13" s="63"/>
      <c r="B13" s="9" t="s">
        <v>318</v>
      </c>
      <c r="C13" s="88">
        <v>46264</v>
      </c>
      <c r="D13" s="9" t="s">
        <v>319</v>
      </c>
      <c r="E13" s="9" t="s">
        <v>320</v>
      </c>
      <c r="F13" s="13">
        <v>0</v>
      </c>
      <c r="G13" s="13">
        <v>0</v>
      </c>
      <c r="H13" s="13">
        <v>0</v>
      </c>
      <c r="I13" s="13">
        <v>0</v>
      </c>
      <c r="J13" s="13">
        <v>0</v>
      </c>
      <c r="K13" s="66">
        <f>IF($B13="","",ROUND(N($F13)+N($G13)+N($H13)+N($I13)+N($J13),2))</f>
        <v>0</v>
      </c>
      <c r="L13" s="79">
        <v>0</v>
      </c>
      <c r="M13" s="65">
        <f>IF($B13="","",SUMIFS('💰 Sales Log'!$E$8:$E$67,'💰 Sales Log'!$C$8:$C$67,$B13))</f>
        <v>5</v>
      </c>
      <c r="N13" s="66">
        <f>IF($B13="","",SUMIFS('💰 Sales Log'!$H$8:$H$67,'💰 Sales Log'!$C$8:$C$67,$B13))</f>
        <v>335.0</v>
      </c>
      <c r="O13" s="66">
        <f>IF($B13="","",SUMIFS('💰 Sales Log'!$M$8:$M$67,'💰 Sales Log'!$C$8:$C$67,$B13))</f>
        <v>75.4</v>
      </c>
      <c r="P13" s="66">
        <f>IF($B13="","",ROUND($N13-$K13-$O13,2))</f>
        <v>259.6</v>
      </c>
      <c r="Q13" s="67">
        <f>IF(OR($B13="",$N13=0),"",IFERROR($P13/$N13,0))</f>
        <v>0.7749253731343284</v>
      </c>
      <c r="R13" s="9" t="s">
        <v>212</v>
      </c>
    </row>
    <row r="14" spans="1:18" ht="22" customHeight="1">
      <c r="A14" s="68"/>
      <c r="B14" s="21" t="s">
        <v>321</v>
      </c>
      <c r="C14" s="87">
        <v>46291</v>
      </c>
      <c r="D14" s="21" t="s">
        <v>322</v>
      </c>
      <c r="E14" s="21" t="s">
        <v>323</v>
      </c>
      <c r="F14" s="73">
        <v>75</v>
      </c>
      <c r="G14" s="73">
        <v>20</v>
      </c>
      <c r="H14" s="73">
        <v>8</v>
      </c>
      <c r="I14" s="73">
        <v>12</v>
      </c>
      <c r="J14" s="73">
        <v>30</v>
      </c>
      <c r="K14" s="66">
        <f>IF($B14="","",ROUND(N($F14)+N($G14)+N($H14)+N($I14)+N($J14),2))</f>
        <v>145</v>
      </c>
      <c r="L14" s="75">
        <v>0</v>
      </c>
      <c r="M14" s="65">
        <f>IF($B14="","",SUMIFS('💰 Sales Log'!$E$8:$E$67,'💰 Sales Log'!$C$8:$C$67,$B14))</f>
        <v>0</v>
      </c>
      <c r="N14" s="66">
        <f>IF($B14="","",SUMIFS('💰 Sales Log'!$H$8:$H$67,'💰 Sales Log'!$C$8:$C$67,$B14))</f>
        <v>0</v>
      </c>
      <c r="O14" s="66">
        <f>IF($B14="","",SUMIFS('💰 Sales Log'!$M$8:$M$67,'💰 Sales Log'!$C$8:$C$67,$B14))</f>
        <v>0</v>
      </c>
      <c r="P14" s="66">
        <f>IF($B14="","",ROUND($N14-$K14-$O14,2))</f>
        <v>-145</v>
      </c>
      <c r="Q14" s="67">
        <f>IF(OR($B14="",$N14=0),"",IFERROR($P14/$N14,0))</f>
        <v>0.0</v>
      </c>
      <c r="R14" s="21"/>
    </row>
    <row r="15" spans="1:18" ht="22" customHeight="1">
      <c r="A15" s="63"/>
      <c r="B15" s="9" t="s">
        <v>324</v>
      </c>
      <c r="C15" s="88">
        <v>46354</v>
      </c>
      <c r="D15" s="9" t="s">
        <v>325</v>
      </c>
      <c r="E15" s="9" t="s">
        <v>314</v>
      </c>
      <c r="F15" s="13">
        <v>85</v>
      </c>
      <c r="G15" s="13">
        <v>18</v>
      </c>
      <c r="H15" s="13">
        <v>8</v>
      </c>
      <c r="I15" s="13">
        <v>12</v>
      </c>
      <c r="J15" s="13">
        <v>35</v>
      </c>
      <c r="K15" s="66">
        <f>IF($B15="","",ROUND(N($F15)+N($G15)+N($H15)+N($I15)+N($J15),2))</f>
        <v>158</v>
      </c>
      <c r="L15" s="79">
        <v>0</v>
      </c>
      <c r="M15" s="65">
        <f>IF($B15="","",SUMIFS('💰 Sales Log'!$E$8:$E$67,'💰 Sales Log'!$C$8:$C$67,$B15))</f>
        <v>0</v>
      </c>
      <c r="N15" s="66">
        <f>IF($B15="","",SUMIFS('💰 Sales Log'!$H$8:$H$67,'💰 Sales Log'!$C$8:$C$67,$B15))</f>
        <v>0</v>
      </c>
      <c r="O15" s="66">
        <f>IF($B15="","",SUMIFS('💰 Sales Log'!$M$8:$M$67,'💰 Sales Log'!$C$8:$C$67,$B15))</f>
        <v>0</v>
      </c>
      <c r="P15" s="66">
        <f>IF($B15="","",ROUND($N15-$K15-$O15,2))</f>
        <v>-158</v>
      </c>
      <c r="Q15" s="67">
        <f>IF(OR($B15="",$N15=0),"",IFERROR($P15/$N15,0))</f>
        <v>0.0</v>
      </c>
      <c r="R15" s="9"/>
    </row>
    <row r="16" spans="1:18" ht="22" customHeight="1">
      <c r="A16" s="68"/>
      <c r="B16" s="21"/>
      <c r="C16" s="87"/>
      <c r="D16" s="21"/>
      <c r="E16" s="21"/>
      <c r="F16" s="73"/>
      <c r="G16" s="73"/>
      <c r="H16" s="73"/>
      <c r="I16" s="73"/>
      <c r="J16" s="73"/>
      <c r="K16" s="66">
        <f>IF($B16="","",ROUND(N($F16)+N($G16)+N($H16)+N($I16)+N($J16),2))</f>
        <v>0</v>
      </c>
      <c r="L16" s="75"/>
      <c r="M16" s="65">
        <f>IF($B16="","",SUMIFS('💰 Sales Log'!$E$8:$E$67,'💰 Sales Log'!$C$8:$C$67,$B16))</f>
        <v>0</v>
      </c>
      <c r="N16" s="66">
        <f>IF($B16="","",SUMIFS('💰 Sales Log'!$H$8:$H$67,'💰 Sales Log'!$C$8:$C$67,$B16))</f>
        <v>0</v>
      </c>
      <c r="O16" s="66">
        <f>IF($B16="","",SUMIFS('💰 Sales Log'!$M$8:$M$67,'💰 Sales Log'!$C$8:$C$67,$B16))</f>
        <v>0</v>
      </c>
      <c r="P16" s="66">
        <f>IF($B16="","",ROUND($N16-$K16-$O16,2))</f>
        <v>0</v>
      </c>
      <c r="Q16" s="67">
        <f>IF(OR($B16="",$N16=0),"",IFERROR($P16/$N16,0))</f>
        <v>0</v>
      </c>
      <c r="R16" s="21"/>
    </row>
    <row r="17" spans="1:18" ht="22" customHeight="1">
      <c r="A17" s="63"/>
      <c r="B17" s="9"/>
      <c r="C17" s="88"/>
      <c r="D17" s="9"/>
      <c r="E17" s="9"/>
      <c r="F17" s="13"/>
      <c r="G17" s="13"/>
      <c r="H17" s="13"/>
      <c r="I17" s="13"/>
      <c r="J17" s="13"/>
      <c r="K17" s="66">
        <f>IF($B17="","",ROUND(N($F17)+N($G17)+N($H17)+N($I17)+N($J17),2))</f>
        <v>0</v>
      </c>
      <c r="L17" s="79"/>
      <c r="M17" s="65">
        <f>IF($B17="","",SUMIFS('💰 Sales Log'!$E$8:$E$67,'💰 Sales Log'!$C$8:$C$67,$B17))</f>
        <v>0</v>
      </c>
      <c r="N17" s="66">
        <f>IF($B17="","",SUMIFS('💰 Sales Log'!$H$8:$H$67,'💰 Sales Log'!$C$8:$C$67,$B17))</f>
        <v>0</v>
      </c>
      <c r="O17" s="66">
        <f>IF($B17="","",SUMIFS('💰 Sales Log'!$M$8:$M$67,'💰 Sales Log'!$C$8:$C$67,$B17))</f>
        <v>0</v>
      </c>
      <c r="P17" s="66">
        <f>IF($B17="","",ROUND($N17-$K17-$O17,2))</f>
        <v>0</v>
      </c>
      <c r="Q17" s="67">
        <f>IF(OR($B17="",$N17=0),"",IFERROR($P17/$N17,0))</f>
        <v>0</v>
      </c>
      <c r="R17" s="9"/>
    </row>
    <row r="18" spans="1:18" ht="22" customHeight="1">
      <c r="A18" s="68"/>
      <c r="B18" s="21"/>
      <c r="C18" s="87"/>
      <c r="D18" s="21"/>
      <c r="E18" s="21"/>
      <c r="F18" s="73"/>
      <c r="G18" s="73"/>
      <c r="H18" s="73"/>
      <c r="I18" s="73"/>
      <c r="J18" s="73"/>
      <c r="K18" s="66">
        <f>IF($B18="","",ROUND(N($F18)+N($G18)+N($H18)+N($I18)+N($J18),2))</f>
        <v>0</v>
      </c>
      <c r="L18" s="75"/>
      <c r="M18" s="65">
        <f>IF($B18="","",SUMIFS('💰 Sales Log'!$E$8:$E$67,'💰 Sales Log'!$C$8:$C$67,$B18))</f>
        <v>0</v>
      </c>
      <c r="N18" s="66">
        <f>IF($B18="","",SUMIFS('💰 Sales Log'!$H$8:$H$67,'💰 Sales Log'!$C$8:$C$67,$B18))</f>
        <v>0</v>
      </c>
      <c r="O18" s="66">
        <f>IF($B18="","",SUMIFS('💰 Sales Log'!$M$8:$M$67,'💰 Sales Log'!$C$8:$C$67,$B18))</f>
        <v>0</v>
      </c>
      <c r="P18" s="66">
        <f>IF($B18="","",ROUND($N18-$K18-$O18,2))</f>
        <v>0</v>
      </c>
      <c r="Q18" s="67">
        <f>IF(OR($B18="",$N18=0),"",IFERROR($P18/$N18,0))</f>
        <v>0</v>
      </c>
      <c r="R18" s="21"/>
    </row>
    <row r="19" spans="1:18" ht="22" customHeight="1">
      <c r="A19" s="63"/>
      <c r="B19" s="9"/>
      <c r="C19" s="88"/>
      <c r="D19" s="9"/>
      <c r="E19" s="9"/>
      <c r="F19" s="13"/>
      <c r="G19" s="13"/>
      <c r="H19" s="13"/>
      <c r="I19" s="13"/>
      <c r="J19" s="13"/>
      <c r="K19" s="66">
        <f>IF($B19="","",ROUND(N($F19)+N($G19)+N($H19)+N($I19)+N($J19),2))</f>
        <v>0</v>
      </c>
      <c r="L19" s="79"/>
      <c r="M19" s="65">
        <f>IF($B19="","",SUMIFS('💰 Sales Log'!$E$8:$E$67,'💰 Sales Log'!$C$8:$C$67,$B19))</f>
        <v>0</v>
      </c>
      <c r="N19" s="66">
        <f>IF($B19="","",SUMIFS('💰 Sales Log'!$H$8:$H$67,'💰 Sales Log'!$C$8:$C$67,$B19))</f>
        <v>0</v>
      </c>
      <c r="O19" s="66">
        <f>IF($B19="","",SUMIFS('💰 Sales Log'!$M$8:$M$67,'💰 Sales Log'!$C$8:$C$67,$B19))</f>
        <v>0</v>
      </c>
      <c r="P19" s="66">
        <f>IF($B19="","",ROUND($N19-$K19-$O19,2))</f>
        <v>0</v>
      </c>
      <c r="Q19" s="67">
        <f>IF(OR($B19="",$N19=0),"",IFERROR($P19/$N19,0))</f>
        <v>0</v>
      </c>
      <c r="R19" s="9"/>
    </row>
    <row r="20" spans="1:18" ht="22" customHeight="1">
      <c r="A20" s="68"/>
      <c r="B20" s="21"/>
      <c r="C20" s="87"/>
      <c r="D20" s="21"/>
      <c r="E20" s="21"/>
      <c r="F20" s="73"/>
      <c r="G20" s="73"/>
      <c r="H20" s="73"/>
      <c r="I20" s="73"/>
      <c r="J20" s="73"/>
      <c r="K20" s="66">
        <f>IF($B20="","",ROUND(N($F20)+N($G20)+N($H20)+N($I20)+N($J20),2))</f>
        <v>0</v>
      </c>
      <c r="L20" s="75"/>
      <c r="M20" s="65">
        <f>IF($B20="","",SUMIFS('💰 Sales Log'!$E$8:$E$67,'💰 Sales Log'!$C$8:$C$67,$B20))</f>
        <v>0</v>
      </c>
      <c r="N20" s="66">
        <f>IF($B20="","",SUMIFS('💰 Sales Log'!$H$8:$H$67,'💰 Sales Log'!$C$8:$C$67,$B20))</f>
        <v>0</v>
      </c>
      <c r="O20" s="66">
        <f>IF($B20="","",SUMIFS('💰 Sales Log'!$M$8:$M$67,'💰 Sales Log'!$C$8:$C$67,$B20))</f>
        <v>0</v>
      </c>
      <c r="P20" s="66">
        <f>IF($B20="","",ROUND($N20-$K20-$O20,2))</f>
        <v>0</v>
      </c>
      <c r="Q20" s="67">
        <f>IF(OR($B20="",$N20=0),"",IFERROR($P20/$N20,0))</f>
        <v>0</v>
      </c>
      <c r="R20" s="21"/>
    </row>
    <row r="21" spans="1:18" ht="22" customHeight="1">
      <c r="A21" s="63"/>
      <c r="B21" s="9"/>
      <c r="C21" s="88"/>
      <c r="D21" s="9"/>
      <c r="E21" s="9"/>
      <c r="F21" s="13"/>
      <c r="G21" s="13"/>
      <c r="H21" s="13"/>
      <c r="I21" s="13"/>
      <c r="J21" s="13"/>
      <c r="K21" s="66">
        <f>IF($B21="","",ROUND(N($F21)+N($G21)+N($H21)+N($I21)+N($J21),2))</f>
        <v>0</v>
      </c>
      <c r="L21" s="79"/>
      <c r="M21" s="65">
        <f>IF($B21="","",SUMIFS('💰 Sales Log'!$E$8:$E$67,'💰 Sales Log'!$C$8:$C$67,$B21))</f>
        <v>0</v>
      </c>
      <c r="N21" s="66">
        <f>IF($B21="","",SUMIFS('💰 Sales Log'!$H$8:$H$67,'💰 Sales Log'!$C$8:$C$67,$B21))</f>
        <v>0</v>
      </c>
      <c r="O21" s="66">
        <f>IF($B21="","",SUMIFS('💰 Sales Log'!$M$8:$M$67,'💰 Sales Log'!$C$8:$C$67,$B21))</f>
        <v>0</v>
      </c>
      <c r="P21" s="66">
        <f>IF($B21="","",ROUND($N21-$K21-$O21,2))</f>
        <v>0</v>
      </c>
      <c r="Q21" s="67">
        <f>IF(OR($B21="",$N21=0),"",IFERROR($P21/$N21,0))</f>
        <v>0</v>
      </c>
      <c r="R21" s="9"/>
    </row>
    <row r="22" spans="1:18" ht="22" customHeight="1">
      <c r="A22" s="68"/>
      <c r="B22" s="21"/>
      <c r="C22" s="87"/>
      <c r="D22" s="21"/>
      <c r="E22" s="21"/>
      <c r="F22" s="73"/>
      <c r="G22" s="73"/>
      <c r="H22" s="73"/>
      <c r="I22" s="73"/>
      <c r="J22" s="73"/>
      <c r="K22" s="66">
        <f>IF($B22="","",ROUND(N($F22)+N($G22)+N($H22)+N($I22)+N($J22),2))</f>
        <v>0</v>
      </c>
      <c r="L22" s="75"/>
      <c r="M22" s="65">
        <f>IF($B22="","",SUMIFS('💰 Sales Log'!$E$8:$E$67,'💰 Sales Log'!$C$8:$C$67,$B22))</f>
        <v>0</v>
      </c>
      <c r="N22" s="66">
        <f>IF($B22="","",SUMIFS('💰 Sales Log'!$H$8:$H$67,'💰 Sales Log'!$C$8:$C$67,$B22))</f>
        <v>0</v>
      </c>
      <c r="O22" s="66">
        <f>IF($B22="","",SUMIFS('💰 Sales Log'!$M$8:$M$67,'💰 Sales Log'!$C$8:$C$67,$B22))</f>
        <v>0</v>
      </c>
      <c r="P22" s="66">
        <f>IF($B22="","",ROUND($N22-$K22-$O22,2))</f>
        <v>0</v>
      </c>
      <c r="Q22" s="67">
        <f>IF(OR($B22="",$N22=0),"",IFERROR($P22/$N22,0))</f>
        <v>0</v>
      </c>
      <c r="R22" s="21"/>
    </row>
    <row r="23" spans="1:18" ht="22" customHeight="1">
      <c r="A23" s="63"/>
      <c r="B23" s="9"/>
      <c r="C23" s="88"/>
      <c r="D23" s="9"/>
      <c r="E23" s="9"/>
      <c r="F23" s="13"/>
      <c r="G23" s="13"/>
      <c r="H23" s="13"/>
      <c r="I23" s="13"/>
      <c r="J23" s="13"/>
      <c r="K23" s="66">
        <f>IF($B23="","",ROUND(N($F23)+N($G23)+N($H23)+N($I23)+N($J23),2))</f>
        <v>0</v>
      </c>
      <c r="L23" s="79"/>
      <c r="M23" s="65">
        <f>IF($B23="","",SUMIFS('💰 Sales Log'!$E$8:$E$67,'💰 Sales Log'!$C$8:$C$67,$B23))</f>
        <v>0</v>
      </c>
      <c r="N23" s="66">
        <f>IF($B23="","",SUMIFS('💰 Sales Log'!$H$8:$H$67,'💰 Sales Log'!$C$8:$C$67,$B23))</f>
        <v>0</v>
      </c>
      <c r="O23" s="66">
        <f>IF($B23="","",SUMIFS('💰 Sales Log'!$M$8:$M$67,'💰 Sales Log'!$C$8:$C$67,$B23))</f>
        <v>0</v>
      </c>
      <c r="P23" s="66">
        <f>IF($B23="","",ROUND($N23-$K23-$O23,2))</f>
        <v>0</v>
      </c>
      <c r="Q23" s="67">
        <f>IF(OR($B23="",$N23=0),"",IFERROR($P23/$N23,0))</f>
        <v>0</v>
      </c>
      <c r="R23" s="9"/>
    </row>
    <row r="24" spans="1:18" ht="22" customHeight="1">
      <c r="A24" s="68"/>
      <c r="B24" s="21"/>
      <c r="C24" s="87"/>
      <c r="D24" s="21"/>
      <c r="E24" s="21"/>
      <c r="F24" s="73"/>
      <c r="G24" s="73"/>
      <c r="H24" s="73"/>
      <c r="I24" s="73"/>
      <c r="J24" s="73"/>
      <c r="K24" s="66">
        <f>IF($B24="","",ROUND(N($F24)+N($G24)+N($H24)+N($I24)+N($J24),2))</f>
        <v>0</v>
      </c>
      <c r="L24" s="75"/>
      <c r="M24" s="65">
        <f>IF($B24="","",SUMIFS('💰 Sales Log'!$E$8:$E$67,'💰 Sales Log'!$C$8:$C$67,$B24))</f>
        <v>0</v>
      </c>
      <c r="N24" s="66">
        <f>IF($B24="","",SUMIFS('💰 Sales Log'!$H$8:$H$67,'💰 Sales Log'!$C$8:$C$67,$B24))</f>
        <v>0</v>
      </c>
      <c r="O24" s="66">
        <f>IF($B24="","",SUMIFS('💰 Sales Log'!$M$8:$M$67,'💰 Sales Log'!$C$8:$C$67,$B24))</f>
        <v>0</v>
      </c>
      <c r="P24" s="66">
        <f>IF($B24="","",ROUND($N24-$K24-$O24,2))</f>
        <v>0</v>
      </c>
      <c r="Q24" s="67">
        <f>IF(OR($B24="",$N24=0),"",IFERROR($P24/$N24,0))</f>
        <v>0</v>
      </c>
      <c r="R24" s="21"/>
    </row>
    <row r="25" spans="1:18" ht="22" customHeight="1">
      <c r="A25" s="63"/>
      <c r="B25" s="9"/>
      <c r="C25" s="88"/>
      <c r="D25" s="9"/>
      <c r="E25" s="9"/>
      <c r="F25" s="13"/>
      <c r="G25" s="13"/>
      <c r="H25" s="13"/>
      <c r="I25" s="13"/>
      <c r="J25" s="13"/>
      <c r="K25" s="66">
        <f>IF($B25="","",ROUND(N($F25)+N($G25)+N($H25)+N($I25)+N($J25),2))</f>
        <v>0</v>
      </c>
      <c r="L25" s="79"/>
      <c r="M25" s="65">
        <f>IF($B25="","",SUMIFS('💰 Sales Log'!$E$8:$E$67,'💰 Sales Log'!$C$8:$C$67,$B25))</f>
        <v>0</v>
      </c>
      <c r="N25" s="66">
        <f>IF($B25="","",SUMIFS('💰 Sales Log'!$H$8:$H$67,'💰 Sales Log'!$C$8:$C$67,$B25))</f>
        <v>0</v>
      </c>
      <c r="O25" s="66">
        <f>IF($B25="","",SUMIFS('💰 Sales Log'!$M$8:$M$67,'💰 Sales Log'!$C$8:$C$67,$B25))</f>
        <v>0</v>
      </c>
      <c r="P25" s="66">
        <f>IF($B25="","",ROUND($N25-$K25-$O25,2))</f>
        <v>0</v>
      </c>
      <c r="Q25" s="67">
        <f>IF(OR($B25="",$N25=0),"",IFERROR($P25/$N25,0))</f>
        <v>0</v>
      </c>
      <c r="R25" s="9"/>
    </row>
    <row r="26" spans="1:18" ht="22" customHeight="1">
      <c r="A26" s="68"/>
      <c r="B26" s="21"/>
      <c r="C26" s="87"/>
      <c r="D26" s="21"/>
      <c r="E26" s="21"/>
      <c r="F26" s="73"/>
      <c r="G26" s="73"/>
      <c r="H26" s="73"/>
      <c r="I26" s="73"/>
      <c r="J26" s="73"/>
      <c r="K26" s="66">
        <f>IF($B26="","",ROUND(N($F26)+N($G26)+N($H26)+N($I26)+N($J26),2))</f>
        <v>0</v>
      </c>
      <c r="L26" s="75"/>
      <c r="M26" s="65">
        <f>IF($B26="","",SUMIFS('💰 Sales Log'!$E$8:$E$67,'💰 Sales Log'!$C$8:$C$67,$B26))</f>
        <v>0</v>
      </c>
      <c r="N26" s="66">
        <f>IF($B26="","",SUMIFS('💰 Sales Log'!$H$8:$H$67,'💰 Sales Log'!$C$8:$C$67,$B26))</f>
        <v>0</v>
      </c>
      <c r="O26" s="66">
        <f>IF($B26="","",SUMIFS('💰 Sales Log'!$M$8:$M$67,'💰 Sales Log'!$C$8:$C$67,$B26))</f>
        <v>0</v>
      </c>
      <c r="P26" s="66">
        <f>IF($B26="","",ROUND($N26-$K26-$O26,2))</f>
        <v>0</v>
      </c>
      <c r="Q26" s="67">
        <f>IF(OR($B26="",$N26=0),"",IFERROR($P26/$N26,0))</f>
        <v>0</v>
      </c>
      <c r="R26" s="21"/>
    </row>
    <row r="27" spans="1:18" ht="22" customHeight="1">
      <c r="A27" s="63"/>
      <c r="B27" s="9"/>
      <c r="C27" s="88"/>
      <c r="D27" s="9"/>
      <c r="E27" s="9"/>
      <c r="F27" s="13"/>
      <c r="G27" s="13"/>
      <c r="H27" s="13"/>
      <c r="I27" s="13"/>
      <c r="J27" s="13"/>
      <c r="K27" s="66">
        <f>IF($B27="","",ROUND(N($F27)+N($G27)+N($H27)+N($I27)+N($J27),2))</f>
        <v>0</v>
      </c>
      <c r="L27" s="79"/>
      <c r="M27" s="65">
        <f>IF($B27="","",SUMIFS('💰 Sales Log'!$E$8:$E$67,'💰 Sales Log'!$C$8:$C$67,$B27))</f>
        <v>0</v>
      </c>
      <c r="N27" s="66">
        <f>IF($B27="","",SUMIFS('💰 Sales Log'!$H$8:$H$67,'💰 Sales Log'!$C$8:$C$67,$B27))</f>
        <v>0</v>
      </c>
      <c r="O27" s="66">
        <f>IF($B27="","",SUMIFS('💰 Sales Log'!$M$8:$M$67,'💰 Sales Log'!$C$8:$C$67,$B27))</f>
        <v>0</v>
      </c>
      <c r="P27" s="66">
        <f>IF($B27="","",ROUND($N27-$K27-$O27,2))</f>
        <v>0</v>
      </c>
      <c r="Q27" s="67">
        <f>IF(OR($B27="",$N27=0),"",IFERROR($P27/$N27,0))</f>
        <v>0</v>
      </c>
      <c r="R27" s="9"/>
    </row>
    <row r="28" spans="1:18" ht="22" customHeight="1">
      <c r="A28" s="68"/>
      <c r="B28" s="21"/>
      <c r="C28" s="87"/>
      <c r="D28" s="21"/>
      <c r="E28" s="21"/>
      <c r="F28" s="73"/>
      <c r="G28" s="73"/>
      <c r="H28" s="73"/>
      <c r="I28" s="73"/>
      <c r="J28" s="73"/>
      <c r="K28" s="66">
        <f>IF($B28="","",ROUND(N($F28)+N($G28)+N($H28)+N($I28)+N($J28),2))</f>
        <v>0</v>
      </c>
      <c r="L28" s="75"/>
      <c r="M28" s="65">
        <f>IF($B28="","",SUMIFS('💰 Sales Log'!$E$8:$E$67,'💰 Sales Log'!$C$8:$C$67,$B28))</f>
        <v>0</v>
      </c>
      <c r="N28" s="66">
        <f>IF($B28="","",SUMIFS('💰 Sales Log'!$H$8:$H$67,'💰 Sales Log'!$C$8:$C$67,$B28))</f>
        <v>0</v>
      </c>
      <c r="O28" s="66">
        <f>IF($B28="","",SUMIFS('💰 Sales Log'!$M$8:$M$67,'💰 Sales Log'!$C$8:$C$67,$B28))</f>
        <v>0</v>
      </c>
      <c r="P28" s="66">
        <f>IF($B28="","",ROUND($N28-$K28-$O28,2))</f>
        <v>0</v>
      </c>
      <c r="Q28" s="67">
        <f>IF(OR($B28="",$N28=0),"",IFERROR($P28/$N28,0))</f>
        <v>0</v>
      </c>
      <c r="R28" s="21"/>
    </row>
    <row r="29" spans="1:18" ht="22" customHeight="1">
      <c r="A29" s="63"/>
      <c r="B29" s="9"/>
      <c r="C29" s="88"/>
      <c r="D29" s="9"/>
      <c r="E29" s="9"/>
      <c r="F29" s="13"/>
      <c r="G29" s="13"/>
      <c r="H29" s="13"/>
      <c r="I29" s="13"/>
      <c r="J29" s="13"/>
      <c r="K29" s="66">
        <f>IF($B29="","",ROUND(N($F29)+N($G29)+N($H29)+N($I29)+N($J29),2))</f>
        <v>0</v>
      </c>
      <c r="L29" s="79"/>
      <c r="M29" s="65">
        <f>IF($B29="","",SUMIFS('💰 Sales Log'!$E$8:$E$67,'💰 Sales Log'!$C$8:$C$67,$B29))</f>
        <v>0</v>
      </c>
      <c r="N29" s="66">
        <f>IF($B29="","",SUMIFS('💰 Sales Log'!$H$8:$H$67,'💰 Sales Log'!$C$8:$C$67,$B29))</f>
        <v>0</v>
      </c>
      <c r="O29" s="66">
        <f>IF($B29="","",SUMIFS('💰 Sales Log'!$M$8:$M$67,'💰 Sales Log'!$C$8:$C$67,$B29))</f>
        <v>0</v>
      </c>
      <c r="P29" s="66">
        <f>IF($B29="","",ROUND($N29-$K29-$O29,2))</f>
        <v>0</v>
      </c>
      <c r="Q29" s="67">
        <f>IF(OR($B29="",$N29=0),"",IFERROR($P29/$N29,0))</f>
        <v>0</v>
      </c>
      <c r="R29" s="9"/>
    </row>
    <row r="30" spans="1:18" ht="22" customHeight="1">
      <c r="A30" s="68"/>
      <c r="B30" s="21"/>
      <c r="C30" s="87"/>
      <c r="D30" s="21"/>
      <c r="E30" s="21"/>
      <c r="F30" s="73"/>
      <c r="G30" s="73"/>
      <c r="H30" s="73"/>
      <c r="I30" s="73"/>
      <c r="J30" s="73"/>
      <c r="K30" s="66">
        <f>IF($B30="","",ROUND(N($F30)+N($G30)+N($H30)+N($I30)+N($J30),2))</f>
        <v>0</v>
      </c>
      <c r="L30" s="75"/>
      <c r="M30" s="65">
        <f>IF($B30="","",SUMIFS('💰 Sales Log'!$E$8:$E$67,'💰 Sales Log'!$C$8:$C$67,$B30))</f>
        <v>0</v>
      </c>
      <c r="N30" s="66">
        <f>IF($B30="","",SUMIFS('💰 Sales Log'!$H$8:$H$67,'💰 Sales Log'!$C$8:$C$67,$B30))</f>
        <v>0</v>
      </c>
      <c r="O30" s="66">
        <f>IF($B30="","",SUMIFS('💰 Sales Log'!$M$8:$M$67,'💰 Sales Log'!$C$8:$C$67,$B30))</f>
        <v>0</v>
      </c>
      <c r="P30" s="66">
        <f>IF($B30="","",ROUND($N30-$K30-$O30,2))</f>
        <v>0</v>
      </c>
      <c r="Q30" s="67">
        <f>IF(OR($B30="",$N30=0),"",IFERROR($P30/$N30,0))</f>
        <v>0</v>
      </c>
      <c r="R30" s="21"/>
    </row>
    <row r="31" spans="1:18" ht="22" customHeight="1">
      <c r="A31" s="63"/>
      <c r="B31" s="9"/>
      <c r="C31" s="88"/>
      <c r="D31" s="9"/>
      <c r="E31" s="9"/>
      <c r="F31" s="13"/>
      <c r="G31" s="13"/>
      <c r="H31" s="13"/>
      <c r="I31" s="13"/>
      <c r="J31" s="13"/>
      <c r="K31" s="66">
        <f>IF($B31="","",ROUND(N($F31)+N($G31)+N($H31)+N($I31)+N($J31),2))</f>
        <v>0</v>
      </c>
      <c r="L31" s="79"/>
      <c r="M31" s="65">
        <f>IF($B31="","",SUMIFS('💰 Sales Log'!$E$8:$E$67,'💰 Sales Log'!$C$8:$C$67,$B31))</f>
        <v>0</v>
      </c>
      <c r="N31" s="66">
        <f>IF($B31="","",SUMIFS('💰 Sales Log'!$H$8:$H$67,'💰 Sales Log'!$C$8:$C$67,$B31))</f>
        <v>0</v>
      </c>
      <c r="O31" s="66">
        <f>IF($B31="","",SUMIFS('💰 Sales Log'!$M$8:$M$67,'💰 Sales Log'!$C$8:$C$67,$B31))</f>
        <v>0</v>
      </c>
      <c r="P31" s="66">
        <f>IF($B31="","",ROUND($N31-$K31-$O31,2))</f>
        <v>0</v>
      </c>
      <c r="Q31" s="67">
        <f>IF(OR($B31="",$N31=0),"",IFERROR($P31/$N31,0))</f>
        <v>0</v>
      </c>
      <c r="R31" s="9"/>
    </row>
    <row r="32" spans="1:18">
      <c r="A32" s="3"/>
      <c r="B32" s="3"/>
      <c r="C32" s="3"/>
      <c r="D32" s="3"/>
      <c r="E32" s="3"/>
      <c r="F32" s="3"/>
      <c r="G32" s="3"/>
      <c r="H32" s="3"/>
      <c r="I32" s="3"/>
      <c r="J32" s="3"/>
      <c r="K32" s="3"/>
      <c r="L32" s="3"/>
      <c r="M32" s="3"/>
      <c r="N32" s="3"/>
      <c r="O32" s="3"/>
      <c r="P32" s="3"/>
      <c r="Q32" s="3"/>
      <c r="R32" s="3"/>
    </row>
    <row r="33" spans="1:18" ht="24" customHeight="1">
      <c r="A33" s="3"/>
      <c r="B33" s="80"/>
      <c r="C33" s="82" t="s">
        <v>264</v>
      </c>
      <c r="D33" s="82"/>
      <c r="E33" s="82"/>
      <c r="F33" s="80"/>
      <c r="G33" s="80"/>
      <c r="H33" s="80"/>
      <c r="I33" s="80"/>
      <c r="J33" s="80"/>
      <c r="K33" s="83">
        <f>SUM('🏪 Craft Fairs'!$K$8:$K$31)</f>
        <v>680</v>
      </c>
      <c r="L33" s="84">
        <f>SUM('🏪 Craft Fairs'!$L$8:$L$31)</f>
        <v>134</v>
      </c>
      <c r="M33" s="84">
        <f>SUM('🏪 Craft Fairs'!$M$8:$M$31)</f>
        <v>77</v>
      </c>
      <c r="N33" s="83">
        <f>SUM('🏪 Craft Fairs'!$N$8:$N$31)</f>
        <v>1760.0</v>
      </c>
      <c r="O33" s="83">
        <f>SUM('🏪 Craft Fairs'!$O$8:$O$31)</f>
        <v>363.5</v>
      </c>
      <c r="P33" s="83">
        <f>SUM('🏪 Craft Fairs'!$P$8:$P$31)</f>
        <v>716.5</v>
      </c>
      <c r="Q33" s="3"/>
      <c r="R33" s="3"/>
    </row>
    <row r="34" spans="1:18">
      <c r="A34" s="3"/>
      <c r="B34" s="3"/>
      <c r="C34" s="3"/>
      <c r="D34" s="3"/>
      <c r="E34" s="3"/>
      <c r="F34" s="3"/>
      <c r="G34" s="3"/>
      <c r="H34" s="3"/>
      <c r="I34" s="3"/>
      <c r="J34" s="3"/>
      <c r="K34" s="3"/>
      <c r="L34" s="3"/>
      <c r="M34" s="3"/>
      <c r="N34" s="3"/>
      <c r="O34" s="3"/>
      <c r="P34" s="3"/>
      <c r="Q34" s="3"/>
      <c r="R34" s="3"/>
    </row>
    <row r="35" spans="1:18" ht="22" customHeight="1">
      <c r="A35" s="3"/>
      <c r="B35" s="60" t="s">
        <v>220</v>
      </c>
      <c r="C35" s="60"/>
      <c r="D35" s="60"/>
      <c r="E35" s="60"/>
      <c r="F35" s="60"/>
      <c r="G35" s="60"/>
      <c r="H35" s="60"/>
      <c r="I35" s="60"/>
      <c r="J35" s="60"/>
      <c r="K35" s="60"/>
      <c r="L35" s="60"/>
      <c r="M35" s="60"/>
      <c r="N35" s="60"/>
      <c r="O35" s="60"/>
      <c r="P35" s="60"/>
      <c r="Q35" s="60"/>
      <c r="R35" s="60"/>
    </row>
    <row r="36" spans="1:18" ht="51.8" customHeight="1">
      <c r="A36" s="3"/>
      <c r="B36" s="15" t="s">
        <v>326</v>
      </c>
      <c r="C36" s="15"/>
      <c r="D36" s="15"/>
      <c r="E36" s="15"/>
      <c r="F36" s="15"/>
      <c r="G36" s="15"/>
      <c r="H36" s="15"/>
      <c r="I36" s="15"/>
      <c r="J36" s="15"/>
      <c r="K36" s="15"/>
      <c r="L36" s="15"/>
      <c r="M36" s="15"/>
      <c r="N36" s="15"/>
      <c r="O36" s="15"/>
      <c r="P36" s="15"/>
      <c r="Q36" s="15"/>
      <c r="R36" s="15"/>
    </row>
    <row r="37" spans="1:18">
      <c r="A37" s="3"/>
      <c r="B37" s="3"/>
      <c r="C37" s="3"/>
      <c r="D37" s="3"/>
      <c r="E37" s="3"/>
      <c r="F37" s="3"/>
      <c r="G37" s="3"/>
      <c r="H37" s="3"/>
      <c r="I37" s="3"/>
      <c r="J37" s="3"/>
      <c r="K37" s="3"/>
      <c r="L37" s="3"/>
      <c r="M37" s="3"/>
      <c r="N37" s="3"/>
      <c r="O37" s="3"/>
      <c r="P37" s="3"/>
      <c r="Q37" s="3"/>
      <c r="R37" s="3"/>
    </row>
    <row r="38" spans="1:18">
      <c r="A38" s="3"/>
      <c r="B38" s="3"/>
      <c r="C38" s="3"/>
      <c r="D38" s="3"/>
      <c r="E38" s="3"/>
      <c r="F38" s="3"/>
      <c r="G38" s="3"/>
      <c r="H38" s="3"/>
      <c r="I38" s="3"/>
      <c r="J38" s="3"/>
      <c r="K38" s="3"/>
      <c r="L38" s="3"/>
      <c r="M38" s="3"/>
      <c r="N38" s="3"/>
      <c r="O38" s="3"/>
      <c r="P38" s="3"/>
      <c r="Q38" s="3"/>
      <c r="R38" s="3"/>
    </row>
    <row r="39" spans="1:18">
      <c r="A39" s="3"/>
      <c r="B39" s="3"/>
      <c r="C39" s="3"/>
      <c r="D39" s="3"/>
      <c r="E39" s="3"/>
      <c r="F39" s="3"/>
      <c r="G39" s="3"/>
      <c r="H39" s="3"/>
      <c r="I39" s="3"/>
      <c r="J39" s="3"/>
      <c r="K39" s="3"/>
      <c r="L39" s="3"/>
      <c r="M39" s="3"/>
      <c r="N39" s="3"/>
      <c r="O39" s="3"/>
      <c r="P39" s="3"/>
      <c r="Q39" s="3"/>
      <c r="R39" s="3"/>
    </row>
    <row r="40" spans="1:18" ht="30" customHeight="1">
      <c r="A40" s="3"/>
      <c r="B40" s="25" t="s">
        <v>222</v>
      </c>
      <c r="C40" s="25"/>
      <c r="D40" s="25"/>
      <c r="E40" s="25"/>
      <c r="F40" s="25"/>
      <c r="G40" s="25"/>
      <c r="H40" s="25"/>
      <c r="I40" s="25"/>
      <c r="J40" s="25"/>
      <c r="K40" s="25"/>
      <c r="L40" s="25"/>
      <c r="M40" s="25"/>
      <c r="N40" s="25"/>
      <c r="O40" s="25"/>
      <c r="P40" s="25"/>
      <c r="Q40" s="25"/>
      <c r="R40" s="25"/>
    </row>
    <row r="41" spans="1:18">
      <c r="A41" s="3"/>
      <c r="B41" s="3"/>
      <c r="C41" s="3"/>
      <c r="D41" s="3"/>
      <c r="E41" s="3"/>
      <c r="F41" s="3"/>
      <c r="G41" s="3"/>
      <c r="H41" s="3"/>
      <c r="I41" s="3"/>
      <c r="J41" s="3"/>
      <c r="K41" s="3"/>
      <c r="L41" s="3"/>
      <c r="M41" s="3"/>
      <c r="N41" s="3"/>
      <c r="O41" s="3"/>
      <c r="P41" s="3"/>
      <c r="Q41" s="3"/>
      <c r="R41" s="3"/>
    </row>
    <row r="42" spans="1:18" ht="24" customHeight="1">
      <c r="A42" s="3"/>
      <c r="B42" s="26" t="s">
        <v>155</v>
      </c>
      <c r="C42" s="26"/>
      <c r="D42" s="27" t="s">
        <v>126</v>
      </c>
      <c r="E42" s="27"/>
      <c r="F42" s="28" t="s">
        <v>127</v>
      </c>
      <c r="G42" s="28"/>
      <c r="H42" s="29" t="s">
        <v>128</v>
      </c>
      <c r="I42" s="29"/>
      <c r="J42" s="30" t="s">
        <v>36</v>
      </c>
      <c r="K42" s="30"/>
      <c r="L42" s="31" t="s">
        <v>327</v>
      </c>
      <c r="M42" s="31"/>
      <c r="N42" s="32" t="s">
        <v>39</v>
      </c>
      <c r="O42" s="32"/>
      <c r="P42" s="33" t="s">
        <v>130</v>
      </c>
      <c r="Q42" s="33"/>
      <c r="R42" s="3"/>
    </row>
    <row r="43" spans="1:18" ht="24" customHeight="1">
      <c r="B43" s="27" t="s">
        <v>131</v>
      </c>
      <c r="C43" s="27"/>
      <c r="D43" s="29" t="s">
        <v>132</v>
      </c>
      <c r="E43" s="29"/>
      <c r="F43" s="26" t="s">
        <v>133</v>
      </c>
      <c r="G43" s="26"/>
      <c r="H43" s="27" t="s">
        <v>134</v>
      </c>
      <c r="I43" s="27"/>
      <c r="J43" s="28" t="s">
        <v>135</v>
      </c>
      <c r="K43" s="28"/>
    </row>
  </sheetData>
  <sheetProtection password="EC7C" sheet="1" formatCells="0" formatColumns="0" formatRows="0" insertColumns="0" insertRows="0" insertHyperlinks="0" deleteColumns="0" deleteRows="0" sort="0" autoFilter="0"/>
  <mergeCells count="25">
    <mergeCell ref="B2:O2"/>
    <mergeCell ref="B3:O3"/>
    <mergeCell ref="P3:R3"/>
    <mergeCell ref="B5:D5"/>
    <mergeCell ref="E5:G5"/>
    <mergeCell ref="H5:J5"/>
    <mergeCell ref="K5:M5"/>
    <mergeCell ref="N5:R5"/>
    <mergeCell ref="C33:E33"/>
    <mergeCell ref="B35:R35"/>
    <mergeCell ref="B36:R36"/>
    <mergeCell ref="B40:R40"/>
    <mergeCell ref="B42:C42"/>
    <mergeCell ref="D42:E42"/>
    <mergeCell ref="F42:G42"/>
    <mergeCell ref="H42:I42"/>
    <mergeCell ref="J42:K42"/>
    <mergeCell ref="L42:M42"/>
    <mergeCell ref="N42:O42"/>
    <mergeCell ref="P42:Q42"/>
    <mergeCell ref="B43:C43"/>
    <mergeCell ref="D43:E43"/>
    <mergeCell ref="F43:G43"/>
    <mergeCell ref="H43:I43"/>
    <mergeCell ref="J43:K43"/>
  </mergeCells>
  <conditionalFormatting sqref="P8:P31">
    <cfRule type="expression" dxfId="3" priority="1">
      <formula>AND($B8&lt;&gt;"",$P8&lt;0)</formula>
    </cfRule>
    <cfRule type="expression" dxfId="4" priority="2">
      <formula>$P8&gt;0</formula>
    </cfRule>
  </conditionalFormatting>
  <dataValidations count="7">
    <dataValidation type="date" errorStyle="warning" allowBlank="1" showInputMessage="1" showErrorMessage="1" errorTitle="That's not a date" error="Enter a date between 2000 and 2100." promptTitle="Date" prompt="Type a date, or pick one from the calendar picker." sqref="C8:C31">
      <formula1>36526</formula1>
      <formula2>73415</formula2>
    </dataValidation>
    <dataValidation type="decimal" operator="greaterThanOrEqual" errorStyle="warning" allowBlank="1" showInputMessage="1" showErrorMessage="1" errorTitle="Enter money" error="Please enter a positive number (no currency symbol) - the symbol comes from Setup." sqref="F8:F31">
      <formula1>0</formula1>
    </dataValidation>
    <dataValidation type="decimal" operator="greaterThanOrEqual" errorStyle="warning" allowBlank="1" showInputMessage="1" showErrorMessage="1" errorTitle="Enter money" error="Please enter a positive number (no currency symbol) - the symbol comes from Setup." sqref="G8:G31">
      <formula1>0</formula1>
    </dataValidation>
    <dataValidation type="decimal" operator="greaterThanOrEqual" errorStyle="warning" allowBlank="1" showInputMessage="1" showErrorMessage="1" errorTitle="Enter money" error="Please enter a positive number (no currency symbol) - the symbol comes from Setup." sqref="H8:H31">
      <formula1>0</formula1>
    </dataValidation>
    <dataValidation type="decimal" operator="greaterThanOrEqual" errorStyle="warning" allowBlank="1" showInputMessage="1" showErrorMessage="1" errorTitle="Enter money" error="Please enter a positive number (no currency symbol) - the symbol comes from Setup." sqref="I8:I31">
      <formula1>0</formula1>
    </dataValidation>
    <dataValidation type="decimal" operator="greaterThanOrEqual" errorStyle="warning" allowBlank="1" showInputMessage="1" showErrorMessage="1" errorTitle="Enter money" error="Please enter a positive number (no currency symbol) - the symbol comes from Setup." sqref="J8:J31">
      <formula1>0</formula1>
    </dataValidation>
    <dataValidation type="whole" errorStyle="warning" allowBlank="1" showInputMessage="1" showErrorMessage="1" errorTitle="Whole numbers only" error="Please enter a whole number." sqref="L8:L31">
      <formula1>0</formula1>
      <formula2>9999</formula2>
    </dataValidation>
  </dataValidations>
  <hyperlinks>
    <hyperlink ref="P3" location="'📊 Dashboard'!A1" display="🏠  Dashboard"/>
    <hyperlink ref="B42" location="'⚙️ Lists &amp; Settings'!A1" display="Settings"/>
    <hyperlink ref="D42" location="'📊 Dashboard'!A1" display="🏠 Home"/>
    <hyperlink ref="F42" location="'🧶 Product Catalog'!A1" display="Products"/>
    <hyperlink ref="H42" location="'🧵 Yarn &amp; Materials'!A1" display="Yarn"/>
    <hyperlink ref="J42" location="'📦 Made &amp; Stocked'!A1" display="Stock"/>
    <hyperlink ref="L42" location="'🏪 Craft Fairs'!A1" display="▶ Fairs"/>
    <hyperlink ref="N42" location="'💰 Sales Log'!A1" display="Sales"/>
    <hyperlink ref="P42" location="'🧮 Event Profit'!A1" display="Event $"/>
    <hyperlink ref="B43" location="'🔄 Reorder List'!A1" display="Reorder"/>
    <hyperlink ref="D43" location="'🎒 Packing Checklist'!A1" display="Packing"/>
    <hyperlink ref="F43" location="'💵 Pricing Calculator'!A1" display="Pricing"/>
    <hyperlink ref="H43" location="'📅 Monthly Summary'!A1" display="Monthly"/>
    <hyperlink ref="J43"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C7A4C"/>
    <pageSetUpPr fitToPage="1"/>
  </sheetPr>
  <dimension ref="A1:M80"/>
  <sheetViews>
    <sheetView showGridLines="0" zoomScale="85" zoomScaleNormal="85" workbookViewId="0"/>
  </sheetViews>
  <sheetFormatPr defaultRowHeight="15" x14ac:dyDescent="0.25"/>
  <cols>
    <col min="1" max="1" width="2.85546875" customWidth="1"/>
    <col min="2" max="2" width="12.7109375" customWidth="1"/>
    <col min="3" max="3" width="20.7109375" customWidth="1"/>
    <col min="4" max="4" width="24.7109375" customWidth="1"/>
    <col min="5" max="5" width="7.7109375" customWidth="1"/>
    <col min="6" max="7" width="9.7109375" customWidth="1"/>
    <col min="8" max="8" width="10.7109375" customWidth="1"/>
    <col min="9" max="9" width="14.7109375" customWidth="1"/>
    <col min="10" max="10" width="12.7109375" customWidth="1"/>
    <col min="11" max="11" width="22.7109375" customWidth="1"/>
    <col min="12" max="12" width="9.7109375" customWidth="1"/>
  </cols>
  <sheetData>
    <row r="1" spans="1:13" ht="7" customHeight="1" x14ac:dyDescent="0.25">
      <c r="A1" s="3"/>
      <c r="B1" s="3"/>
      <c r="C1" s="3"/>
      <c r="D1" s="3"/>
      <c r="E1" s="3"/>
      <c r="F1" s="3"/>
      <c r="G1" s="3"/>
      <c r="H1" s="3"/>
      <c r="I1" s="3"/>
      <c r="J1" s="3"/>
      <c r="K1" s="3"/>
      <c r="L1" s="3"/>
      <c r="M1" s="3"/>
    </row>
    <row r="2" spans="1:13" ht="32" customHeight="1" x14ac:dyDescent="0.25">
      <c r="A2" s="3"/>
      <c r="B2" s="4" t="s">
        <v>328</v>
      </c>
      <c r="C2" s="4"/>
      <c r="D2" s="4"/>
      <c r="E2" s="4"/>
      <c r="F2" s="4"/>
      <c r="G2" s="4"/>
      <c r="H2" s="4"/>
      <c r="I2" s="4"/>
      <c r="J2" s="4"/>
      <c r="K2" s="3"/>
      <c r="L2" s="3"/>
      <c r="M2" s="3"/>
    </row>
    <row r="3" spans="1:13" ht="18" customHeight="1" x14ac:dyDescent="0.25">
      <c r="A3" s="3"/>
      <c r="B3" s="5" t="s">
        <v>329</v>
      </c>
      <c r="C3" s="5"/>
      <c r="D3" s="5"/>
      <c r="E3" s="5"/>
      <c r="F3" s="5"/>
      <c r="G3" s="5"/>
      <c r="H3" s="5"/>
      <c r="I3" s="5"/>
      <c r="J3" s="5"/>
      <c r="K3" s="6" t="s">
        <v>70</v>
      </c>
      <c r="L3" s="6"/>
      <c r="M3" s="6"/>
    </row>
    <row r="4" spans="1:13" ht="8" customHeight="1" x14ac:dyDescent="0.25">
      <c r="A4" s="3"/>
      <c r="B4" s="3"/>
      <c r="C4" s="3"/>
      <c r="D4" s="3"/>
      <c r="E4" s="3"/>
      <c r="F4" s="3"/>
      <c r="G4" s="3"/>
      <c r="H4" s="3"/>
      <c r="I4" s="3"/>
      <c r="J4" s="3"/>
      <c r="K4" s="3"/>
      <c r="L4" s="3"/>
      <c r="M4" s="3"/>
    </row>
    <row r="5" spans="1:13" ht="22" customHeight="1" x14ac:dyDescent="0.25">
      <c r="A5" s="3"/>
      <c r="B5" s="36" t="str">
        <f>"Entries: "&amp;TEXT(COUNTA('💰 Sales Log'!$B$8:$B$67),"0")</f>
        <v>Entries: 22</v>
      </c>
      <c r="C5" s="36"/>
      <c r="D5" s="36"/>
      <c r="E5" s="37" t="str">
        <f>"Units: "&amp;TEXT(SUM('💰 Sales Log'!$E$8:$E$67),"#,##0")</f>
        <v>Units: 77</v>
      </c>
      <c r="F5" s="37"/>
      <c r="G5" s="37"/>
      <c r="H5" s="70" t="str">
        <f>"Gross: "&amp;Currency&amp;TEXT(SUM('💰 Sales Log'!$H$8:$H$67),"#,##0.00")</f>
        <v>Gross: $1,760.00</v>
      </c>
      <c r="I5" s="70"/>
      <c r="J5" s="70"/>
      <c r="K5" s="71" t="str">
        <f>"Avg sale: "&amp;Currency&amp;TEXT('_Data'!$AI$10,"#,##0.00")</f>
        <v>Avg sale: $80.00</v>
      </c>
      <c r="L5" s="71"/>
      <c r="M5" s="71"/>
    </row>
    <row r="6" spans="1:13" ht="8" customHeight="1" x14ac:dyDescent="0.25">
      <c r="A6" s="3"/>
      <c r="B6" s="3"/>
      <c r="C6" s="3"/>
      <c r="D6" s="3"/>
      <c r="E6" s="3"/>
      <c r="F6" s="3"/>
      <c r="G6" s="3"/>
      <c r="H6" s="3"/>
      <c r="I6" s="3"/>
      <c r="J6" s="3"/>
      <c r="K6" s="3"/>
      <c r="L6" s="3"/>
      <c r="M6" s="3"/>
    </row>
    <row r="7" spans="1:13" ht="36" customHeight="1" x14ac:dyDescent="0.25">
      <c r="A7" s="62" t="s">
        <v>1</v>
      </c>
      <c r="B7" s="62" t="s">
        <v>292</v>
      </c>
      <c r="C7" s="62" t="s">
        <v>330</v>
      </c>
      <c r="D7" s="62" t="s">
        <v>34</v>
      </c>
      <c r="E7" s="62" t="s">
        <v>331</v>
      </c>
      <c r="F7" s="62" t="s">
        <v>332</v>
      </c>
      <c r="G7" s="62" t="s">
        <v>333</v>
      </c>
      <c r="H7" s="62" t="s">
        <v>334</v>
      </c>
      <c r="I7" s="62" t="s">
        <v>335</v>
      </c>
      <c r="J7" s="62" t="s">
        <v>336</v>
      </c>
      <c r="K7" s="62" t="s">
        <v>278</v>
      </c>
      <c r="L7" s="62" t="s">
        <v>337</v>
      </c>
      <c r="M7" s="62" t="s">
        <v>301</v>
      </c>
    </row>
    <row r="8" spans="1:13" ht="20" customHeight="1" x14ac:dyDescent="0.25">
      <c r="A8" s="68"/>
      <c r="B8" s="87">
        <v>46095</v>
      </c>
      <c r="C8" s="21" t="s">
        <v>303</v>
      </c>
      <c r="D8" s="21" t="s">
        <v>172</v>
      </c>
      <c r="E8" s="75">
        <v>4</v>
      </c>
      <c r="F8" s="73">
        <v>28</v>
      </c>
      <c r="G8" s="73">
        <v>0</v>
      </c>
      <c r="H8" s="66">
        <f>IF(OR($D8="",$E8=""),"",ROUND($E8*N($F8)-N($G8),2))</f>
        <v>112.0</v>
      </c>
      <c r="I8" s="21" t="s">
        <v>23</v>
      </c>
      <c r="J8" s="21" t="s">
        <v>338</v>
      </c>
      <c r="K8" s="21"/>
      <c r="L8" s="89"/>
      <c r="M8" s="66">
        <f>IF($D8="","",ROUND(N($E8)*IFERROR(VLOOKUP($D8,'🧶 Product Catalog'!$C$8:$I$31,7,0),0),2))</f>
        <v>20.0</v>
      </c>
    </row>
    <row r="9" spans="1:13" ht="20" customHeight="1" x14ac:dyDescent="0.25">
      <c r="A9" s="63"/>
      <c r="B9" s="88">
        <v>46095</v>
      </c>
      <c r="C9" s="9" t="s">
        <v>303</v>
      </c>
      <c r="D9" s="9" t="s">
        <v>176</v>
      </c>
      <c r="E9" s="79">
        <v>3</v>
      </c>
      <c r="F9" s="13">
        <v>24</v>
      </c>
      <c r="G9" s="13">
        <v>0</v>
      </c>
      <c r="H9" s="66">
        <f>IF(OR($D9="",$E9=""),"",ROUND($E9*N($F9)-N($G9),2))</f>
        <v>72.0</v>
      </c>
      <c r="I9" s="9" t="s">
        <v>22</v>
      </c>
      <c r="J9" s="9"/>
      <c r="K9" s="9"/>
      <c r="L9" s="23"/>
      <c r="M9" s="66">
        <f>IF($D9="","",ROUND(N($E9)*IFERROR(VLOOKUP($D9,'🧶 Product Catalog'!$C$8:$I$31,7,0),0),2))</f>
        <v>18.9</v>
      </c>
    </row>
    <row r="10" spans="1:13" ht="20" customHeight="1" x14ac:dyDescent="0.25">
      <c r="A10" s="68"/>
      <c r="B10" s="87">
        <v>46095</v>
      </c>
      <c r="C10" s="21" t="s">
        <v>303</v>
      </c>
      <c r="D10" s="21" t="s">
        <v>196</v>
      </c>
      <c r="E10" s="75">
        <v>5</v>
      </c>
      <c r="F10" s="73">
        <v>16</v>
      </c>
      <c r="G10" s="73">
        <v>0</v>
      </c>
      <c r="H10" s="66">
        <f>IF(OR($D10="",$E10=""),"",ROUND($E10*N($F10)-N($G10),2))</f>
        <v>80.0</v>
      </c>
      <c r="I10" s="21" t="s">
        <v>22</v>
      </c>
      <c r="J10" s="21"/>
      <c r="K10" s="21"/>
      <c r="L10" s="89"/>
      <c r="M10" s="66">
        <f>IF($D10="","",ROUND(N($E10)*IFERROR(VLOOKUP($D10,'🧶 Product Catalog'!$C$8:$I$31,7,0),0),2))</f>
        <v>13.5</v>
      </c>
    </row>
    <row r="11" spans="1:13" ht="20" customHeight="1" x14ac:dyDescent="0.25">
      <c r="A11" s="63"/>
      <c r="B11" s="88">
        <v>46095</v>
      </c>
      <c r="C11" s="9" t="s">
        <v>303</v>
      </c>
      <c r="D11" s="9" t="s">
        <v>192</v>
      </c>
      <c r="E11" s="79">
        <v>2</v>
      </c>
      <c r="F11" s="13">
        <v>18</v>
      </c>
      <c r="G11" s="13">
        <v>0</v>
      </c>
      <c r="H11" s="66">
        <f>IF(OR($D11="",$E11=""),"",ROUND($E11*N($F11)-N($G11),2))</f>
        <v>36.0</v>
      </c>
      <c r="I11" s="9" t="s">
        <v>23</v>
      </c>
      <c r="J11" s="9" t="s">
        <v>339</v>
      </c>
      <c r="K11" s="9"/>
      <c r="L11" s="23"/>
      <c r="M11" s="66">
        <f>IF($D11="","",ROUND(N($E11)*IFERROR(VLOOKUP($D11,'🧶 Product Catalog'!$C$8:$I$31,7,0),0),2))</f>
        <v>6.4</v>
      </c>
    </row>
    <row r="12" spans="1:13" ht="20" customHeight="1" x14ac:dyDescent="0.25">
      <c r="A12" s="68"/>
      <c r="B12" s="87">
        <v>46117</v>
      </c>
      <c r="C12" s="21" t="s">
        <v>306</v>
      </c>
      <c r="D12" s="21" t="s">
        <v>192</v>
      </c>
      <c r="E12" s="75">
        <v>3</v>
      </c>
      <c r="F12" s="73">
        <v>18</v>
      </c>
      <c r="G12" s="73">
        <v>0</v>
      </c>
      <c r="H12" s="66">
        <f>IF(OR($D12="",$E12=""),"",ROUND($E12*N($F12)-N($G12),2))</f>
        <v>54.0</v>
      </c>
      <c r="I12" s="21" t="s">
        <v>22</v>
      </c>
      <c r="J12" s="21"/>
      <c r="K12" s="21"/>
      <c r="L12" s="89"/>
      <c r="M12" s="66">
        <f>IF($D12="","",ROUND(N($E12)*IFERROR(VLOOKUP($D12,'🧶 Product Catalog'!$C$8:$I$31,7,0),0),2))</f>
        <v>9.6</v>
      </c>
    </row>
    <row r="13" spans="1:13" ht="20" customHeight="1" x14ac:dyDescent="0.25">
      <c r="A13" s="63"/>
      <c r="B13" s="88">
        <v>46117</v>
      </c>
      <c r="C13" s="9" t="s">
        <v>306</v>
      </c>
      <c r="D13" s="9" t="s">
        <v>172</v>
      </c>
      <c r="E13" s="79">
        <v>2</v>
      </c>
      <c r="F13" s="13">
        <v>28</v>
      </c>
      <c r="G13" s="13">
        <v>0</v>
      </c>
      <c r="H13" s="66">
        <f>IF(OR($D13="",$E13=""),"",ROUND($E13*N($F13)-N($G13),2))</f>
        <v>56.0</v>
      </c>
      <c r="I13" s="9" t="s">
        <v>23</v>
      </c>
      <c r="J13" s="9" t="s">
        <v>340</v>
      </c>
      <c r="K13" s="9"/>
      <c r="L13" s="23"/>
      <c r="M13" s="66">
        <f>IF($D13="","",ROUND(N($E13)*IFERROR(VLOOKUP($D13,'🧶 Product Catalog'!$C$8:$I$31,7,0),0),2))</f>
        <v>10.0</v>
      </c>
    </row>
    <row r="14" spans="1:13" ht="20" customHeight="1" x14ac:dyDescent="0.25">
      <c r="A14" s="68"/>
      <c r="B14" s="87">
        <v>46117</v>
      </c>
      <c r="C14" s="21" t="s">
        <v>306</v>
      </c>
      <c r="D14" s="21" t="s">
        <v>196</v>
      </c>
      <c r="E14" s="75">
        <v>4</v>
      </c>
      <c r="F14" s="73">
        <v>16</v>
      </c>
      <c r="G14" s="73">
        <v>0</v>
      </c>
      <c r="H14" s="66">
        <f>IF(OR($D14="",$E14=""),"",ROUND($E14*N($F14)-N($G14),2))</f>
        <v>64.0</v>
      </c>
      <c r="I14" s="21" t="s">
        <v>22</v>
      </c>
      <c r="J14" s="21"/>
      <c r="K14" s="21"/>
      <c r="L14" s="89"/>
      <c r="M14" s="66">
        <f>IF($D14="","",ROUND(N($E14)*IFERROR(VLOOKUP($D14,'🧶 Product Catalog'!$C$8:$I$31,7,0),0),2))</f>
        <v>10.8</v>
      </c>
    </row>
    <row r="15" spans="1:13" ht="20" customHeight="1" x14ac:dyDescent="0.25">
      <c r="A15" s="63"/>
      <c r="B15" s="88">
        <v>46158</v>
      </c>
      <c r="C15" s="9" t="s">
        <v>309</v>
      </c>
      <c r="D15" s="9" t="s">
        <v>216</v>
      </c>
      <c r="E15" s="79">
        <v>10</v>
      </c>
      <c r="F15" s="13">
        <v>10</v>
      </c>
      <c r="G15" s="13">
        <v>0</v>
      </c>
      <c r="H15" s="66">
        <f>IF(OR($D15="",$E15=""),"",ROUND($E15*N($F15)-N($G15),2))</f>
        <v>100.0</v>
      </c>
      <c r="I15" s="9" t="s">
        <v>22</v>
      </c>
      <c r="J15" s="9"/>
      <c r="K15" s="9" t="s">
        <v>341</v>
      </c>
      <c r="L15" s="23"/>
      <c r="M15" s="66">
        <f>IF($D15="","",ROUND(N($E15)*IFERROR(VLOOKUP($D15,'🧶 Product Catalog'!$C$8:$I$31,7,0),0),2))</f>
        <v>15.0</v>
      </c>
    </row>
    <row r="16" spans="1:13" ht="20" customHeight="1" x14ac:dyDescent="0.25">
      <c r="A16" s="68"/>
      <c r="B16" s="87">
        <v>46158</v>
      </c>
      <c r="C16" s="21" t="s">
        <v>309</v>
      </c>
      <c r="D16" s="21" t="s">
        <v>204</v>
      </c>
      <c r="E16" s="75">
        <v>6</v>
      </c>
      <c r="F16" s="73">
        <v>16</v>
      </c>
      <c r="G16" s="73">
        <v>0</v>
      </c>
      <c r="H16" s="66">
        <f>IF(OR($D16="",$E16=""),"",ROUND($E16*N($F16)-N($G16),2))</f>
        <v>96.0</v>
      </c>
      <c r="I16" s="21" t="s">
        <v>22</v>
      </c>
      <c r="J16" s="21"/>
      <c r="K16" s="21"/>
      <c r="L16" s="89"/>
      <c r="M16" s="66">
        <f>IF($D16="","",ROUND(N($E16)*IFERROR(VLOOKUP($D16,'🧶 Product Catalog'!$C$8:$I$31,7,0),0),2))</f>
        <v>20.4</v>
      </c>
    </row>
    <row r="17" spans="1:13" ht="20" customHeight="1" x14ac:dyDescent="0.25">
      <c r="A17" s="63"/>
      <c r="B17" s="88">
        <v>46158</v>
      </c>
      <c r="C17" s="9" t="s">
        <v>309</v>
      </c>
      <c r="D17" s="9" t="s">
        <v>196</v>
      </c>
      <c r="E17" s="79">
        <v>3</v>
      </c>
      <c r="F17" s="13">
        <v>16</v>
      </c>
      <c r="G17" s="13">
        <v>0</v>
      </c>
      <c r="H17" s="66">
        <f>IF(OR($D17="",$E17=""),"",ROUND($E17*N($F17)-N($G17),2))</f>
        <v>48.0</v>
      </c>
      <c r="I17" s="9" t="s">
        <v>22</v>
      </c>
      <c r="J17" s="9"/>
      <c r="K17" s="9"/>
      <c r="L17" s="23"/>
      <c r="M17" s="66">
        <f>IF($D17="","",ROUND(N($E17)*IFERROR(VLOOKUP($D17,'🧶 Product Catalog'!$C$8:$I$31,7,0),0),2))</f>
        <v>8.1</v>
      </c>
    </row>
    <row r="18" spans="1:13" ht="20" customHeight="1" x14ac:dyDescent="0.25">
      <c r="A18" s="68"/>
      <c r="B18" s="87">
        <v>46192</v>
      </c>
      <c r="C18" s="21" t="s">
        <v>312</v>
      </c>
      <c r="D18" s="21" t="s">
        <v>184</v>
      </c>
      <c r="E18" s="75">
        <v>4</v>
      </c>
      <c r="F18" s="73">
        <v>32</v>
      </c>
      <c r="G18" s="73">
        <v>0</v>
      </c>
      <c r="H18" s="66">
        <f>IF(OR($D18="",$E18=""),"",ROUND($E18*N($F18)-N($G18),2))</f>
        <v>128.0</v>
      </c>
      <c r="I18" s="21" t="s">
        <v>23</v>
      </c>
      <c r="J18" s="21" t="s">
        <v>342</v>
      </c>
      <c r="K18" s="21"/>
      <c r="L18" s="89"/>
      <c r="M18" s="66">
        <f>IF($D18="","",ROUND(N($E18)*IFERROR(VLOOKUP($D18,'🧶 Product Catalog'!$C$8:$I$31,7,0),0),2))</f>
        <v>28.4</v>
      </c>
    </row>
    <row r="19" spans="1:13" ht="20" customHeight="1" x14ac:dyDescent="0.25">
      <c r="A19" s="63"/>
      <c r="B19" s="88">
        <v>46192</v>
      </c>
      <c r="C19" s="9" t="s">
        <v>312</v>
      </c>
      <c r="D19" s="9" t="s">
        <v>204</v>
      </c>
      <c r="E19" s="79">
        <v>4</v>
      </c>
      <c r="F19" s="13">
        <v>16</v>
      </c>
      <c r="G19" s="13">
        <v>0</v>
      </c>
      <c r="H19" s="66">
        <f>IF(OR($D19="",$E19=""),"",ROUND($E19*N($F19)-N($G19),2))</f>
        <v>64.0</v>
      </c>
      <c r="I19" s="9" t="s">
        <v>22</v>
      </c>
      <c r="J19" s="9"/>
      <c r="K19" s="9"/>
      <c r="L19" s="23"/>
      <c r="M19" s="66">
        <f>IF($D19="","",ROUND(N($E19)*IFERROR(VLOOKUP($D19,'🧶 Product Catalog'!$C$8:$I$31,7,0),0),2))</f>
        <v>13.6</v>
      </c>
    </row>
    <row r="20" spans="1:13" ht="20" customHeight="1" x14ac:dyDescent="0.25">
      <c r="A20" s="68"/>
      <c r="B20" s="87">
        <v>46192</v>
      </c>
      <c r="C20" s="21" t="s">
        <v>312</v>
      </c>
      <c r="D20" s="21" t="s">
        <v>176</v>
      </c>
      <c r="E20" s="75">
        <v>2</v>
      </c>
      <c r="F20" s="73">
        <v>24</v>
      </c>
      <c r="G20" s="73">
        <v>0</v>
      </c>
      <c r="H20" s="66">
        <f>IF(OR($D20="",$E20=""),"",ROUND($E20*N($F20)-N($G20),2))</f>
        <v>48.0</v>
      </c>
      <c r="I20" s="21" t="s">
        <v>23</v>
      </c>
      <c r="J20" s="21" t="s">
        <v>343</v>
      </c>
      <c r="K20" s="21"/>
      <c r="L20" s="89"/>
      <c r="M20" s="66">
        <f>IF($D20="","",ROUND(N($E20)*IFERROR(VLOOKUP($D20,'🧶 Product Catalog'!$C$8:$I$31,7,0),0),2))</f>
        <v>12.6</v>
      </c>
    </row>
    <row r="21" spans="1:13" ht="20" customHeight="1" x14ac:dyDescent="0.25">
      <c r="A21" s="63"/>
      <c r="B21" s="88">
        <v>46192</v>
      </c>
      <c r="C21" s="9" t="s">
        <v>312</v>
      </c>
      <c r="D21" s="9" t="s">
        <v>216</v>
      </c>
      <c r="E21" s="79">
        <v>8</v>
      </c>
      <c r="F21" s="13">
        <v>10</v>
      </c>
      <c r="G21" s="13">
        <v>0</v>
      </c>
      <c r="H21" s="66">
        <f>IF(OR($D21="",$E21=""),"",ROUND($E21*N($F21)-N($G21),2))</f>
        <v>80.0</v>
      </c>
      <c r="I21" s="9" t="s">
        <v>22</v>
      </c>
      <c r="J21" s="9"/>
      <c r="K21" s="9"/>
      <c r="L21" s="23"/>
      <c r="M21" s="66">
        <f>IF($D21="","",ROUND(N($E21)*IFERROR(VLOOKUP($D21,'🧶 Product Catalog'!$C$8:$I$31,7,0),0),2))</f>
        <v>12.0</v>
      </c>
    </row>
    <row r="22" spans="1:13" ht="20" customHeight="1" x14ac:dyDescent="0.25">
      <c r="A22" s="68"/>
      <c r="B22" s="87">
        <v>46192</v>
      </c>
      <c r="C22" s="21" t="s">
        <v>312</v>
      </c>
      <c r="D22" s="21" t="s">
        <v>208</v>
      </c>
      <c r="E22" s="75">
        <v>3</v>
      </c>
      <c r="F22" s="73">
        <v>26</v>
      </c>
      <c r="G22" s="73">
        <v>0</v>
      </c>
      <c r="H22" s="66">
        <f>IF(OR($D22="",$E22=""),"",ROUND($E22*N($F22)-N($G22),2))</f>
        <v>78.0</v>
      </c>
      <c r="I22" s="21" t="s">
        <v>23</v>
      </c>
      <c r="J22" s="21" t="s">
        <v>344</v>
      </c>
      <c r="K22" s="21"/>
      <c r="L22" s="89"/>
      <c r="M22" s="66">
        <f>IF($D22="","",ROUND(N($E22)*IFERROR(VLOOKUP($D22,'🧶 Product Catalog'!$C$8:$I$31,7,0),0),2))</f>
        <v>16.2</v>
      </c>
    </row>
    <row r="23" spans="1:13" ht="20" customHeight="1" x14ac:dyDescent="0.25">
      <c r="A23" s="63"/>
      <c r="B23" s="88">
        <v>46228</v>
      </c>
      <c r="C23" s="9" t="s">
        <v>315</v>
      </c>
      <c r="D23" s="9" t="s">
        <v>184</v>
      </c>
      <c r="E23" s="79">
        <v>4</v>
      </c>
      <c r="F23" s="13">
        <v>32</v>
      </c>
      <c r="G23" s="13">
        <v>0</v>
      </c>
      <c r="H23" s="66">
        <f>IF(OR($D23="",$E23=""),"",ROUND($E23*N($F23)-N($G23),2))</f>
        <v>128.0</v>
      </c>
      <c r="I23" s="9" t="s">
        <v>22</v>
      </c>
      <c r="J23" s="9"/>
      <c r="K23" s="9"/>
      <c r="L23" s="23"/>
      <c r="M23" s="66">
        <f>IF($D23="","",ROUND(N($E23)*IFERROR(VLOOKUP($D23,'🧶 Product Catalog'!$C$8:$I$31,7,0),0),2))</f>
        <v>28.4</v>
      </c>
    </row>
    <row r="24" spans="1:13" ht="20" customHeight="1" x14ac:dyDescent="0.25">
      <c r="A24" s="68"/>
      <c r="B24" s="87">
        <v>46228</v>
      </c>
      <c r="C24" s="21" t="s">
        <v>315</v>
      </c>
      <c r="D24" s="21" t="s">
        <v>188</v>
      </c>
      <c r="E24" s="75">
        <v>2</v>
      </c>
      <c r="F24" s="73">
        <v>38</v>
      </c>
      <c r="G24" s="73">
        <v>0</v>
      </c>
      <c r="H24" s="66">
        <f>IF(OR($D24="",$E24=""),"",ROUND($E24*N($F24)-N($G24),2))</f>
        <v>76.0</v>
      </c>
      <c r="I24" s="21" t="s">
        <v>23</v>
      </c>
      <c r="J24" s="21" t="s">
        <v>345</v>
      </c>
      <c r="K24" s="21"/>
      <c r="L24" s="89"/>
      <c r="M24" s="66">
        <f>IF($D24="","",ROUND(N($E24)*IFERROR(VLOOKUP($D24,'🧶 Product Catalog'!$C$8:$I$31,7,0),0),2))</f>
        <v>20.0</v>
      </c>
    </row>
    <row r="25" spans="1:13" ht="20" customHeight="1" x14ac:dyDescent="0.25">
      <c r="A25" s="63"/>
      <c r="B25" s="88">
        <v>46228</v>
      </c>
      <c r="C25" s="9" t="s">
        <v>315</v>
      </c>
      <c r="D25" s="9" t="s">
        <v>200</v>
      </c>
      <c r="E25" s="79">
        <v>1</v>
      </c>
      <c r="F25" s="13">
        <v>75</v>
      </c>
      <c r="G25" s="13">
        <v>0</v>
      </c>
      <c r="H25" s="66">
        <f>IF(OR($D25="",$E25=""),"",ROUND($E25*N($F25)-N($G25),2))</f>
        <v>75.0</v>
      </c>
      <c r="I25" s="9" t="s">
        <v>23</v>
      </c>
      <c r="J25" s="9" t="s">
        <v>346</v>
      </c>
      <c r="K25" s="9"/>
      <c r="L25" s="23"/>
      <c r="M25" s="66">
        <f>IF($D25="","",ROUND(N($E25)*IFERROR(VLOOKUP($D25,'🧶 Product Catalog'!$C$8:$I$31,7,0),0),2))</f>
        <v>18.8</v>
      </c>
    </row>
    <row r="26" spans="1:13" ht="20" customHeight="1" x14ac:dyDescent="0.25">
      <c r="A26" s="68"/>
      <c r="B26" s="87">
        <v>46228</v>
      </c>
      <c r="C26" s="21" t="s">
        <v>315</v>
      </c>
      <c r="D26" s="21" t="s">
        <v>196</v>
      </c>
      <c r="E26" s="75">
        <v>2</v>
      </c>
      <c r="F26" s="73">
        <v>16</v>
      </c>
      <c r="G26" s="73">
        <v>2</v>
      </c>
      <c r="H26" s="66">
        <f>IF(OR($D26="",$E26=""),"",ROUND($E26*N($F26)-N($G26),2))</f>
        <v>30.0</v>
      </c>
      <c r="I26" s="21" t="s">
        <v>22</v>
      </c>
      <c r="J26" s="21"/>
      <c r="K26" s="21" t="s">
        <v>347</v>
      </c>
      <c r="L26" s="89"/>
      <c r="M26" s="66">
        <f>IF($D26="","",ROUND(N($E26)*IFERROR(VLOOKUP($D26,'🧶 Product Catalog'!$C$8:$I$31,7,0),0),2))</f>
        <v>5.4</v>
      </c>
    </row>
    <row r="27" spans="1:13" ht="20" customHeight="1" x14ac:dyDescent="0.25">
      <c r="A27" s="63"/>
      <c r="B27" s="88">
        <v>46264</v>
      </c>
      <c r="C27" s="9" t="s">
        <v>318</v>
      </c>
      <c r="D27" s="9" t="s">
        <v>180</v>
      </c>
      <c r="E27" s="79">
        <v>1</v>
      </c>
      <c r="F27" s="13">
        <v>95</v>
      </c>
      <c r="G27" s="13">
        <v>0</v>
      </c>
      <c r="H27" s="66">
        <f>IF(OR($D27="",$E27=""),"",ROUND($E27*N($F27)-N($G27),2))</f>
        <v>95.0</v>
      </c>
      <c r="I27" s="9" t="s">
        <v>24</v>
      </c>
      <c r="J27" s="9" t="s">
        <v>348</v>
      </c>
      <c r="K27" s="9" t="s">
        <v>349</v>
      </c>
      <c r="L27" s="23"/>
      <c r="M27" s="66">
        <f>IF($D27="","",ROUND(N($E27)*IFERROR(VLOOKUP($D27,'🧶 Product Catalog'!$C$8:$I$31,7,0),0),2))</f>
        <v>20.6</v>
      </c>
    </row>
    <row r="28" spans="1:13" ht="20" customHeight="1" x14ac:dyDescent="0.25">
      <c r="A28" s="68"/>
      <c r="B28" s="87">
        <v>46264</v>
      </c>
      <c r="C28" s="21" t="s">
        <v>318</v>
      </c>
      <c r="D28" s="21" t="s">
        <v>200</v>
      </c>
      <c r="E28" s="75">
        <v>1</v>
      </c>
      <c r="F28" s="73">
        <v>75</v>
      </c>
      <c r="G28" s="73">
        <v>0</v>
      </c>
      <c r="H28" s="66">
        <f>IF(OR($D28="",$E28=""),"",ROUND($E28*N($F28)-N($G28),2))</f>
        <v>75.0</v>
      </c>
      <c r="I28" s="21" t="s">
        <v>24</v>
      </c>
      <c r="J28" s="21" t="s">
        <v>350</v>
      </c>
      <c r="K28" s="21"/>
      <c r="L28" s="89"/>
      <c r="M28" s="66">
        <f>IF($D28="","",ROUND(N($E28)*IFERROR(VLOOKUP($D28,'🧶 Product Catalog'!$C$8:$I$31,7,0),0),2))</f>
        <v>18.8</v>
      </c>
    </row>
    <row r="29" spans="1:13" ht="20" customHeight="1" x14ac:dyDescent="0.25">
      <c r="A29" s="63"/>
      <c r="B29" s="88">
        <v>46264</v>
      </c>
      <c r="C29" s="9" t="s">
        <v>318</v>
      </c>
      <c r="D29" s="9" t="s">
        <v>212</v>
      </c>
      <c r="E29" s="79">
        <v>3</v>
      </c>
      <c r="F29" s="13">
        <v>55</v>
      </c>
      <c r="G29" s="13">
        <v>0</v>
      </c>
      <c r="H29" s="66">
        <f>IF(OR($D29="",$E29=""),"",ROUND($E29*N($F29)-N($G29),2))</f>
        <v>165.0</v>
      </c>
      <c r="I29" s="9" t="s">
        <v>26</v>
      </c>
      <c r="J29" s="9" t="s">
        <v>351</v>
      </c>
      <c r="K29" s="9"/>
      <c r="L29" s="23"/>
      <c r="M29" s="66">
        <f>IF($D29="","",ROUND(N($E29)*IFERROR(VLOOKUP($D29,'🧶 Product Catalog'!$C$8:$I$31,7,0),0),2))</f>
        <v>36.0</v>
      </c>
    </row>
    <row r="30" spans="1:13" ht="20" customHeight="1" x14ac:dyDescent="0.25">
      <c r="A30" s="68"/>
      <c r="B30" s="87"/>
      <c r="C30" s="21"/>
      <c r="D30" s="21"/>
      <c r="E30" s="75"/>
      <c r="F30" s="73"/>
      <c r="G30" s="73"/>
      <c r="H30" s="66">
        <f>IF(OR($D30="",$E30=""),"",ROUND($E30*N($F30)-N($G30),2))</f>
        <v>0</v>
      </c>
      <c r="I30" s="21"/>
      <c r="J30" s="21"/>
      <c r="K30" s="21"/>
      <c r="L30" s="89"/>
      <c r="M30" s="66">
        <f>IF($D30="","",ROUND(N($E30)*IFERROR(VLOOKUP($D30,'🧶 Product Catalog'!$C$8:$I$31,7,0),0),2))</f>
        <v>0</v>
      </c>
    </row>
    <row r="31" spans="1:13" ht="20" customHeight="1" x14ac:dyDescent="0.25">
      <c r="A31" s="63"/>
      <c r="B31" s="88"/>
      <c r="C31" s="9"/>
      <c r="D31" s="9"/>
      <c r="E31" s="79"/>
      <c r="F31" s="13"/>
      <c r="G31" s="13"/>
      <c r="H31" s="66">
        <f>IF(OR($D31="",$E31=""),"",ROUND($E31*N($F31)-N($G31),2))</f>
        <v>0</v>
      </c>
      <c r="I31" s="9"/>
      <c r="J31" s="9"/>
      <c r="K31" s="9"/>
      <c r="L31" s="23"/>
      <c r="M31" s="66">
        <f>IF($D31="","",ROUND(N($E31)*IFERROR(VLOOKUP($D31,'🧶 Product Catalog'!$C$8:$I$31,7,0),0),2))</f>
        <v>0</v>
      </c>
    </row>
    <row r="32" spans="1:13" ht="20" customHeight="1" x14ac:dyDescent="0.25">
      <c r="A32" s="68"/>
      <c r="B32" s="87"/>
      <c r="C32" s="21"/>
      <c r="D32" s="21"/>
      <c r="E32" s="75"/>
      <c r="F32" s="73"/>
      <c r="G32" s="73"/>
      <c r="H32" s="66">
        <f>IF(OR($D32="",$E32=""),"",ROUND($E32*N($F32)-N($G32),2))</f>
        <v>0</v>
      </c>
      <c r="I32" s="21"/>
      <c r="J32" s="21"/>
      <c r="K32" s="21"/>
      <c r="L32" s="89"/>
      <c r="M32" s="66">
        <f>IF($D32="","",ROUND(N($E32)*IFERROR(VLOOKUP($D32,'🧶 Product Catalog'!$C$8:$I$31,7,0),0),2))</f>
        <v>0</v>
      </c>
    </row>
    <row r="33" spans="1:13" ht="20" customHeight="1" x14ac:dyDescent="0.25">
      <c r="A33" s="63"/>
      <c r="B33" s="88"/>
      <c r="C33" s="9"/>
      <c r="D33" s="9"/>
      <c r="E33" s="79"/>
      <c r="F33" s="13"/>
      <c r="G33" s="13"/>
      <c r="H33" s="66">
        <f>IF(OR($D33="",$E33=""),"",ROUND($E33*N($F33)-N($G33),2))</f>
        <v>0</v>
      </c>
      <c r="I33" s="9"/>
      <c r="J33" s="9"/>
      <c r="K33" s="9"/>
      <c r="L33" s="23"/>
      <c r="M33" s="66">
        <f>IF($D33="","",ROUND(N($E33)*IFERROR(VLOOKUP($D33,'🧶 Product Catalog'!$C$8:$I$31,7,0),0),2))</f>
        <v>0</v>
      </c>
    </row>
    <row r="34" spans="1:13" ht="20" customHeight="1" x14ac:dyDescent="0.25">
      <c r="A34" s="68"/>
      <c r="B34" s="87"/>
      <c r="C34" s="21"/>
      <c r="D34" s="21"/>
      <c r="E34" s="75"/>
      <c r="F34" s="73"/>
      <c r="G34" s="73"/>
      <c r="H34" s="66">
        <f>IF(OR($D34="",$E34=""),"",ROUND($E34*N($F34)-N($G34),2))</f>
        <v>0</v>
      </c>
      <c r="I34" s="21"/>
      <c r="J34" s="21"/>
      <c r="K34" s="21"/>
      <c r="L34" s="89"/>
      <c r="M34" s="66">
        <f>IF($D34="","",ROUND(N($E34)*IFERROR(VLOOKUP($D34,'🧶 Product Catalog'!$C$8:$I$31,7,0),0),2))</f>
        <v>0</v>
      </c>
    </row>
    <row r="35" spans="1:13" ht="20" customHeight="1" x14ac:dyDescent="0.25">
      <c r="A35" s="63"/>
      <c r="B35" s="88"/>
      <c r="C35" s="9"/>
      <c r="D35" s="9"/>
      <c r="E35" s="79"/>
      <c r="F35" s="13"/>
      <c r="G35" s="13"/>
      <c r="H35" s="66">
        <f>IF(OR($D35="",$E35=""),"",ROUND($E35*N($F35)-N($G35),2))</f>
        <v>0</v>
      </c>
      <c r="I35" s="9"/>
      <c r="J35" s="9"/>
      <c r="K35" s="9"/>
      <c r="L35" s="23"/>
      <c r="M35" s="66">
        <f>IF($D35="","",ROUND(N($E35)*IFERROR(VLOOKUP($D35,'🧶 Product Catalog'!$C$8:$I$31,7,0),0),2))</f>
        <v>0</v>
      </c>
    </row>
    <row r="36" spans="1:13" ht="20" customHeight="1" x14ac:dyDescent="0.25">
      <c r="A36" s="68"/>
      <c r="B36" s="87"/>
      <c r="C36" s="21"/>
      <c r="D36" s="21"/>
      <c r="E36" s="75"/>
      <c r="F36" s="73"/>
      <c r="G36" s="73"/>
      <c r="H36" s="66">
        <f>IF(OR($D36="",$E36=""),"",ROUND($E36*N($F36)-N($G36),2))</f>
        <v>0</v>
      </c>
      <c r="I36" s="21"/>
      <c r="J36" s="21"/>
      <c r="K36" s="21"/>
      <c r="L36" s="89"/>
      <c r="M36" s="66">
        <f>IF($D36="","",ROUND(N($E36)*IFERROR(VLOOKUP($D36,'🧶 Product Catalog'!$C$8:$I$31,7,0),0),2))</f>
        <v>0</v>
      </c>
    </row>
    <row r="37" spans="1:13" ht="20" customHeight="1" x14ac:dyDescent="0.25">
      <c r="A37" s="63"/>
      <c r="B37" s="88"/>
      <c r="C37" s="9"/>
      <c r="D37" s="9"/>
      <c r="E37" s="79"/>
      <c r="F37" s="13"/>
      <c r="G37" s="13"/>
      <c r="H37" s="66">
        <f>IF(OR($D37="",$E37=""),"",ROUND($E37*N($F37)-N($G37),2))</f>
        <v>0</v>
      </c>
      <c r="I37" s="9"/>
      <c r="J37" s="9"/>
      <c r="K37" s="9"/>
      <c r="L37" s="23"/>
      <c r="M37" s="66">
        <f>IF($D37="","",ROUND(N($E37)*IFERROR(VLOOKUP($D37,'🧶 Product Catalog'!$C$8:$I$31,7,0),0),2))</f>
        <v>0</v>
      </c>
    </row>
    <row r="38" spans="1:13" ht="20" customHeight="1" x14ac:dyDescent="0.25">
      <c r="A38" s="68"/>
      <c r="B38" s="87"/>
      <c r="C38" s="21"/>
      <c r="D38" s="21"/>
      <c r="E38" s="75"/>
      <c r="F38" s="73"/>
      <c r="G38" s="73"/>
      <c r="H38" s="66">
        <f>IF(OR($D38="",$E38=""),"",ROUND($E38*N($F38)-N($G38),2))</f>
        <v>0</v>
      </c>
      <c r="I38" s="21"/>
      <c r="J38" s="21"/>
      <c r="K38" s="21"/>
      <c r="L38" s="89"/>
      <c r="M38" s="66">
        <f>IF($D38="","",ROUND(N($E38)*IFERROR(VLOOKUP($D38,'🧶 Product Catalog'!$C$8:$I$31,7,0),0),2))</f>
        <v>0</v>
      </c>
    </row>
    <row r="39" spans="1:13" ht="20" customHeight="1" x14ac:dyDescent="0.25">
      <c r="A39" s="63"/>
      <c r="B39" s="88"/>
      <c r="C39" s="9"/>
      <c r="D39" s="9"/>
      <c r="E39" s="79"/>
      <c r="F39" s="13"/>
      <c r="G39" s="13"/>
      <c r="H39" s="66">
        <f>IF(OR($D39="",$E39=""),"",ROUND($E39*N($F39)-N($G39),2))</f>
        <v>0</v>
      </c>
      <c r="I39" s="9"/>
      <c r="J39" s="9"/>
      <c r="K39" s="9"/>
      <c r="L39" s="23"/>
      <c r="M39" s="66">
        <f>IF($D39="","",ROUND(N($E39)*IFERROR(VLOOKUP($D39,'🧶 Product Catalog'!$C$8:$I$31,7,0),0),2))</f>
        <v>0</v>
      </c>
    </row>
    <row r="40" spans="1:13" ht="20" customHeight="1" x14ac:dyDescent="0.25">
      <c r="A40" s="68"/>
      <c r="B40" s="87"/>
      <c r="C40" s="21"/>
      <c r="D40" s="21"/>
      <c r="E40" s="75"/>
      <c r="F40" s="73"/>
      <c r="G40" s="73"/>
      <c r="H40" s="66">
        <f>IF(OR($D40="",$E40=""),"",ROUND($E40*N($F40)-N($G40),2))</f>
        <v>0</v>
      </c>
      <c r="I40" s="21"/>
      <c r="J40" s="21"/>
      <c r="K40" s="21"/>
      <c r="L40" s="89"/>
      <c r="M40" s="66">
        <f>IF($D40="","",ROUND(N($E40)*IFERROR(VLOOKUP($D40,'🧶 Product Catalog'!$C$8:$I$31,7,0),0),2))</f>
        <v>0</v>
      </c>
    </row>
    <row r="41" spans="1:13" ht="20" customHeight="1" x14ac:dyDescent="0.25">
      <c r="A41" s="63"/>
      <c r="B41" s="88"/>
      <c r="C41" s="9"/>
      <c r="D41" s="9"/>
      <c r="E41" s="79"/>
      <c r="F41" s="13"/>
      <c r="G41" s="13"/>
      <c r="H41" s="66">
        <f>IF(OR($D41="",$E41=""),"",ROUND($E41*N($F41)-N($G41),2))</f>
        <v>0</v>
      </c>
      <c r="I41" s="9"/>
      <c r="J41" s="9"/>
      <c r="K41" s="9"/>
      <c r="L41" s="23"/>
      <c r="M41" s="66">
        <f>IF($D41="","",ROUND(N($E41)*IFERROR(VLOOKUP($D41,'🧶 Product Catalog'!$C$8:$I$31,7,0),0),2))</f>
        <v>0</v>
      </c>
    </row>
    <row r="42" spans="1:13" ht="20" customHeight="1" x14ac:dyDescent="0.25">
      <c r="A42" s="68"/>
      <c r="B42" s="87"/>
      <c r="C42" s="21"/>
      <c r="D42" s="21"/>
      <c r="E42" s="75"/>
      <c r="F42" s="73"/>
      <c r="G42" s="73"/>
      <c r="H42" s="66">
        <f>IF(OR($D42="",$E42=""),"",ROUND($E42*N($F42)-N($G42),2))</f>
        <v>0</v>
      </c>
      <c r="I42" s="21"/>
      <c r="J42" s="21"/>
      <c r="K42" s="21"/>
      <c r="L42" s="89"/>
      <c r="M42" s="66">
        <f>IF($D42="","",ROUND(N($E42)*IFERROR(VLOOKUP($D42,'🧶 Product Catalog'!$C$8:$I$31,7,0),0),2))</f>
        <v>0</v>
      </c>
    </row>
    <row r="43" spans="1:13" ht="20" customHeight="1" x14ac:dyDescent="0.25">
      <c r="A43" s="63"/>
      <c r="B43" s="88"/>
      <c r="C43" s="9"/>
      <c r="D43" s="9"/>
      <c r="E43" s="79"/>
      <c r="F43" s="13"/>
      <c r="G43" s="13"/>
      <c r="H43" s="66">
        <f>IF(OR($D43="",$E43=""),"",ROUND($E43*N($F43)-N($G43),2))</f>
        <v>0</v>
      </c>
      <c r="I43" s="9"/>
      <c r="J43" s="9"/>
      <c r="K43" s="9"/>
      <c r="L43" s="23"/>
      <c r="M43" s="66">
        <f>IF($D43="","",ROUND(N($E43)*IFERROR(VLOOKUP($D43,'🧶 Product Catalog'!$C$8:$I$31,7,0),0),2))</f>
        <v>0</v>
      </c>
    </row>
    <row r="44" spans="1:13" ht="20" customHeight="1" x14ac:dyDescent="0.25">
      <c r="A44" s="68"/>
      <c r="B44" s="87"/>
      <c r="C44" s="21"/>
      <c r="D44" s="21"/>
      <c r="E44" s="75"/>
      <c r="F44" s="73"/>
      <c r="G44" s="73"/>
      <c r="H44" s="66">
        <f>IF(OR($D44="",$E44=""),"",ROUND($E44*N($F44)-N($G44),2))</f>
        <v>0</v>
      </c>
      <c r="I44" s="21"/>
      <c r="J44" s="21"/>
      <c r="K44" s="21"/>
      <c r="L44" s="89"/>
      <c r="M44" s="66">
        <f>IF($D44="","",ROUND(N($E44)*IFERROR(VLOOKUP($D44,'🧶 Product Catalog'!$C$8:$I$31,7,0),0),2))</f>
        <v>0</v>
      </c>
    </row>
    <row r="45" spans="1:13" ht="20" customHeight="1" x14ac:dyDescent="0.25">
      <c r="A45" s="63"/>
      <c r="B45" s="88"/>
      <c r="C45" s="9"/>
      <c r="D45" s="9"/>
      <c r="E45" s="79"/>
      <c r="F45" s="13"/>
      <c r="G45" s="13"/>
      <c r="H45" s="66">
        <f>IF(OR($D45="",$E45=""),"",ROUND($E45*N($F45)-N($G45),2))</f>
        <v>0</v>
      </c>
      <c r="I45" s="9"/>
      <c r="J45" s="9"/>
      <c r="K45" s="9"/>
      <c r="L45" s="23"/>
      <c r="M45" s="66">
        <f>IF($D45="","",ROUND(N($E45)*IFERROR(VLOOKUP($D45,'🧶 Product Catalog'!$C$8:$I$31,7,0),0),2))</f>
        <v>0</v>
      </c>
    </row>
    <row r="46" spans="1:13" ht="20" customHeight="1" x14ac:dyDescent="0.25">
      <c r="A46" s="68"/>
      <c r="B46" s="87"/>
      <c r="C46" s="21"/>
      <c r="D46" s="21"/>
      <c r="E46" s="75"/>
      <c r="F46" s="73"/>
      <c r="G46" s="73"/>
      <c r="H46" s="66">
        <f>IF(OR($D46="",$E46=""),"",ROUND($E46*N($F46)-N($G46),2))</f>
        <v>0</v>
      </c>
      <c r="I46" s="21"/>
      <c r="J46" s="21"/>
      <c r="K46" s="21"/>
      <c r="L46" s="89"/>
      <c r="M46" s="66">
        <f>IF($D46="","",ROUND(N($E46)*IFERROR(VLOOKUP($D46,'🧶 Product Catalog'!$C$8:$I$31,7,0),0),2))</f>
        <v>0</v>
      </c>
    </row>
    <row r="47" spans="1:13" ht="20" customHeight="1" x14ac:dyDescent="0.25">
      <c r="A47" s="63"/>
      <c r="B47" s="88"/>
      <c r="C47" s="9"/>
      <c r="D47" s="9"/>
      <c r="E47" s="79"/>
      <c r="F47" s="13"/>
      <c r="G47" s="13"/>
      <c r="H47" s="66">
        <f>IF(OR($D47="",$E47=""),"",ROUND($E47*N($F47)-N($G47),2))</f>
        <v>0</v>
      </c>
      <c r="I47" s="9"/>
      <c r="J47" s="9"/>
      <c r="K47" s="9"/>
      <c r="L47" s="23"/>
      <c r="M47" s="66">
        <f>IF($D47="","",ROUND(N($E47)*IFERROR(VLOOKUP($D47,'🧶 Product Catalog'!$C$8:$I$31,7,0),0),2))</f>
        <v>0</v>
      </c>
    </row>
    <row r="48" spans="1:13" ht="20" customHeight="1" x14ac:dyDescent="0.25">
      <c r="A48" s="68"/>
      <c r="B48" s="87"/>
      <c r="C48" s="21"/>
      <c r="D48" s="21"/>
      <c r="E48" s="75"/>
      <c r="F48" s="73"/>
      <c r="G48" s="73"/>
      <c r="H48" s="66">
        <f>IF(OR($D48="",$E48=""),"",ROUND($E48*N($F48)-N($G48),2))</f>
        <v>0</v>
      </c>
      <c r="I48" s="21"/>
      <c r="J48" s="21"/>
      <c r="K48" s="21"/>
      <c r="L48" s="89"/>
      <c r="M48" s="66">
        <f>IF($D48="","",ROUND(N($E48)*IFERROR(VLOOKUP($D48,'🧶 Product Catalog'!$C$8:$I$31,7,0),0),2))</f>
        <v>0</v>
      </c>
    </row>
    <row r="49" spans="1:13" ht="20" customHeight="1" x14ac:dyDescent="0.25">
      <c r="A49" s="63"/>
      <c r="B49" s="88"/>
      <c r="C49" s="9"/>
      <c r="D49" s="9"/>
      <c r="E49" s="79"/>
      <c r="F49" s="13"/>
      <c r="G49" s="13"/>
      <c r="H49" s="66">
        <f>IF(OR($D49="",$E49=""),"",ROUND($E49*N($F49)-N($G49),2))</f>
        <v>0</v>
      </c>
      <c r="I49" s="9"/>
      <c r="J49" s="9"/>
      <c r="K49" s="9"/>
      <c r="L49" s="23"/>
      <c r="M49" s="66">
        <f>IF($D49="","",ROUND(N($E49)*IFERROR(VLOOKUP($D49,'🧶 Product Catalog'!$C$8:$I$31,7,0),0),2))</f>
        <v>0</v>
      </c>
    </row>
    <row r="50" spans="1:13" ht="20" customHeight="1" x14ac:dyDescent="0.25">
      <c r="A50" s="68"/>
      <c r="B50" s="87"/>
      <c r="C50" s="21"/>
      <c r="D50" s="21"/>
      <c r="E50" s="75"/>
      <c r="F50" s="73"/>
      <c r="G50" s="73"/>
      <c r="H50" s="66">
        <f>IF(OR($D50="",$E50=""),"",ROUND($E50*N($F50)-N($G50),2))</f>
        <v>0</v>
      </c>
      <c r="I50" s="21"/>
      <c r="J50" s="21"/>
      <c r="K50" s="21"/>
      <c r="L50" s="89"/>
      <c r="M50" s="66">
        <f>IF($D50="","",ROUND(N($E50)*IFERROR(VLOOKUP($D50,'🧶 Product Catalog'!$C$8:$I$31,7,0),0),2))</f>
        <v>0</v>
      </c>
    </row>
    <row r="51" spans="1:13" ht="20" customHeight="1" x14ac:dyDescent="0.25">
      <c r="A51" s="63"/>
      <c r="B51" s="88"/>
      <c r="C51" s="9"/>
      <c r="D51" s="9"/>
      <c r="E51" s="79"/>
      <c r="F51" s="13"/>
      <c r="G51" s="13"/>
      <c r="H51" s="66">
        <f>IF(OR($D51="",$E51=""),"",ROUND($E51*N($F51)-N($G51),2))</f>
        <v>0</v>
      </c>
      <c r="I51" s="9"/>
      <c r="J51" s="9"/>
      <c r="K51" s="9"/>
      <c r="L51" s="23"/>
      <c r="M51" s="66">
        <f>IF($D51="","",ROUND(N($E51)*IFERROR(VLOOKUP($D51,'🧶 Product Catalog'!$C$8:$I$31,7,0),0),2))</f>
        <v>0</v>
      </c>
    </row>
    <row r="52" spans="1:13" ht="20" customHeight="1" x14ac:dyDescent="0.25">
      <c r="A52" s="68"/>
      <c r="B52" s="87"/>
      <c r="C52" s="21"/>
      <c r="D52" s="21"/>
      <c r="E52" s="75"/>
      <c r="F52" s="73"/>
      <c r="G52" s="73"/>
      <c r="H52" s="66">
        <f>IF(OR($D52="",$E52=""),"",ROUND($E52*N($F52)-N($G52),2))</f>
        <v>0</v>
      </c>
      <c r="I52" s="21"/>
      <c r="J52" s="21"/>
      <c r="K52" s="21"/>
      <c r="L52" s="89"/>
      <c r="M52" s="66">
        <f>IF($D52="","",ROUND(N($E52)*IFERROR(VLOOKUP($D52,'🧶 Product Catalog'!$C$8:$I$31,7,0),0),2))</f>
        <v>0</v>
      </c>
    </row>
    <row r="53" spans="1:13" ht="20" customHeight="1" x14ac:dyDescent="0.25">
      <c r="A53" s="63"/>
      <c r="B53" s="88"/>
      <c r="C53" s="9"/>
      <c r="D53" s="9"/>
      <c r="E53" s="79"/>
      <c r="F53" s="13"/>
      <c r="G53" s="13"/>
      <c r="H53" s="66">
        <f>IF(OR($D53="",$E53=""),"",ROUND($E53*N($F53)-N($G53),2))</f>
        <v>0</v>
      </c>
      <c r="I53" s="9"/>
      <c r="J53" s="9"/>
      <c r="K53" s="9"/>
      <c r="L53" s="23"/>
      <c r="M53" s="66">
        <f>IF($D53="","",ROUND(N($E53)*IFERROR(VLOOKUP($D53,'🧶 Product Catalog'!$C$8:$I$31,7,0),0),2))</f>
        <v>0</v>
      </c>
    </row>
    <row r="54" spans="1:13" ht="20" customHeight="1" x14ac:dyDescent="0.25">
      <c r="A54" s="68"/>
      <c r="B54" s="87"/>
      <c r="C54" s="21"/>
      <c r="D54" s="21"/>
      <c r="E54" s="75"/>
      <c r="F54" s="73"/>
      <c r="G54" s="73"/>
      <c r="H54" s="66">
        <f>IF(OR($D54="",$E54=""),"",ROUND($E54*N($F54)-N($G54),2))</f>
        <v>0</v>
      </c>
      <c r="I54" s="21"/>
      <c r="J54" s="21"/>
      <c r="K54" s="21"/>
      <c r="L54" s="89"/>
      <c r="M54" s="66">
        <f>IF($D54="","",ROUND(N($E54)*IFERROR(VLOOKUP($D54,'🧶 Product Catalog'!$C$8:$I$31,7,0),0),2))</f>
        <v>0</v>
      </c>
    </row>
    <row r="55" spans="1:13" ht="20" customHeight="1" x14ac:dyDescent="0.25">
      <c r="A55" s="63"/>
      <c r="B55" s="88"/>
      <c r="C55" s="9"/>
      <c r="D55" s="9"/>
      <c r="E55" s="79"/>
      <c r="F55" s="13"/>
      <c r="G55" s="13"/>
      <c r="H55" s="66">
        <f>IF(OR($D55="",$E55=""),"",ROUND($E55*N($F55)-N($G55),2))</f>
        <v>0</v>
      </c>
      <c r="I55" s="9"/>
      <c r="J55" s="9"/>
      <c r="K55" s="9"/>
      <c r="L55" s="23"/>
      <c r="M55" s="66">
        <f>IF($D55="","",ROUND(N($E55)*IFERROR(VLOOKUP($D55,'🧶 Product Catalog'!$C$8:$I$31,7,0),0),2))</f>
        <v>0</v>
      </c>
    </row>
    <row r="56" spans="1:13" ht="20" customHeight="1" x14ac:dyDescent="0.25">
      <c r="A56" s="68"/>
      <c r="B56" s="87"/>
      <c r="C56" s="21"/>
      <c r="D56" s="21"/>
      <c r="E56" s="75"/>
      <c r="F56" s="73"/>
      <c r="G56" s="73"/>
      <c r="H56" s="66">
        <f>IF(OR($D56="",$E56=""),"",ROUND($E56*N($F56)-N($G56),2))</f>
        <v>0</v>
      </c>
      <c r="I56" s="21"/>
      <c r="J56" s="21"/>
      <c r="K56" s="21"/>
      <c r="L56" s="89"/>
      <c r="M56" s="66">
        <f>IF($D56="","",ROUND(N($E56)*IFERROR(VLOOKUP($D56,'🧶 Product Catalog'!$C$8:$I$31,7,0),0),2))</f>
        <v>0</v>
      </c>
    </row>
    <row r="57" spans="1:13" ht="20" customHeight="1" x14ac:dyDescent="0.25">
      <c r="A57" s="63"/>
      <c r="B57" s="88"/>
      <c r="C57" s="9"/>
      <c r="D57" s="9"/>
      <c r="E57" s="79"/>
      <c r="F57" s="13"/>
      <c r="G57" s="13"/>
      <c r="H57" s="66">
        <f>IF(OR($D57="",$E57=""),"",ROUND($E57*N($F57)-N($G57),2))</f>
        <v>0</v>
      </c>
      <c r="I57" s="9"/>
      <c r="J57" s="9"/>
      <c r="K57" s="9"/>
      <c r="L57" s="23"/>
      <c r="M57" s="66">
        <f>IF($D57="","",ROUND(N($E57)*IFERROR(VLOOKUP($D57,'🧶 Product Catalog'!$C$8:$I$31,7,0),0),2))</f>
        <v>0</v>
      </c>
    </row>
    <row r="58" spans="1:13" ht="20" customHeight="1" x14ac:dyDescent="0.25">
      <c r="A58" s="68"/>
      <c r="B58" s="87"/>
      <c r="C58" s="21"/>
      <c r="D58" s="21"/>
      <c r="E58" s="75"/>
      <c r="F58" s="73"/>
      <c r="G58" s="73"/>
      <c r="H58" s="66">
        <f>IF(OR($D58="",$E58=""),"",ROUND($E58*N($F58)-N($G58),2))</f>
        <v>0</v>
      </c>
      <c r="I58" s="21"/>
      <c r="J58" s="21"/>
      <c r="K58" s="21"/>
      <c r="L58" s="89"/>
      <c r="M58" s="66">
        <f>IF($D58="","",ROUND(N($E58)*IFERROR(VLOOKUP($D58,'🧶 Product Catalog'!$C$8:$I$31,7,0),0),2))</f>
        <v>0</v>
      </c>
    </row>
    <row r="59" spans="1:13" ht="20" customHeight="1" x14ac:dyDescent="0.25">
      <c r="A59" s="63"/>
      <c r="B59" s="88"/>
      <c r="C59" s="9"/>
      <c r="D59" s="9"/>
      <c r="E59" s="79"/>
      <c r="F59" s="13"/>
      <c r="G59" s="13"/>
      <c r="H59" s="66">
        <f>IF(OR($D59="",$E59=""),"",ROUND($E59*N($F59)-N($G59),2))</f>
        <v>0</v>
      </c>
      <c r="I59" s="9"/>
      <c r="J59" s="9"/>
      <c r="K59" s="9"/>
      <c r="L59" s="23"/>
      <c r="M59" s="66">
        <f>IF($D59="","",ROUND(N($E59)*IFERROR(VLOOKUP($D59,'🧶 Product Catalog'!$C$8:$I$31,7,0),0),2))</f>
        <v>0</v>
      </c>
    </row>
    <row r="60" spans="1:13" ht="20" customHeight="1" x14ac:dyDescent="0.25">
      <c r="A60" s="68"/>
      <c r="B60" s="87"/>
      <c r="C60" s="21"/>
      <c r="D60" s="21"/>
      <c r="E60" s="75"/>
      <c r="F60" s="73"/>
      <c r="G60" s="73"/>
      <c r="H60" s="66">
        <f>IF(OR($D60="",$E60=""),"",ROUND($E60*N($F60)-N($G60),2))</f>
        <v>0</v>
      </c>
      <c r="I60" s="21"/>
      <c r="J60" s="21"/>
      <c r="K60" s="21"/>
      <c r="L60" s="89"/>
      <c r="M60" s="66">
        <f>IF($D60="","",ROUND(N($E60)*IFERROR(VLOOKUP($D60,'🧶 Product Catalog'!$C$8:$I$31,7,0),0),2))</f>
        <v>0</v>
      </c>
    </row>
    <row r="61" spans="1:13" ht="20" customHeight="1" x14ac:dyDescent="0.25">
      <c r="A61" s="63"/>
      <c r="B61" s="88"/>
      <c r="C61" s="9"/>
      <c r="D61" s="9"/>
      <c r="E61" s="79"/>
      <c r="F61" s="13"/>
      <c r="G61" s="13"/>
      <c r="H61" s="66">
        <f>IF(OR($D61="",$E61=""),"",ROUND($E61*N($F61)-N($G61),2))</f>
        <v>0</v>
      </c>
      <c r="I61" s="9"/>
      <c r="J61" s="9"/>
      <c r="K61" s="9"/>
      <c r="L61" s="23"/>
      <c r="M61" s="66">
        <f>IF($D61="","",ROUND(N($E61)*IFERROR(VLOOKUP($D61,'🧶 Product Catalog'!$C$8:$I$31,7,0),0),2))</f>
        <v>0</v>
      </c>
    </row>
    <row r="62" spans="1:13" ht="20" customHeight="1" x14ac:dyDescent="0.25">
      <c r="A62" s="68"/>
      <c r="B62" s="87"/>
      <c r="C62" s="21"/>
      <c r="D62" s="21"/>
      <c r="E62" s="75"/>
      <c r="F62" s="73"/>
      <c r="G62" s="73"/>
      <c r="H62" s="66">
        <f>IF(OR($D62="",$E62=""),"",ROUND($E62*N($F62)-N($G62),2))</f>
        <v>0</v>
      </c>
      <c r="I62" s="21"/>
      <c r="J62" s="21"/>
      <c r="K62" s="21"/>
      <c r="L62" s="89"/>
      <c r="M62" s="66">
        <f>IF($D62="","",ROUND(N($E62)*IFERROR(VLOOKUP($D62,'🧶 Product Catalog'!$C$8:$I$31,7,0),0),2))</f>
        <v>0</v>
      </c>
    </row>
    <row r="63" spans="1:13" ht="20" customHeight="1" x14ac:dyDescent="0.25">
      <c r="A63" s="63"/>
      <c r="B63" s="88"/>
      <c r="C63" s="9"/>
      <c r="D63" s="9"/>
      <c r="E63" s="79"/>
      <c r="F63" s="13"/>
      <c r="G63" s="13"/>
      <c r="H63" s="66">
        <f>IF(OR($D63="",$E63=""),"",ROUND($E63*N($F63)-N($G63),2))</f>
        <v>0</v>
      </c>
      <c r="I63" s="9"/>
      <c r="J63" s="9"/>
      <c r="K63" s="9"/>
      <c r="L63" s="23"/>
      <c r="M63" s="66">
        <f>IF($D63="","",ROUND(N($E63)*IFERROR(VLOOKUP($D63,'🧶 Product Catalog'!$C$8:$I$31,7,0),0),2))</f>
        <v>0</v>
      </c>
    </row>
    <row r="64" spans="1:13" ht="20" customHeight="1" x14ac:dyDescent="0.25">
      <c r="A64" s="68"/>
      <c r="B64" s="87"/>
      <c r="C64" s="21"/>
      <c r="D64" s="21"/>
      <c r="E64" s="75"/>
      <c r="F64" s="73"/>
      <c r="G64" s="73"/>
      <c r="H64" s="66">
        <f>IF(OR($D64="",$E64=""),"",ROUND($E64*N($F64)-N($G64),2))</f>
        <v>0</v>
      </c>
      <c r="I64" s="21"/>
      <c r="J64" s="21"/>
      <c r="K64" s="21"/>
      <c r="L64" s="89"/>
      <c r="M64" s="66">
        <f>IF($D64="","",ROUND(N($E64)*IFERROR(VLOOKUP($D64,'🧶 Product Catalog'!$C$8:$I$31,7,0),0),2))</f>
        <v>0</v>
      </c>
    </row>
    <row r="65" spans="1:13" ht="20" customHeight="1" x14ac:dyDescent="0.25">
      <c r="A65" s="63"/>
      <c r="B65" s="88"/>
      <c r="C65" s="9"/>
      <c r="D65" s="9"/>
      <c r="E65" s="79"/>
      <c r="F65" s="13"/>
      <c r="G65" s="13"/>
      <c r="H65" s="66">
        <f>IF(OR($D65="",$E65=""),"",ROUND($E65*N($F65)-N($G65),2))</f>
        <v>0</v>
      </c>
      <c r="I65" s="9"/>
      <c r="J65" s="9"/>
      <c r="K65" s="9"/>
      <c r="L65" s="23"/>
      <c r="M65" s="66">
        <f>IF($D65="","",ROUND(N($E65)*IFERROR(VLOOKUP($D65,'🧶 Product Catalog'!$C$8:$I$31,7,0),0),2))</f>
        <v>0</v>
      </c>
    </row>
    <row r="66" spans="1:13" ht="20" customHeight="1" x14ac:dyDescent="0.25">
      <c r="A66" s="68"/>
      <c r="B66" s="87"/>
      <c r="C66" s="21"/>
      <c r="D66" s="21"/>
      <c r="E66" s="75"/>
      <c r="F66" s="73"/>
      <c r="G66" s="73"/>
      <c r="H66" s="66">
        <f>IF(OR($D66="",$E66=""),"",ROUND($E66*N($F66)-N($G66),2))</f>
        <v>0</v>
      </c>
      <c r="I66" s="21"/>
      <c r="J66" s="21"/>
      <c r="K66" s="21"/>
      <c r="L66" s="89"/>
      <c r="M66" s="66">
        <f>IF($D66="","",ROUND(N($E66)*IFERROR(VLOOKUP($D66,'🧶 Product Catalog'!$C$8:$I$31,7,0),0),2))</f>
        <v>0</v>
      </c>
    </row>
    <row r="67" spans="1:13" ht="20" customHeight="1" x14ac:dyDescent="0.25">
      <c r="A67" s="63"/>
      <c r="B67" s="88"/>
      <c r="C67" s="9"/>
      <c r="D67" s="9"/>
      <c r="E67" s="79"/>
      <c r="F67" s="13"/>
      <c r="G67" s="13"/>
      <c r="H67" s="66">
        <f>IF(OR($D67="",$E67=""),"",ROUND($E67*N($F67)-N($G67),2))</f>
        <v>0</v>
      </c>
      <c r="I67" s="9"/>
      <c r="J67" s="9"/>
      <c r="K67" s="9"/>
      <c r="L67" s="23"/>
      <c r="M67" s="66">
        <f>IF($D67="","",ROUND(N($E67)*IFERROR(VLOOKUP($D67,'🧶 Product Catalog'!$C$8:$I$31,7,0),0),2))</f>
        <v>0</v>
      </c>
    </row>
    <row r="68" spans="1:13" x14ac:dyDescent="0.25">
      <c r="A68" s="3"/>
      <c r="B68" s="3"/>
      <c r="C68" s="3"/>
      <c r="D68" s="3"/>
      <c r="E68" s="3"/>
      <c r="F68" s="3"/>
      <c r="G68" s="3"/>
      <c r="H68" s="3"/>
      <c r="I68" s="3"/>
      <c r="J68" s="3"/>
      <c r="K68" s="3"/>
      <c r="L68" s="3"/>
      <c r="M68" s="3"/>
    </row>
    <row r="69" spans="1:13" ht="24" customHeight="1" x14ac:dyDescent="0.25">
      <c r="A69" s="3"/>
      <c r="B69" s="80"/>
      <c r="C69" s="82" t="s">
        <v>264</v>
      </c>
      <c r="D69" s="82"/>
      <c r="E69" s="84">
        <f>SUM('💰 Sales Log'!$E$8:$E$67)</f>
        <v>77</v>
      </c>
      <c r="F69" s="80"/>
      <c r="G69" s="83">
        <f>SUM('💰 Sales Log'!$G$8:$G$67)</f>
        <v>2.0</v>
      </c>
      <c r="H69" s="83">
        <f>SUM('💰 Sales Log'!$H$8:$H$67)</f>
        <v>1760.0</v>
      </c>
      <c r="I69" s="80"/>
      <c r="J69" s="80"/>
      <c r="K69" s="80"/>
      <c r="L69" s="80"/>
      <c r="M69" s="83">
        <f>SUM('💰 Sales Log'!$M$8:$M$67)</f>
        <v>363.5</v>
      </c>
    </row>
    <row r="70" spans="1:13" x14ac:dyDescent="0.25">
      <c r="A70" s="3"/>
      <c r="B70" s="3"/>
      <c r="C70" s="3"/>
      <c r="D70" s="3"/>
      <c r="E70" s="3"/>
      <c r="F70" s="3"/>
      <c r="G70" s="3"/>
      <c r="H70" s="3"/>
      <c r="I70" s="3"/>
      <c r="J70" s="3"/>
      <c r="K70" s="3"/>
      <c r="L70" s="3"/>
      <c r="M70" s="3"/>
    </row>
    <row r="71" spans="1:13" ht="22" customHeight="1" x14ac:dyDescent="0.25">
      <c r="A71" s="3"/>
      <c r="B71" s="60" t="s">
        <v>220</v>
      </c>
      <c r="C71" s="60"/>
      <c r="D71" s="60"/>
      <c r="E71" s="60"/>
      <c r="F71" s="60"/>
      <c r="G71" s="60"/>
      <c r="H71" s="60"/>
      <c r="I71" s="60"/>
      <c r="J71" s="60"/>
      <c r="K71" s="60"/>
      <c r="L71" s="60"/>
      <c r="M71" s="60"/>
    </row>
    <row r="72" spans="1:13" ht="51.8" customHeight="1" x14ac:dyDescent="0.25">
      <c r="A72" s="3"/>
      <c r="B72" s="15" t="s">
        <v>352</v>
      </c>
      <c r="C72" s="15"/>
      <c r="D72" s="15"/>
      <c r="E72" s="15"/>
      <c r="F72" s="15"/>
      <c r="G72" s="15"/>
      <c r="H72" s="15"/>
      <c r="I72" s="15"/>
      <c r="J72" s="15"/>
      <c r="K72" s="15"/>
      <c r="L72" s="15"/>
      <c r="M72" s="15"/>
    </row>
    <row r="73" spans="1:13" x14ac:dyDescent="0.25">
      <c r="A73" s="3"/>
      <c r="B73" s="3"/>
      <c r="C73" s="3"/>
      <c r="D73" s="3"/>
      <c r="E73" s="3"/>
      <c r="F73" s="3"/>
      <c r="G73" s="3"/>
      <c r="H73" s="3"/>
      <c r="I73" s="3"/>
      <c r="J73" s="3"/>
      <c r="K73" s="3"/>
      <c r="L73" s="3"/>
      <c r="M73" s="3"/>
    </row>
    <row r="74" spans="1:13" x14ac:dyDescent="0.25">
      <c r="A74" s="3"/>
      <c r="B74" s="3"/>
      <c r="C74" s="3"/>
      <c r="D74" s="3"/>
      <c r="E74" s="3"/>
      <c r="F74" s="3"/>
      <c r="G74" s="3"/>
      <c r="H74" s="3"/>
      <c r="I74" s="3"/>
      <c r="J74" s="3"/>
      <c r="K74" s="3"/>
      <c r="L74" s="3"/>
      <c r="M74" s="3"/>
    </row>
    <row r="75" spans="1:13" x14ac:dyDescent="0.25">
      <c r="A75" s="3"/>
      <c r="B75" s="3"/>
      <c r="C75" s="3"/>
      <c r="D75" s="3"/>
      <c r="E75" s="3"/>
      <c r="F75" s="3"/>
      <c r="G75" s="3"/>
      <c r="H75" s="3"/>
      <c r="I75" s="3"/>
      <c r="J75" s="3"/>
      <c r="K75" s="3"/>
      <c r="L75" s="3"/>
      <c r="M75" s="3"/>
    </row>
    <row r="76" spans="1:13" ht="30" customHeight="1" x14ac:dyDescent="0.25">
      <c r="A76" s="3"/>
      <c r="B76" s="25" t="s">
        <v>222</v>
      </c>
      <c r="C76" s="25"/>
      <c r="D76" s="25"/>
      <c r="E76" s="25"/>
      <c r="F76" s="25"/>
      <c r="G76" s="25"/>
      <c r="H76" s="25"/>
      <c r="I76" s="25"/>
      <c r="J76" s="25"/>
      <c r="K76" s="25"/>
      <c r="L76" s="25"/>
      <c r="M76" s="25"/>
    </row>
    <row r="77" spans="1:13" x14ac:dyDescent="0.25">
      <c r="A77" s="3"/>
      <c r="B77" s="3"/>
      <c r="C77" s="3"/>
      <c r="D77" s="3"/>
      <c r="E77" s="3"/>
      <c r="F77" s="3"/>
      <c r="G77" s="3"/>
      <c r="H77" s="3"/>
      <c r="I77" s="3"/>
      <c r="J77" s="3"/>
      <c r="K77" s="3"/>
      <c r="L77" s="3"/>
      <c r="M77" s="3"/>
    </row>
    <row r="78" spans="1:13" ht="24" customHeight="1" x14ac:dyDescent="0.25">
      <c r="A78" s="3"/>
      <c r="B78" s="26" t="s">
        <v>155</v>
      </c>
      <c r="C78" s="26"/>
      <c r="D78" s="27" t="s">
        <v>126</v>
      </c>
      <c r="E78" s="27"/>
      <c r="F78" s="28" t="s">
        <v>127</v>
      </c>
      <c r="G78" s="28"/>
      <c r="H78" s="29" t="s">
        <v>128</v>
      </c>
      <c r="I78" s="29"/>
      <c r="J78" s="30" t="s">
        <v>36</v>
      </c>
      <c r="K78" s="30"/>
      <c r="L78" s="31" t="s">
        <v>129</v>
      </c>
      <c r="M78" s="31"/>
    </row>
    <row r="79" spans="1:13" ht="24" customHeight="1" x14ac:dyDescent="0.25">
      <c r="B79" s="32" t="s">
        <v>353</v>
      </c>
      <c r="C79" s="32"/>
      <c r="D79" s="33" t="s">
        <v>130</v>
      </c>
      <c r="E79" s="33"/>
      <c r="F79" s="27" t="s">
        <v>131</v>
      </c>
      <c r="G79" s="27"/>
      <c r="H79" s="29" t="s">
        <v>132</v>
      </c>
      <c r="I79" s="29"/>
      <c r="J79" s="26" t="s">
        <v>133</v>
      </c>
      <c r="K79" s="26"/>
      <c r="L79" s="27" t="s">
        <v>134</v>
      </c>
      <c r="M79" s="27"/>
    </row>
    <row r="80" spans="1:13" ht="24" customHeight="1" x14ac:dyDescent="0.25">
      <c r="B80" s="28" t="s">
        <v>135</v>
      </c>
      <c r="C80" s="28"/>
    </row>
  </sheetData>
  <sheetProtection password="EC7C" sheet="1" formatCells="0" formatColumns="0" formatRows="0" insertColumns="0" insertRows="0" insertHyperlinks="0" deleteColumns="0" deleteRows="0" sort="0" autoFilter="0"/>
  <mergeCells count="24">
    <mergeCell ref="B2:J2"/>
    <mergeCell ref="B3:J3"/>
    <mergeCell ref="K3:M3"/>
    <mergeCell ref="B5:D5"/>
    <mergeCell ref="E5:G5"/>
    <mergeCell ref="H5:J5"/>
    <mergeCell ref="K5:M5"/>
    <mergeCell ref="C69:D69"/>
    <mergeCell ref="B71:M71"/>
    <mergeCell ref="B72:M72"/>
    <mergeCell ref="B76:M76"/>
    <mergeCell ref="B78:C78"/>
    <mergeCell ref="D78:E78"/>
    <mergeCell ref="F78:G78"/>
    <mergeCell ref="H78:I78"/>
    <mergeCell ref="J78:K78"/>
    <mergeCell ref="L78:M78"/>
    <mergeCell ref="B79:C79"/>
    <mergeCell ref="D79:E79"/>
    <mergeCell ref="F79:G79"/>
    <mergeCell ref="H79:I79"/>
    <mergeCell ref="J79:K79"/>
    <mergeCell ref="L79:M79"/>
    <mergeCell ref="B80:C80"/>
  </mergeCells>
  <conditionalFormatting sqref="G8:G67">
    <cfRule type="cellIs" dxfId="5" priority="1" operator="greaterThan">
      <formula>0</formula>
    </cfRule>
  </conditionalFormatting>
  <conditionalFormatting sqref="H8:H67">
    <cfRule type="dataBar" priority="3">
      <dataBar>
        <cfvo type="min"/>
        <cfvo type="max"/>
        <color rgb="FF4C7A4C"/>
      </dataBar>
      <extLst>
        <ext xmlns:x14="http://schemas.microsoft.com/office/spreadsheetml/2009/9/main" uri="{B025F937-C7B1-47D3-B67F-A62EFF666E3E}">
          <x14:id>{DA7ABA51-AAAA-BBBB-0008-000000000001}</x14:id>
        </ext>
      </extLst>
    </cfRule>
  </conditionalFormatting>
  <conditionalFormatting sqref="L8:L67">
    <cfRule type="expression" dxfId="6" priority="2">
      <formula>$L8="✓"</formula>
    </cfRule>
  </conditionalFormatting>
  <dataValidations count="8">
    <dataValidation type="list" allowBlank="1" showInputMessage="1" promptTitle="Where?" prompt="Pick the fair or channel from your Craft Fairs tab." sqref="C8:C67">
      <formula1>EventList</formula1>
    </dataValidation>
    <dataValidation type="list" allowBlank="1" showInputMessage="1" promptTitle="Product" prompt="Pick a product from your catalog." sqref="D8:D67">
      <formula1>ProductsList</formula1>
    </dataValidation>
    <dataValidation type="list" allowBlank="1" showInputMessage="1" promptTitle="Payment" prompt="How did they pay?" sqref="I8:I67">
      <formula1>PaymentMethods</formula1>
    </dataValidation>
    <dataValidation type="list" allowBlank="1" showInputMessage="1" promptTitle="Tick it off" prompt="Pick ✓ from the dropdown to tick it off (leave blank for not yet)." sqref="L8:L67">
      <formula1>Tick</formula1>
    </dataValidation>
    <dataValidation type="date" errorStyle="warning" allowBlank="1" showInputMessage="1" showErrorMessage="1" errorTitle="That's not a date" error="Enter a date between 2000 and 2100." promptTitle="Date" prompt="Type a date, or pick one from the calendar picker." sqref="B8:B67">
      <formula1>36526</formula1>
      <formula2>73415</formula2>
    </dataValidation>
    <dataValidation type="whole" errorStyle="warning" allowBlank="1" showInputMessage="1" showErrorMessage="1" errorTitle="Whole numbers only" error="Please enter a whole number." sqref="E8:E67">
      <formula1>0</formula1>
      <formula2>999</formula2>
    </dataValidation>
    <dataValidation type="decimal" operator="greaterThanOrEqual" errorStyle="warning" allowBlank="1" showInputMessage="1" showErrorMessage="1" errorTitle="Enter money" error="Please enter a positive number (no currency symbol) - the symbol comes from Setup." sqref="F8:F67">
      <formula1>0</formula1>
    </dataValidation>
    <dataValidation type="decimal" operator="greaterThanOrEqual" errorStyle="warning" allowBlank="1" showInputMessage="1" showErrorMessage="1" errorTitle="Enter money" error="Please enter a positive number (no currency symbol) - the symbol comes from Setup." sqref="G8:G67">
      <formula1>0</formula1>
    </dataValidation>
  </dataValidations>
  <hyperlinks>
    <hyperlink ref="K3" location="'📊 Dashboard'!A1" display="🏠  Dashboard"/>
    <hyperlink ref="B78" location="'⚙️ Lists &amp; Settings'!A1" display="Settings"/>
    <hyperlink ref="D78" location="'📊 Dashboard'!A1" display="🏠 Home"/>
    <hyperlink ref="F78" location="'🧶 Product Catalog'!A1" display="Products"/>
    <hyperlink ref="H78" location="'🧵 Yarn &amp; Materials'!A1" display="Yarn"/>
    <hyperlink ref="J78" location="'📦 Made &amp; Stocked'!A1" display="Stock"/>
    <hyperlink ref="L78" location="'🏪 Craft Fairs'!A1" display="Fairs"/>
    <hyperlink ref="B79" location="'💰 Sales Log'!A1" display="▶ Sales"/>
    <hyperlink ref="D79" location="'🧮 Event Profit'!A1" display="Event $"/>
    <hyperlink ref="F79" location="'🔄 Reorder List'!A1" display="Reorder"/>
    <hyperlink ref="H79" location="'🎒 Packing Checklist'!A1" display="Packing"/>
    <hyperlink ref="J79" location="'💵 Pricing Calculator'!A1" display="Pricing"/>
    <hyperlink ref="L79" location="'📅 Monthly Summary'!A1" display="Monthly"/>
    <hyperlink ref="B80"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8-000000000001}">
            <x14:dataBar minLength="0" maxLength="100" border="1" gradient="0" negativeBarBorderColorSameAsPositive="0">
              <x14:cfvo type="min"/>
              <x14:cfvo type="max"/>
              <x14:borderColor rgb="FF4C7A4C"/>
              <x14:negativeFillColor rgb="FFFF0000"/>
              <x14:negativeBorderColor rgb="FFFF0000"/>
              <x14:axisColor rgb="FF000000"/>
            </x14:dataBar>
          </x14:cfRule>
          <xm:sqref>H8:H67</xm:sqref>
        </x14:conditionalFormatting>
      </x14:conditionalFormattings>
    </ext>
  </extLst>
</worksheet>
</file>

<file path=xl/worksheets/sheet9.xml><?xml version="1.0" encoding="utf-8"?>
<worksheet xmlns="http://schemas.openxmlformats.org/spreadsheetml/2006/main" xmlns:r="http://schemas.openxmlformats.org/officeDocument/2006/relationships">
  <sheetPr>
    <tabColor rgb="FF5E6FA3"/>
    <pageSetUpPr fitToPage="1"/>
  </sheetPr>
  <dimension ref="A1:J61"/>
  <sheetViews>
    <sheetView showGridLines="0" zoomScale="95" zoomScaleNormal="95" workbookViewId="0"/>
  </sheetViews>
  <sheetFormatPr defaultRowHeight="15"/>
  <cols>
    <col min="1" max="1" width="2.85546875" customWidth="1"/>
    <col min="2" max="2" width="26.7109375" customWidth="1"/>
    <col min="3" max="10" width="14.7109375" customWidth="1"/>
  </cols>
  <sheetData>
    <row r="1" spans="1:10" ht="7" customHeight="1">
      <c r="A1" s="3"/>
      <c r="B1" s="3"/>
      <c r="C1" s="3"/>
      <c r="D1" s="3"/>
      <c r="E1" s="3"/>
      <c r="F1" s="3"/>
      <c r="G1" s="3"/>
      <c r="H1" s="3"/>
      <c r="I1" s="3"/>
      <c r="J1" s="3"/>
    </row>
    <row r="2" spans="1:10" ht="32" customHeight="1">
      <c r="A2" s="3"/>
      <c r="B2" s="4" t="s">
        <v>354</v>
      </c>
      <c r="C2" s="4"/>
      <c r="D2" s="4"/>
      <c r="E2" s="4"/>
      <c r="F2" s="4"/>
      <c r="G2" s="4"/>
      <c r="H2" s="3"/>
      <c r="I2" s="3"/>
      <c r="J2" s="3"/>
    </row>
    <row r="3" spans="1:10" ht="18" customHeight="1">
      <c r="A3" s="3"/>
      <c r="B3" s="5" t="s">
        <v>355</v>
      </c>
      <c r="C3" s="5"/>
      <c r="D3" s="5"/>
      <c r="E3" s="5"/>
      <c r="F3" s="5"/>
      <c r="G3" s="5"/>
      <c r="H3" s="6" t="s">
        <v>70</v>
      </c>
      <c r="I3" s="6"/>
      <c r="J3" s="6"/>
    </row>
    <row r="4" spans="1:10" ht="8" customHeight="1">
      <c r="A4" s="3"/>
      <c r="B4" s="3"/>
      <c r="C4" s="3"/>
      <c r="D4" s="3"/>
      <c r="E4" s="3"/>
      <c r="F4" s="3"/>
      <c r="G4" s="3"/>
      <c r="H4" s="3"/>
      <c r="I4" s="3"/>
      <c r="J4" s="3"/>
    </row>
    <row r="5" spans="1:10" ht="22" customHeight="1">
      <c r="A5" s="3"/>
      <c r="B5" s="7" t="s">
        <v>356</v>
      </c>
      <c r="C5" s="7"/>
      <c r="D5" s="7"/>
      <c r="E5" s="7"/>
      <c r="F5" s="7"/>
      <c r="G5" s="7"/>
      <c r="H5" s="7"/>
      <c r="I5" s="7"/>
      <c r="J5" s="7"/>
    </row>
    <row r="6" spans="1:10" ht="8" customHeight="1">
      <c r="A6" s="3"/>
      <c r="B6" s="3"/>
      <c r="C6" s="3"/>
      <c r="D6" s="3"/>
      <c r="E6" s="3"/>
      <c r="F6" s="3"/>
      <c r="G6" s="3"/>
      <c r="H6" s="3"/>
      <c r="I6" s="3"/>
      <c r="J6" s="3"/>
    </row>
    <row r="7" spans="1:10">
      <c r="A7" s="3"/>
      <c r="B7" s="3"/>
      <c r="C7" s="3"/>
      <c r="D7" s="3"/>
      <c r="E7" s="3"/>
      <c r="F7" s="3"/>
      <c r="G7" s="3"/>
      <c r="H7" s="3"/>
      <c r="I7" s="3"/>
      <c r="J7" s="3"/>
    </row>
    <row r="8" spans="1:10" ht="30" customHeight="1">
      <c r="A8" s="3"/>
      <c r="B8" s="90" t="s">
        <v>357</v>
      </c>
      <c r="C8" s="91" t="s">
        <v>312</v>
      </c>
      <c r="D8" s="91"/>
      <c r="E8" s="91"/>
      <c r="F8" s="91"/>
      <c r="G8" s="91"/>
      <c r="H8" s="91"/>
      <c r="I8" s="91"/>
      <c r="J8" s="91"/>
    </row>
    <row r="9" spans="1:10">
      <c r="A9" s="3"/>
      <c r="B9" s="3"/>
      <c r="C9" s="3"/>
      <c r="D9" s="3"/>
      <c r="E9" s="3"/>
      <c r="F9" s="3"/>
      <c r="G9" s="3"/>
      <c r="H9" s="3"/>
      <c r="I9" s="3"/>
      <c r="J9" s="3"/>
    </row>
    <row r="10" spans="1:10" ht="22" customHeight="1">
      <c r="A10" s="3"/>
      <c r="B10" s="7" t="s">
        <v>358</v>
      </c>
      <c r="C10" s="7"/>
      <c r="D10" s="7"/>
      <c r="E10" s="7"/>
      <c r="F10" s="7"/>
      <c r="G10" s="7"/>
      <c r="H10" s="7"/>
      <c r="I10" s="7"/>
      <c r="J10" s="7"/>
    </row>
    <row r="11" spans="1:10" ht="24" customHeight="1">
      <c r="A11" s="3"/>
      <c r="B11" s="92" t="s">
        <v>300</v>
      </c>
      <c r="C11" s="92"/>
      <c r="D11" s="92"/>
      <c r="E11" s="93">
        <f>IF($C$8="",0,SUMIFS('💰 Sales Log'!$E$8:$E$67,'💰 Sales Log'!$C$8:$C$67,$C$8))</f>
        <v>21</v>
      </c>
      <c r="F11" s="3"/>
      <c r="G11" s="3"/>
      <c r="H11" s="3"/>
      <c r="I11" s="3"/>
      <c r="J11" s="3"/>
    </row>
    <row r="12" spans="1:10" ht="24" customHeight="1">
      <c r="A12" s="3"/>
      <c r="B12" s="92" t="s">
        <v>359</v>
      </c>
      <c r="C12" s="92"/>
      <c r="D12" s="92"/>
      <c r="E12" s="66">
        <f>IF($C$8="",0,SUMIFS('💰 Sales Log'!$H$8:$H$67,'💰 Sales Log'!$C$8:$C$67,$C$8))</f>
        <v>398.0</v>
      </c>
      <c r="F12" s="3"/>
      <c r="G12" s="3"/>
      <c r="H12" s="3"/>
      <c r="I12" s="3"/>
      <c r="J12" s="3"/>
    </row>
    <row r="13" spans="1:10" ht="24" customHeight="1">
      <c r="A13" s="3"/>
      <c r="B13" s="92" t="s">
        <v>41</v>
      </c>
      <c r="C13" s="92"/>
      <c r="D13" s="92"/>
      <c r="E13" s="66">
        <f>IF($C$8="",0,SUMIFS('💰 Sales Log'!$G$8:$G$67,'💰 Sales Log'!$C$8:$C$67,$C$8))</f>
        <v>0</v>
      </c>
      <c r="F13" s="3"/>
      <c r="G13" s="3"/>
      <c r="H13" s="3"/>
      <c r="I13" s="3"/>
      <c r="J13" s="3"/>
    </row>
    <row r="14" spans="1:10">
      <c r="A14" s="3"/>
      <c r="B14" s="3"/>
      <c r="C14" s="3"/>
      <c r="D14" s="3"/>
      <c r="E14" s="3"/>
      <c r="F14" s="3"/>
      <c r="G14" s="3"/>
      <c r="H14" s="3"/>
      <c r="I14" s="3"/>
      <c r="J14" s="3"/>
    </row>
    <row r="15" spans="1:10" ht="22" customHeight="1">
      <c r="A15" s="3"/>
      <c r="B15" s="11" t="s">
        <v>360</v>
      </c>
      <c r="C15" s="11"/>
      <c r="D15" s="11"/>
      <c r="E15" s="11"/>
      <c r="F15" s="11"/>
      <c r="G15" s="11"/>
      <c r="H15" s="11"/>
      <c r="I15" s="11"/>
      <c r="J15" s="11"/>
    </row>
    <row r="16" spans="1:10" ht="24" customHeight="1">
      <c r="A16" s="3"/>
      <c r="B16" s="92" t="s">
        <v>361</v>
      </c>
      <c r="C16" s="92"/>
      <c r="D16" s="92"/>
      <c r="E16" s="66">
        <f>IF($C$8="",0,SUMIFS('💰 Sales Log'!$M$8:$M$67,'💰 Sales Log'!$C$8:$C$67,$C$8))</f>
        <v>82.8</v>
      </c>
      <c r="F16" s="3"/>
      <c r="G16" s="3"/>
      <c r="H16" s="3"/>
      <c r="I16" s="3"/>
      <c r="J16" s="3"/>
    </row>
    <row r="17" spans="1:10" ht="24" customHeight="1">
      <c r="A17" s="3"/>
      <c r="B17" s="92" t="s">
        <v>295</v>
      </c>
      <c r="C17" s="92"/>
      <c r="D17" s="92"/>
      <c r="E17" s="66">
        <f>IFERROR(IF($C$8="",0,INDEX('🏪 Craft Fairs'!$F$8:$F$31,MATCH($C$8,'🏪 Craft Fairs'!$B$8:$B$31,0))),0)</f>
        <v>60</v>
      </c>
      <c r="F17" s="3"/>
      <c r="G17" s="3"/>
      <c r="H17" s="3"/>
      <c r="I17" s="3"/>
      <c r="J17" s="3"/>
    </row>
    <row r="18" spans="1:10" ht="24" customHeight="1">
      <c r="A18" s="3"/>
      <c r="B18" s="92" t="s">
        <v>30</v>
      </c>
      <c r="C18" s="92"/>
      <c r="D18" s="92"/>
      <c r="E18" s="66">
        <f>IFERROR(IF($C$8="",0,INDEX('🏪 Craft Fairs'!$G$8:$G$31,MATCH($C$8,'🏪 Craft Fairs'!$B$8:$B$31,0))),0)</f>
        <v>15</v>
      </c>
      <c r="F18" s="3"/>
      <c r="G18" s="3"/>
      <c r="H18" s="3"/>
      <c r="I18" s="3"/>
      <c r="J18" s="3"/>
    </row>
    <row r="19" spans="1:10" ht="24" customHeight="1">
      <c r="A19" s="3"/>
      <c r="B19" s="92" t="s">
        <v>31</v>
      </c>
      <c r="C19" s="92"/>
      <c r="D19" s="92"/>
      <c r="E19" s="66">
        <f>IFERROR(IF($C$8="",0,INDEX('🏪 Craft Fairs'!$H$8:$H$31,MATCH($C$8,'🏪 Craft Fairs'!$B$8:$B$31,0))),0)</f>
        <v>6</v>
      </c>
      <c r="F19" s="3"/>
      <c r="G19" s="3"/>
      <c r="H19" s="3"/>
      <c r="I19" s="3"/>
      <c r="J19" s="3"/>
    </row>
    <row r="20" spans="1:10" ht="24" customHeight="1">
      <c r="A20" s="3"/>
      <c r="B20" s="92" t="s">
        <v>32</v>
      </c>
      <c r="C20" s="92"/>
      <c r="D20" s="92"/>
      <c r="E20" s="66">
        <f>IFERROR(IF($C$8="",0,INDEX('🏪 Craft Fairs'!$I$8:$I$31,MATCH($C$8,'🏪 Craft Fairs'!$B$8:$B$31,0))),0)</f>
        <v>10</v>
      </c>
      <c r="F20" s="3"/>
      <c r="G20" s="3"/>
      <c r="H20" s="3"/>
      <c r="I20" s="3"/>
      <c r="J20" s="3"/>
    </row>
    <row r="21" spans="1:10" ht="24" customHeight="1">
      <c r="A21" s="3"/>
      <c r="B21" s="92" t="s">
        <v>33</v>
      </c>
      <c r="C21" s="92"/>
      <c r="D21" s="92"/>
      <c r="E21" s="66">
        <f>IFERROR(IF($C$8="",0,INDEX('🏪 Craft Fairs'!$J$8:$J$31,MATCH($C$8,'🏪 Craft Fairs'!$B$8:$B$31,0))),0)</f>
        <v>25</v>
      </c>
      <c r="F21" s="3"/>
      <c r="G21" s="3"/>
      <c r="H21" s="3"/>
      <c r="I21" s="3"/>
      <c r="J21" s="3"/>
    </row>
    <row r="22" spans="1:10">
      <c r="A22" s="3"/>
      <c r="B22" s="3"/>
      <c r="C22" s="3"/>
      <c r="D22" s="3"/>
      <c r="E22" s="3"/>
      <c r="F22" s="3"/>
      <c r="G22" s="3"/>
      <c r="H22" s="3"/>
      <c r="I22" s="3"/>
      <c r="J22" s="3"/>
    </row>
    <row r="23" spans="1:10" ht="22" customHeight="1">
      <c r="A23" s="3"/>
      <c r="B23" s="22" t="s">
        <v>362</v>
      </c>
      <c r="C23" s="22"/>
      <c r="D23" s="22"/>
      <c r="E23" s="22"/>
      <c r="F23" s="22"/>
      <c r="G23" s="22"/>
      <c r="H23" s="22"/>
      <c r="I23" s="22"/>
      <c r="J23" s="22"/>
    </row>
    <row r="24" spans="1:10" ht="24" customHeight="1">
      <c r="A24" s="3"/>
      <c r="B24" s="92" t="s">
        <v>363</v>
      </c>
      <c r="C24" s="92"/>
      <c r="D24" s="92"/>
      <c r="E24" s="66">
        <f>IF($C$8="",0,ROUND($E$12-$E$16,2))</f>
        <v>315.2</v>
      </c>
      <c r="F24" s="3"/>
      <c r="G24" s="3"/>
      <c r="H24" s="3"/>
      <c r="I24" s="3"/>
      <c r="J24" s="3"/>
    </row>
    <row r="25" spans="1:10" ht="24" customHeight="1">
      <c r="A25" s="3"/>
      <c r="B25" s="92" t="s">
        <v>364</v>
      </c>
      <c r="C25" s="92"/>
      <c r="D25" s="92"/>
      <c r="E25" s="66">
        <f>IF($C$8="",0,ROUND(SUM($E$16:$E$21),2))</f>
        <v>198.8</v>
      </c>
      <c r="F25" s="3"/>
      <c r="G25" s="3"/>
      <c r="H25" s="3"/>
      <c r="I25" s="3"/>
      <c r="J25" s="3"/>
    </row>
    <row r="26" spans="1:10" ht="24" customHeight="1">
      <c r="A26" s="3"/>
      <c r="B26" s="90" t="s">
        <v>44</v>
      </c>
      <c r="C26" s="90"/>
      <c r="D26" s="90"/>
      <c r="E26" s="94">
        <f>IF($C$8="",0,ROUND($E$12-$E$25,2))</f>
        <v>199.2</v>
      </c>
      <c r="F26" s="95" t="str">
        <f>IF($C$8="","",Currency&amp;TEXT($E$26,"#,##0.00"))</f>
        <v>$199.20</v>
      </c>
      <c r="G26" s="95"/>
      <c r="H26" s="95"/>
      <c r="I26" s="95"/>
      <c r="J26" s="95"/>
    </row>
    <row r="27" spans="1:10" ht="24" customHeight="1">
      <c r="A27" s="3"/>
      <c r="B27" s="92" t="s">
        <v>45</v>
      </c>
      <c r="C27" s="92"/>
      <c r="D27" s="92"/>
      <c r="E27" s="67">
        <f>IF($C$8="",0,IFERROR($E$26/$E$12,0))</f>
        <v>0.5005025125628141</v>
      </c>
      <c r="F27" s="3"/>
      <c r="G27" s="3"/>
      <c r="H27" s="3"/>
      <c r="I27" s="3"/>
      <c r="J27" s="3"/>
    </row>
    <row r="28" spans="1:10" ht="24" customHeight="1">
      <c r="A28" s="3"/>
      <c r="B28" s="92" t="s">
        <v>365</v>
      </c>
      <c r="C28" s="92"/>
      <c r="D28" s="92"/>
      <c r="E28" s="66">
        <f>IF($C$8="",0,IFERROR($E$12/COUNTIFS('💰 Sales Log'!$C$8:$C$67,$C$8),0))</f>
        <v>79.6</v>
      </c>
      <c r="F28" s="3"/>
      <c r="G28" s="3"/>
      <c r="H28" s="3"/>
      <c r="I28" s="3"/>
      <c r="J28" s="3"/>
    </row>
    <row r="29" spans="1:10" ht="24" customHeight="1">
      <c r="A29" s="3"/>
      <c r="B29" s="92" t="s">
        <v>366</v>
      </c>
      <c r="C29" s="92"/>
      <c r="D29" s="92"/>
      <c r="E29" s="66">
        <f>IF($C$8="",0,IFERROR(ROUND($E$25/($E$24/$E$12),2),0))</f>
        <v>251.02284263959393</v>
      </c>
      <c r="F29" s="3"/>
      <c r="G29" s="3"/>
      <c r="H29" s="3"/>
      <c r="I29" s="3"/>
      <c r="J29" s="3"/>
    </row>
    <row r="30" spans="1:10" ht="24" customHeight="1">
      <c r="A30" s="3"/>
      <c r="B30" s="92" t="s">
        <v>367</v>
      </c>
      <c r="C30" s="92"/>
      <c r="D30" s="92"/>
      <c r="E30" s="67">
        <f>IF($C$8="",0,IFERROR($E$26/$E$25,0))</f>
        <v>1.0020120724346075</v>
      </c>
      <c r="F30" s="3"/>
      <c r="G30" s="3"/>
      <c r="H30" s="3"/>
      <c r="I30" s="3"/>
      <c r="J30" s="3"/>
    </row>
    <row r="31" spans="1:10">
      <c r="A31" s="3"/>
      <c r="B31" s="3"/>
      <c r="C31" s="3"/>
      <c r="D31" s="3"/>
      <c r="E31" s="3"/>
      <c r="F31" s="3"/>
      <c r="G31" s="3"/>
      <c r="H31" s="3"/>
      <c r="I31" s="3"/>
      <c r="J31" s="3"/>
    </row>
    <row r="32" spans="1:10">
      <c r="A32" s="3"/>
      <c r="B32" s="3"/>
      <c r="C32" s="3"/>
      <c r="D32" s="3"/>
      <c r="E32" s="3"/>
      <c r="F32" s="3"/>
      <c r="G32" s="3"/>
      <c r="H32" s="3"/>
      <c r="I32" s="3"/>
      <c r="J32" s="3"/>
    </row>
    <row r="33" spans="1:10">
      <c r="A33" s="3"/>
      <c r="B33" s="3"/>
      <c r="C33" s="3"/>
      <c r="D33" s="3"/>
      <c r="E33" s="3"/>
      <c r="F33" s="3"/>
      <c r="G33" s="3"/>
      <c r="H33" s="3"/>
      <c r="I33" s="3"/>
      <c r="J33" s="3"/>
    </row>
    <row r="34" spans="1:10">
      <c r="A34" s="3"/>
      <c r="B34" s="3"/>
      <c r="C34" s="3"/>
      <c r="D34" s="3"/>
      <c r="E34" s="3"/>
      <c r="F34" s="3"/>
      <c r="G34" s="3"/>
      <c r="H34" s="3"/>
      <c r="I34" s="3"/>
      <c r="J34" s="3"/>
    </row>
    <row r="35" spans="1:10" ht="22" customHeight="1">
      <c r="A35" s="3"/>
      <c r="B35" s="60" t="s">
        <v>368</v>
      </c>
      <c r="C35" s="60"/>
      <c r="D35" s="60"/>
      <c r="E35" s="60"/>
      <c r="F35" s="60"/>
      <c r="G35" s="60"/>
      <c r="H35" s="60"/>
      <c r="I35" s="60"/>
      <c r="J35" s="60"/>
    </row>
    <row r="36" spans="1:10" ht="66.4" customHeight="1">
      <c r="A36" s="3"/>
      <c r="B36" s="15" t="s">
        <v>369</v>
      </c>
      <c r="C36" s="15"/>
      <c r="D36" s="15"/>
      <c r="E36" s="15"/>
      <c r="F36" s="15"/>
      <c r="G36" s="15"/>
      <c r="H36" s="15"/>
      <c r="I36" s="15"/>
      <c r="J36" s="15"/>
    </row>
    <row r="37" spans="1:10">
      <c r="A37" s="3"/>
      <c r="B37" s="3"/>
      <c r="C37" s="3"/>
      <c r="D37" s="3"/>
      <c r="E37" s="3"/>
      <c r="F37" s="3"/>
      <c r="G37" s="3"/>
      <c r="H37" s="3"/>
      <c r="I37" s="3"/>
      <c r="J37" s="3"/>
    </row>
    <row r="38" spans="1:10">
      <c r="A38" s="3"/>
      <c r="B38" s="3"/>
      <c r="C38" s="3"/>
      <c r="D38" s="3"/>
      <c r="E38" s="3"/>
      <c r="F38" s="3"/>
      <c r="G38" s="3"/>
      <c r="H38" s="3"/>
      <c r="I38" s="3"/>
      <c r="J38" s="3"/>
    </row>
    <row r="39" spans="1:10">
      <c r="A39" s="3"/>
      <c r="B39" s="3"/>
      <c r="C39" s="3"/>
      <c r="D39" s="3"/>
      <c r="E39" s="3"/>
      <c r="F39" s="3"/>
      <c r="G39" s="3"/>
      <c r="H39" s="3"/>
      <c r="I39" s="3"/>
      <c r="J39" s="3"/>
    </row>
    <row r="40" spans="1:10" ht="30" customHeight="1">
      <c r="A40" s="3"/>
      <c r="B40" s="25" t="s">
        <v>370</v>
      </c>
      <c r="C40" s="25"/>
      <c r="D40" s="25"/>
      <c r="E40" s="25"/>
      <c r="F40" s="25"/>
      <c r="G40" s="25"/>
      <c r="H40" s="25"/>
      <c r="I40" s="25"/>
      <c r="J40" s="25"/>
    </row>
    <row r="41" spans="1:10">
      <c r="A41" s="3"/>
      <c r="B41" s="3"/>
      <c r="C41" s="3"/>
      <c r="D41" s="3"/>
      <c r="E41" s="3"/>
      <c r="F41" s="3"/>
      <c r="G41" s="3"/>
      <c r="H41" s="3"/>
      <c r="I41" s="3"/>
      <c r="J41" s="3"/>
    </row>
    <row r="42" spans="1:10" ht="24" customHeight="1">
      <c r="A42" s="3"/>
      <c r="B42" s="26" t="s">
        <v>155</v>
      </c>
      <c r="C42" s="26"/>
      <c r="D42" s="27" t="s">
        <v>126</v>
      </c>
      <c r="E42" s="27"/>
      <c r="F42" s="28" t="s">
        <v>127</v>
      </c>
      <c r="G42" s="28"/>
      <c r="H42" s="29" t="s">
        <v>128</v>
      </c>
      <c r="I42" s="29"/>
      <c r="J42" s="3"/>
    </row>
    <row r="43" spans="1:10" ht="24" customHeight="1">
      <c r="A43" s="3"/>
      <c r="B43" s="30" t="s">
        <v>36</v>
      </c>
      <c r="C43" s="30"/>
      <c r="D43" s="31" t="s">
        <v>129</v>
      </c>
      <c r="E43" s="31"/>
      <c r="F43" s="32" t="s">
        <v>39</v>
      </c>
      <c r="G43" s="32"/>
      <c r="H43" s="33" t="s">
        <v>371</v>
      </c>
      <c r="I43" s="33"/>
      <c r="J43" s="3"/>
    </row>
    <row r="44" spans="1:10" ht="24" customHeight="1">
      <c r="A44" s="3"/>
      <c r="B44" s="27" t="s">
        <v>131</v>
      </c>
      <c r="C44" s="27"/>
      <c r="D44" s="29" t="s">
        <v>132</v>
      </c>
      <c r="E44" s="29"/>
      <c r="F44" s="26" t="s">
        <v>133</v>
      </c>
      <c r="G44" s="26"/>
      <c r="H44" s="27" t="s">
        <v>134</v>
      </c>
      <c r="I44" s="27"/>
      <c r="J44" s="3"/>
    </row>
    <row r="45" spans="1:10" ht="24" customHeight="1">
      <c r="A45" s="3"/>
      <c r="B45" s="28" t="s">
        <v>135</v>
      </c>
      <c r="C45" s="28"/>
      <c r="D45" s="3"/>
      <c r="E45" s="3"/>
      <c r="F45" s="3"/>
      <c r="G45" s="3"/>
      <c r="H45" s="3"/>
      <c r="I45" s="3"/>
      <c r="J45" s="3"/>
    </row>
    <row r="46" spans="1:10">
      <c r="A46" s="3"/>
      <c r="B46" s="3"/>
      <c r="C46" s="3"/>
      <c r="D46" s="3"/>
      <c r="E46" s="3"/>
      <c r="F46" s="3"/>
      <c r="G46" s="3"/>
      <c r="H46" s="3"/>
      <c r="I46" s="3"/>
      <c r="J46" s="3"/>
    </row>
    <row r="47" spans="1:10">
      <c r="A47" s="3"/>
      <c r="B47" s="3"/>
      <c r="C47" s="3"/>
      <c r="D47" s="3"/>
      <c r="E47" s="3"/>
      <c r="F47" s="3"/>
      <c r="G47" s="3"/>
      <c r="H47" s="3"/>
      <c r="I47" s="3"/>
      <c r="J47" s="3"/>
    </row>
    <row r="48" spans="1:10">
      <c r="A48" s="3"/>
      <c r="B48" s="3"/>
      <c r="C48" s="3"/>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row r="51" spans="1:10">
      <c r="A51" s="3"/>
      <c r="B51" s="3"/>
      <c r="C51" s="3"/>
      <c r="D51" s="3"/>
      <c r="E51" s="3"/>
      <c r="F51" s="3"/>
      <c r="G51" s="3"/>
      <c r="H51" s="3"/>
      <c r="I51" s="3"/>
      <c r="J51" s="3"/>
    </row>
    <row r="52" spans="1:10">
      <c r="A52" s="3"/>
      <c r="B52" s="3"/>
      <c r="C52" s="3"/>
      <c r="D52" s="3"/>
      <c r="E52" s="3"/>
      <c r="F52" s="3"/>
      <c r="G52" s="3"/>
      <c r="H52" s="3"/>
      <c r="I52" s="3"/>
      <c r="J52" s="3"/>
    </row>
    <row r="53" spans="1:10">
      <c r="A53" s="3"/>
      <c r="B53" s="3"/>
      <c r="C53" s="3"/>
      <c r="D53" s="3"/>
      <c r="E53" s="3"/>
      <c r="F53" s="3"/>
      <c r="G53" s="3"/>
      <c r="H53" s="3"/>
      <c r="I53" s="3"/>
      <c r="J53" s="3"/>
    </row>
    <row r="54" spans="1:10">
      <c r="A54" s="3"/>
      <c r="B54" s="3"/>
      <c r="C54" s="3"/>
      <c r="D54" s="3"/>
      <c r="E54" s="3"/>
      <c r="F54" s="3"/>
      <c r="G54" s="3"/>
      <c r="H54" s="3"/>
      <c r="I54" s="3"/>
      <c r="J54" s="3"/>
    </row>
    <row r="55" spans="1:10">
      <c r="A55" s="3"/>
      <c r="B55" s="3"/>
      <c r="C55" s="3"/>
      <c r="D55" s="3"/>
      <c r="E55" s="3"/>
      <c r="F55" s="3"/>
      <c r="G55" s="3"/>
      <c r="H55" s="3"/>
      <c r="I55" s="3"/>
      <c r="J55" s="3"/>
    </row>
    <row r="56" spans="1:10">
      <c r="A56" s="3"/>
      <c r="B56" s="3"/>
      <c r="C56" s="3"/>
      <c r="D56" s="3"/>
      <c r="E56" s="3"/>
      <c r="F56" s="3"/>
      <c r="G56" s="3"/>
      <c r="H56" s="3"/>
      <c r="I56" s="3"/>
      <c r="J56" s="3"/>
    </row>
    <row r="57" spans="1:10">
      <c r="A57" s="3"/>
      <c r="B57" s="3"/>
      <c r="C57" s="3"/>
      <c r="D57" s="3"/>
      <c r="E57" s="3"/>
      <c r="F57" s="3"/>
      <c r="G57" s="3"/>
      <c r="H57" s="3"/>
      <c r="I57" s="3"/>
      <c r="J57" s="3"/>
    </row>
    <row r="58" spans="1:10">
      <c r="A58" s="3"/>
      <c r="B58" s="3"/>
      <c r="C58" s="3"/>
      <c r="D58" s="3"/>
      <c r="E58" s="3"/>
      <c r="F58" s="3"/>
      <c r="G58" s="3"/>
      <c r="H58" s="3"/>
      <c r="I58" s="3"/>
      <c r="J58" s="3"/>
    </row>
    <row r="59" spans="1:10">
      <c r="A59" s="3"/>
      <c r="B59" s="3"/>
      <c r="C59" s="3"/>
      <c r="D59" s="3"/>
      <c r="E59" s="3"/>
      <c r="F59" s="3"/>
      <c r="G59" s="3"/>
      <c r="H59" s="3"/>
      <c r="I59" s="3"/>
      <c r="J59" s="3"/>
    </row>
    <row r="60" spans="1:10">
      <c r="A60" s="3"/>
      <c r="B60" s="3"/>
      <c r="C60" s="3"/>
      <c r="D60" s="3"/>
      <c r="E60" s="3"/>
      <c r="F60" s="3"/>
      <c r="G60" s="3"/>
      <c r="H60" s="3"/>
      <c r="I60" s="3"/>
      <c r="J60" s="3"/>
    </row>
    <row r="61" spans="1:10">
      <c r="A61" s="3"/>
      <c r="B61" s="3"/>
      <c r="C61" s="3"/>
      <c r="D61" s="3"/>
      <c r="E61" s="3"/>
      <c r="F61" s="3"/>
      <c r="G61" s="3"/>
      <c r="H61" s="3"/>
      <c r="I61" s="3"/>
      <c r="J61" s="3"/>
    </row>
  </sheetData>
  <sheetProtection password="EC7C" sheet="1" formatCells="0" formatColumns="0" formatRows="0" insertColumns="0" insertRows="0" insertHyperlinks="0" deleteColumns="0" deleteRows="0" sort="0" autoFilter="0"/>
  <mergeCells count="56">
    <mergeCell ref="B2:G2"/>
    <mergeCell ref="B3:G3"/>
    <mergeCell ref="H3:J3"/>
    <mergeCell ref="B5:J5"/>
    <mergeCell ref="C8:J8"/>
    <mergeCell ref="B10:J10"/>
    <mergeCell ref="B11:D11"/>
    <mergeCell ref="F11:J11"/>
    <mergeCell ref="B12:D12"/>
    <mergeCell ref="F12:J12"/>
    <mergeCell ref="B13:D13"/>
    <mergeCell ref="F13:J13"/>
    <mergeCell ref="B15:J15"/>
    <mergeCell ref="B16:D16"/>
    <mergeCell ref="F16:J16"/>
    <mergeCell ref="B17:D17"/>
    <mergeCell ref="F17:J17"/>
    <mergeCell ref="B18:D18"/>
    <mergeCell ref="F18:J18"/>
    <mergeCell ref="B19:D19"/>
    <mergeCell ref="F19:J19"/>
    <mergeCell ref="B20:D20"/>
    <mergeCell ref="F20:J20"/>
    <mergeCell ref="B21:D21"/>
    <mergeCell ref="F21:J21"/>
    <mergeCell ref="B23:J23"/>
    <mergeCell ref="B24:D24"/>
    <mergeCell ref="F24:J24"/>
    <mergeCell ref="B25:D25"/>
    <mergeCell ref="F25:J25"/>
    <mergeCell ref="B26:D26"/>
    <mergeCell ref="B27:D27"/>
    <mergeCell ref="F27:J27"/>
    <mergeCell ref="B28:D28"/>
    <mergeCell ref="F28:J28"/>
    <mergeCell ref="B29:D29"/>
    <mergeCell ref="F29:J29"/>
    <mergeCell ref="B30:D30"/>
    <mergeCell ref="F30:J30"/>
    <mergeCell ref="F26:J26"/>
    <mergeCell ref="B35:J35"/>
    <mergeCell ref="B36:J36"/>
    <mergeCell ref="B40:J40"/>
    <mergeCell ref="B42:C42"/>
    <mergeCell ref="D42:E42"/>
    <mergeCell ref="F42:G42"/>
    <mergeCell ref="H42:I42"/>
    <mergeCell ref="B43:C43"/>
    <mergeCell ref="D43:E43"/>
    <mergeCell ref="F43:G43"/>
    <mergeCell ref="H43:I43"/>
    <mergeCell ref="B44:C44"/>
    <mergeCell ref="D44:E44"/>
    <mergeCell ref="F44:G44"/>
    <mergeCell ref="H44:I44"/>
    <mergeCell ref="B45:C45"/>
  </mergeCells>
  <conditionalFormatting sqref="E23">
    <cfRule type="cellIs" dxfId="3" priority="1" operator="lessThan">
      <formula>0</formula>
    </cfRule>
  </conditionalFormatting>
  <conditionalFormatting sqref="E24">
    <cfRule type="cellIs" dxfId="3" priority="2" operator="lessThan">
      <formula>0</formula>
    </cfRule>
  </conditionalFormatting>
  <conditionalFormatting sqref="E25">
    <cfRule type="cellIs" dxfId="3" priority="3" operator="lessThan">
      <formula>0</formula>
    </cfRule>
  </conditionalFormatting>
  <dataValidations count="1">
    <dataValidation type="list" errorStyle="warning" allowBlank="1" showInputMessage="1" showErrorMessage="1" errorTitle="Pick from the list" error="Choose a fair you've entered on the Craft Fairs tab." promptTitle="Craft fair" prompt="Pick one of your fairs from the Craft Fairs tab." sqref="C8">
      <formula1>EventList</formula1>
    </dataValidation>
  </dataValidations>
  <hyperlinks>
    <hyperlink ref="H3" location="'📊 Dashboard'!A1" display="🏠  Dashboard"/>
    <hyperlink ref="B42" location="'⚙️ Lists &amp; Settings'!A1" display="Settings"/>
    <hyperlink ref="D42" location="'📊 Dashboard'!A1" display="🏠 Home"/>
    <hyperlink ref="F42" location="'🧶 Product Catalog'!A1" display="Products"/>
    <hyperlink ref="H42" location="'🧵 Yarn &amp; Materials'!A1" display="Yarn"/>
    <hyperlink ref="B43" location="'📦 Made &amp; Stocked'!A1" display="Stock"/>
    <hyperlink ref="D43" location="'🏪 Craft Fairs'!A1" display="Fairs"/>
    <hyperlink ref="F43" location="'💰 Sales Log'!A1" display="Sales"/>
    <hyperlink ref="H43" location="'🧮 Event Profit'!A1" display="▶ Event $"/>
    <hyperlink ref="B44" location="'🔄 Reorder List'!A1" display="Reorder"/>
    <hyperlink ref="D44" location="'🎒 Packing Checklist'!A1" display="Packing"/>
    <hyperlink ref="F44" location="'💵 Pricing Calculator'!A1" display="Pricing"/>
    <hyperlink ref="H44" location="'📅 Monthly Summary'!A1" display="Monthly"/>
    <hyperlink ref="B45"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worksheet>
</file>

<file path=xl/worksheets/sheet10.xml><?xml version="1.0" encoding="utf-8"?>
<worksheet xmlns="http://schemas.openxmlformats.org/spreadsheetml/2006/main" xmlns:r="http://schemas.openxmlformats.org/officeDocument/2006/relationships">
  <sheetPr>
    <tabColor rgb="FFAC2F2F"/>
    <pageSetUpPr fitToPage="1"/>
  </sheetPr>
  <dimension ref="A1:J48"/>
  <sheetViews>
    <sheetView showGridLines="0" zoomScale="90" zoomScaleNormal="90" workbookViewId="0"/>
  </sheetViews>
  <sheetFormatPr defaultRowHeight="15"/>
  <cols>
    <col min="1" max="1" width="2.85546875" customWidth="1"/>
    <col min="2" max="2" width="26.7109375" customWidth="1"/>
    <col min="3" max="3" width="9.7109375" customWidth="1"/>
    <col min="4" max="4" width="8.7109375" customWidth="1"/>
    <col min="5" max="5" width="10.7109375" customWidth="1"/>
    <col min="6" max="6" width="18.7109375" customWidth="1"/>
    <col min="7" max="7" width="10.7109375" customWidth="1"/>
    <col min="8" max="8" width="13.7109375" customWidth="1"/>
    <col min="9" max="9" width="10.7109375" customWidth="1"/>
    <col min="10" max="10" width="12.7109375" customWidth="1"/>
  </cols>
  <sheetData>
    <row r="1" spans="1:10" ht="7" customHeight="1">
      <c r="A1" s="3"/>
      <c r="B1" s="3"/>
      <c r="C1" s="3"/>
      <c r="D1" s="3"/>
      <c r="E1" s="3"/>
      <c r="F1" s="3"/>
      <c r="G1" s="3"/>
      <c r="H1" s="3"/>
      <c r="I1" s="3"/>
      <c r="J1" s="3"/>
    </row>
    <row r="2" spans="1:10" ht="32" customHeight="1">
      <c r="A2" s="3"/>
      <c r="B2" s="4" t="s">
        <v>372</v>
      </c>
      <c r="C2" s="4"/>
      <c r="D2" s="4"/>
      <c r="E2" s="4"/>
      <c r="F2" s="4"/>
      <c r="G2" s="4"/>
      <c r="H2" s="3"/>
      <c r="I2" s="3"/>
      <c r="J2" s="3"/>
    </row>
    <row r="3" spans="1:10" ht="18" customHeight="1">
      <c r="A3" s="3"/>
      <c r="B3" s="5" t="s">
        <v>373</v>
      </c>
      <c r="C3" s="5"/>
      <c r="D3" s="5"/>
      <c r="E3" s="5"/>
      <c r="F3" s="5"/>
      <c r="G3" s="5"/>
      <c r="H3" s="6" t="s">
        <v>70</v>
      </c>
      <c r="I3" s="6"/>
      <c r="J3" s="6"/>
    </row>
    <row r="4" spans="1:10" ht="8" customHeight="1">
      <c r="A4" s="3"/>
      <c r="B4" s="3"/>
      <c r="C4" s="3"/>
      <c r="D4" s="3"/>
      <c r="E4" s="3"/>
      <c r="F4" s="3"/>
      <c r="G4" s="3"/>
      <c r="H4" s="3"/>
      <c r="I4" s="3"/>
      <c r="J4" s="3"/>
    </row>
    <row r="5" spans="1:10" ht="22" customHeight="1">
      <c r="A5" s="3"/>
      <c r="B5" s="39" t="str">
        <f>"Need restocking: "&amp;TEXT(COUNTIF($B$10:$B$21,"?*")+COUNTIF($B$25:$B$34,"?*"),"0")</f>
        <v>Need restocking: 12</v>
      </c>
      <c r="C5" s="39"/>
      <c r="D5" s="39"/>
      <c r="E5" s="69" t="str">
        <f>"Estimated bill: "&amp;Currency&amp;TEXT(SUM($G$10:$G$34),"#,##0.00")</f>
        <v>Estimated bill: $342.70</v>
      </c>
      <c r="F5" s="69"/>
      <c r="G5" s="69"/>
      <c r="H5" s="38" t="str">
        <f>"Urgent (sold out): "&amp;TEXT(COUNTIF($H$10:$H$34,"🔴 Urgent"),"0")</f>
        <v>Urgent (sold out): 3</v>
      </c>
      <c r="I5" s="38"/>
      <c r="J5" s="38"/>
    </row>
    <row r="6" spans="1:10" ht="8" customHeight="1">
      <c r="A6" s="3"/>
      <c r="B6" s="3"/>
      <c r="C6" s="3"/>
      <c r="D6" s="3"/>
      <c r="E6" s="3"/>
      <c r="F6" s="3"/>
      <c r="G6" s="3"/>
      <c r="H6" s="3"/>
      <c r="I6" s="3"/>
      <c r="J6" s="3"/>
    </row>
    <row r="7" spans="1:10">
      <c r="A7" s="3"/>
      <c r="B7" s="3"/>
      <c r="C7" s="3"/>
      <c r="D7" s="3"/>
      <c r="E7" s="3"/>
      <c r="F7" s="3"/>
      <c r="G7" s="3"/>
      <c r="H7" s="3"/>
      <c r="I7" s="3"/>
      <c r="J7" s="3"/>
    </row>
    <row r="8" spans="1:10" ht="22" customHeight="1">
      <c r="A8" s="3"/>
      <c r="B8" s="7" t="s">
        <v>374</v>
      </c>
      <c r="C8" s="7"/>
      <c r="D8" s="7"/>
      <c r="E8" s="7"/>
      <c r="F8" s="7"/>
      <c r="G8" s="7"/>
      <c r="H8" s="7"/>
      <c r="I8" s="7"/>
      <c r="J8" s="7"/>
    </row>
    <row r="9" spans="1:10" ht="30" customHeight="1">
      <c r="A9" s="3"/>
      <c r="B9" s="62" t="s">
        <v>67</v>
      </c>
      <c r="C9" s="62" t="s">
        <v>375</v>
      </c>
      <c r="D9" s="62" t="s">
        <v>237</v>
      </c>
      <c r="E9" s="62" t="s">
        <v>376</v>
      </c>
      <c r="F9" s="62" t="s">
        <v>236</v>
      </c>
      <c r="G9" s="62" t="s">
        <v>377</v>
      </c>
      <c r="H9" s="62" t="s">
        <v>378</v>
      </c>
      <c r="I9" s="62" t="s">
        <v>379</v>
      </c>
      <c r="J9" s="62" t="s">
        <v>380</v>
      </c>
    </row>
    <row r="10" spans="1:10" ht="20" customHeight="1">
      <c r="A10" s="3"/>
      <c r="B10" s="64">
        <f>IF(OR('🧶 Product Catalog'!$C8="",'🧶 Product Catalog'!$M8&gt;='🧶 Product Catalog'!$N8),"",'🧶 Product Catalog'!$C8)</f>
        <v/>
      </c>
      <c r="C10" s="65">
        <f>IF($B10="","",'🧶 Product Catalog'!$M8)</f>
        <v/>
      </c>
      <c r="D10" s="65">
        <f>IF($B10="","",'🧶 Product Catalog'!$N8)</f>
        <v/>
      </c>
      <c r="E10" s="65">
        <f>IF($B10="","",MAX(0,$D10*2-$C10))</f>
        <v/>
      </c>
      <c r="F10" s="21"/>
      <c r="G10" s="66">
        <f>IF($B10="","",ROUND($E10*IFERROR(VLOOKUP($B10,'🧶 Product Catalog'!$C8:$I31,7,0),0),2))</f>
        <v/>
      </c>
      <c r="H10" s="76">
        <f>IF($B10="","",IF($C10&lt;=0,"🔴 Urgent","🟠 High"))</f>
        <v/>
      </c>
      <c r="I10" s="89"/>
      <c r="J10" s="87"/>
    </row>
    <row r="11" spans="1:10" ht="20" customHeight="1">
      <c r="A11" s="3"/>
      <c r="B11" s="64">
        <f>IF(OR('🧶 Product Catalog'!$C9="",'🧶 Product Catalog'!$M9&gt;='🧶 Product Catalog'!$N9),"",'🧶 Product Catalog'!$C9)</f>
        <v/>
      </c>
      <c r="C11" s="65">
        <f>IF($B11="","",'🧶 Product Catalog'!$M9)</f>
        <v/>
      </c>
      <c r="D11" s="65">
        <f>IF($B11="","",'🧶 Product Catalog'!$N9)</f>
        <v/>
      </c>
      <c r="E11" s="65">
        <f>IF($B11="","",MAX(0,$D11*2-$C11))</f>
        <v/>
      </c>
      <c r="F11" s="9"/>
      <c r="G11" s="66">
        <f>IF($B11="","",ROUND($E11*IFERROR(VLOOKUP($B11,'🧶 Product Catalog'!$C8:$I31,7,0),0),2))</f>
        <v/>
      </c>
      <c r="H11" s="76">
        <f>IF($B11="","",IF($C11&lt;=0,"🔴 Urgent","🟠 High"))</f>
        <v/>
      </c>
      <c r="I11" s="23"/>
      <c r="J11" s="88"/>
    </row>
    <row r="12" spans="1:10" ht="20" customHeight="1">
      <c r="A12" s="3"/>
      <c r="B12" s="64">
        <f>IF(OR('🧶 Product Catalog'!$C10="",'🧶 Product Catalog'!$M10&gt;='🧶 Product Catalog'!$N10),"",'🧶 Product Catalog'!$C10)</f>
        <v/>
      </c>
      <c r="C12" s="65">
        <f>IF($B12="","",'🧶 Product Catalog'!$M10)</f>
        <v/>
      </c>
      <c r="D12" s="65">
        <f>IF($B12="","",'🧶 Product Catalog'!$N10)</f>
        <v/>
      </c>
      <c r="E12" s="65">
        <f>IF($B12="","",MAX(0,$D12*2-$C12))</f>
        <v/>
      </c>
      <c r="F12" s="21"/>
      <c r="G12" s="66">
        <f>IF($B12="","",ROUND($E12*IFERROR(VLOOKUP($B12,'🧶 Product Catalog'!$C8:$I31,7,0),0),2))</f>
        <v/>
      </c>
      <c r="H12" s="76">
        <f>IF($B12="","",IF($C12&lt;=0,"🔴 Urgent","🟠 High"))</f>
        <v/>
      </c>
      <c r="I12" s="89"/>
      <c r="J12" s="87"/>
    </row>
    <row r="13" spans="1:10" ht="20" customHeight="1">
      <c r="A13" s="3"/>
      <c r="B13" s="64" t="str">
        <f>IF(OR('🧶 Product Catalog'!$C11="",'🧶 Product Catalog'!$M11&gt;='🧶 Product Catalog'!$N11),"",'🧶 Product Catalog'!$C11)</f>
        <v>Market Tote Bag</v>
      </c>
      <c r="C13" s="65">
        <f>IF($B13="","",'🧶 Product Catalog'!$M11)</f>
        <v>3</v>
      </c>
      <c r="D13" s="65">
        <f>IF($B13="","",'🧶 Product Catalog'!$N11)</f>
        <v>5</v>
      </c>
      <c r="E13" s="65">
        <f>IF($B13="","",MAX(0,$D13*2-$C13))</f>
        <v>7</v>
      </c>
      <c r="F13" s="9"/>
      <c r="G13" s="66">
        <f>IF($B13="","",ROUND($E13*IFERROR(VLOOKUP($B13,'🧶 Product Catalog'!$C8:$I31,7,0),0),2))</f>
        <v>49.7</v>
      </c>
      <c r="H13" s="76" t="str">
        <f>IF($B13="","",IF($C13&lt;=0,"🔴 Urgent","🟠 High"))</f>
        <v>🟠 High</v>
      </c>
      <c r="I13" s="23"/>
      <c r="J13" s="88"/>
    </row>
    <row r="14" spans="1:10" ht="20" customHeight="1">
      <c r="A14" s="3"/>
      <c r="B14" s="64">
        <f>IF(OR('🧶 Product Catalog'!$C12="",'🧶 Product Catalog'!$M12&gt;='🧶 Product Catalog'!$N12),"",'🧶 Product Catalog'!$C12)</f>
        <v/>
      </c>
      <c r="C14" s="65">
        <f>IF($B14="","",'🧶 Product Catalog'!$M12)</f>
        <v/>
      </c>
      <c r="D14" s="65">
        <f>IF($B14="","",'🧶 Product Catalog'!$N12)</f>
        <v/>
      </c>
      <c r="E14" s="65">
        <f>IF($B14="","",MAX(0,$D14*2-$C14))</f>
        <v/>
      </c>
      <c r="F14" s="21"/>
      <c r="G14" s="66">
        <f>IF($B14="","",ROUND($E14*IFERROR(VLOOKUP($B14,'🧶 Product Catalog'!$C8:$I31,7,0),0),2))</f>
        <v/>
      </c>
      <c r="H14" s="76">
        <f>IF($B14="","",IF($C14&lt;=0,"🔴 Urgent","🟠 High"))</f>
        <v/>
      </c>
      <c r="I14" s="89"/>
      <c r="J14" s="87"/>
    </row>
    <row r="15" spans="1:10" ht="20" customHeight="1">
      <c r="A15" s="3"/>
      <c r="B15" s="64" t="str">
        <f>IF(OR('🧶 Product Catalog'!$C13="",'🧶 Product Catalog'!$M13&gt;='🧶 Product Catalog'!$N13),"",'🧶 Product Catalog'!$C13)</f>
        <v>Baby Booties</v>
      </c>
      <c r="C15" s="65">
        <f>IF($B15="","",'🧶 Product Catalog'!$M13)</f>
        <v>3</v>
      </c>
      <c r="D15" s="65">
        <f>IF($B15="","",'🧶 Product Catalog'!$N13)</f>
        <v>6</v>
      </c>
      <c r="E15" s="65">
        <f>IF($B15="","",MAX(0,$D15*2-$C15))</f>
        <v>9</v>
      </c>
      <c r="F15" s="9"/>
      <c r="G15" s="66">
        <f>IF($B15="","",ROUND($E15*IFERROR(VLOOKUP($B15,'🧶 Product Catalog'!$C8:$I31,7,0),0),2))</f>
        <v>28.8</v>
      </c>
      <c r="H15" s="76" t="str">
        <f>IF($B15="","",IF($C15&lt;=0,"🔴 Urgent","🟠 High"))</f>
        <v>🟠 High</v>
      </c>
      <c r="I15" s="23"/>
      <c r="J15" s="88"/>
    </row>
    <row r="16" spans="1:10" ht="20" customHeight="1">
      <c r="A16" s="3"/>
      <c r="B16" s="64" t="str">
        <f>IF(OR('🧶 Product Catalog'!$C14="",'🧶 Product Catalog'!$M14&gt;='🧶 Product Catalog'!$N14),"",'🧶 Product Catalog'!$C14)</f>
        <v>Flower Coaster Set</v>
      </c>
      <c r="C16" s="65">
        <f>IF($B16="","",'🧶 Product Catalog'!$M14)</f>
        <v>5</v>
      </c>
      <c r="D16" s="65">
        <f>IF($B16="","",'🧶 Product Catalog'!$N14)</f>
        <v>8</v>
      </c>
      <c r="E16" s="65">
        <f>IF($B16="","",MAX(0,$D16*2-$C16))</f>
        <v>11</v>
      </c>
      <c r="F16" s="21"/>
      <c r="G16" s="66">
        <f>IF($B16="","",ROUND($E16*IFERROR(VLOOKUP($B16,'🧶 Product Catalog'!$C8:$I31,7,0),0),2))</f>
        <v>29.7</v>
      </c>
      <c r="H16" s="76" t="str">
        <f>IF($B16="","",IF($C16&lt;=0,"🔴 Urgent","🟠 High"))</f>
        <v>🟠 High</v>
      </c>
      <c r="I16" s="89"/>
      <c r="J16" s="87"/>
    </row>
    <row r="17" spans="1:10" ht="20" customHeight="1">
      <c r="A17" s="3"/>
      <c r="B17" s="64" t="str">
        <f>IF(OR('🧶 Product Catalog'!$C15="",'🧶 Product Catalog'!$M15&gt;='🧶 Product Catalog'!$N15),"",'🧶 Product Catalog'!$C15)</f>
        <v>Lap Blanket</v>
      </c>
      <c r="C17" s="65">
        <f>IF($B17="","",'🧶 Product Catalog'!$M15)</f>
        <v>1</v>
      </c>
      <c r="D17" s="65">
        <f>IF($B17="","",'🧶 Product Catalog'!$N15)</f>
        <v>2</v>
      </c>
      <c r="E17" s="65">
        <f>IF($B17="","",MAX(0,$D17*2-$C17))</f>
        <v>3</v>
      </c>
      <c r="F17" s="9"/>
      <c r="G17" s="66">
        <f>IF($B17="","",ROUND($E17*IFERROR(VLOOKUP($B17,'🧶 Product Catalog'!$C8:$I31,7,0),0),2))</f>
        <v>56.4</v>
      </c>
      <c r="H17" s="76" t="str">
        <f>IF($B17="","",IF($C17&lt;=0,"🔴 Urgent","🟠 High"))</f>
        <v>🟠 High</v>
      </c>
      <c r="I17" s="23"/>
      <c r="J17" s="88"/>
    </row>
    <row r="18" spans="1:10" ht="20" customHeight="1">
      <c r="A18" s="3"/>
      <c r="B18" s="64" t="str">
        <f>IF(OR('🧶 Product Catalog'!$C16="",'🧶 Product Catalog'!$M16&gt;='🧶 Product Catalog'!$N16),"",'🧶 Product Catalog'!$C16)</f>
        <v>Ear Warmer Headband</v>
      </c>
      <c r="C18" s="65">
        <f>IF($B18="","",'🧶 Product Catalog'!$M16)</f>
        <v>0</v>
      </c>
      <c r="D18" s="65">
        <f>IF($B18="","",'🧶 Product Catalog'!$N16)</f>
        <v>4</v>
      </c>
      <c r="E18" s="65">
        <f>IF($B18="","",MAX(0,$D18*2-$C18))</f>
        <v>8</v>
      </c>
      <c r="F18" s="21"/>
      <c r="G18" s="66">
        <f>IF($B18="","",ROUND($E18*IFERROR(VLOOKUP($B18,'🧶 Product Catalog'!$C8:$I31,7,0),0),2))</f>
        <v>27.2</v>
      </c>
      <c r="H18" s="76" t="str">
        <f>IF($B18="","",IF($C18&lt;=0,"🔴 Urgent","🟠 High"))</f>
        <v>🔴 Urgent</v>
      </c>
      <c r="I18" s="89"/>
      <c r="J18" s="87"/>
    </row>
    <row r="19" spans="1:10" ht="20" customHeight="1">
      <c r="A19" s="3"/>
      <c r="B19" s="64">
        <f>IF(OR('🧶 Product Catalog'!$C17="",'🧶 Product Catalog'!$M17&gt;='🧶 Product Catalog'!$N17),"",'🧶 Product Catalog'!$C17)</f>
        <v/>
      </c>
      <c r="C19" s="65">
        <f>IF($B19="","",'🧶 Product Catalog'!$M17)</f>
        <v/>
      </c>
      <c r="D19" s="65">
        <f>IF($B19="","",'🧶 Product Catalog'!$N17)</f>
        <v/>
      </c>
      <c r="E19" s="65">
        <f>IF($B19="","",MAX(0,$D19*2-$C19))</f>
        <v/>
      </c>
      <c r="F19" s="9"/>
      <c r="G19" s="66">
        <f>IF($B19="","",ROUND($E19*IFERROR(VLOOKUP($B19,'🧶 Product Catalog'!$C8:$I31,7,0),0),2))</f>
        <v/>
      </c>
      <c r="H19" s="76">
        <f>IF($B19="","",IF($C19&lt;=0,"🔴 Urgent","🟠 High"))</f>
        <v/>
      </c>
      <c r="I19" s="23"/>
      <c r="J19" s="88"/>
    </row>
    <row r="20" spans="1:10" ht="20" customHeight="1">
      <c r="A20" s="3"/>
      <c r="B20" s="64" t="str">
        <f>IF(OR('🧶 Product Catalog'!$C18="",'🧶 Product Catalog'!$M18&gt;='🧶 Product Catalog'!$N18),"",'🧶 Product Catalog'!$C18)</f>
        <v>Table Runner</v>
      </c>
      <c r="C20" s="65">
        <f>IF($B20="","",'🧶 Product Catalog'!$M18)</f>
        <v>0</v>
      </c>
      <c r="D20" s="65">
        <f>IF($B20="","",'🧶 Product Catalog'!$N18)</f>
        <v>2</v>
      </c>
      <c r="E20" s="65">
        <f>IF($B20="","",MAX(0,$D20*2-$C20))</f>
        <v>4</v>
      </c>
      <c r="F20" s="21"/>
      <c r="G20" s="66">
        <f>IF($B20="","",ROUND($E20*IFERROR(VLOOKUP($B20,'🧶 Product Catalog'!$C8:$I31,7,0),0),2))</f>
        <v>48.0</v>
      </c>
      <c r="H20" s="76" t="str">
        <f>IF($B20="","",IF($C20&lt;=0,"🔴 Urgent","🟠 High"))</f>
        <v>🔴 Urgent</v>
      </c>
      <c r="I20" s="89"/>
      <c r="J20" s="87"/>
    </row>
    <row r="21" spans="1:10" ht="20" customHeight="1">
      <c r="A21" s="3"/>
      <c r="B21" s="64" t="str">
        <f>IF(OR('🧶 Product Catalog'!$C19="",'🧶 Product Catalog'!$M19&gt;='🧶 Product Catalog'!$N19),"",'🧶 Product Catalog'!$C19)</f>
        <v>Keychain Charm</v>
      </c>
      <c r="C21" s="65">
        <f>IF($B21="","",'🧶 Product Catalog'!$M19)</f>
        <v>0</v>
      </c>
      <c r="D21" s="65">
        <f>IF($B21="","",'🧶 Product Catalog'!$N19)</f>
        <v>6</v>
      </c>
      <c r="E21" s="65">
        <f>IF($B21="","",MAX(0,$D21*2-$C21))</f>
        <v>12</v>
      </c>
      <c r="F21" s="9"/>
      <c r="G21" s="66">
        <f>IF($B21="","",ROUND($E21*IFERROR(VLOOKUP($B21,'🧶 Product Catalog'!$C8:$I31,7,0),0),2))</f>
        <v>18.0</v>
      </c>
      <c r="H21" s="76" t="str">
        <f>IF($B21="","",IF($C21&lt;=0,"🔴 Urgent","🟠 High"))</f>
        <v>🔴 Urgent</v>
      </c>
      <c r="I21" s="23"/>
      <c r="J21" s="88"/>
    </row>
    <row r="22" spans="1:10">
      <c r="A22" s="3"/>
      <c r="B22" s="3"/>
      <c r="C22" s="3"/>
      <c r="D22" s="3"/>
      <c r="E22" s="3"/>
      <c r="F22" s="3"/>
      <c r="G22" s="3"/>
      <c r="H22" s="3"/>
      <c r="I22" s="3"/>
      <c r="J22" s="3"/>
    </row>
    <row r="23" spans="1:10" ht="22" customHeight="1">
      <c r="A23" s="3"/>
      <c r="B23" s="11" t="s">
        <v>381</v>
      </c>
      <c r="C23" s="11"/>
      <c r="D23" s="11"/>
      <c r="E23" s="11"/>
      <c r="F23" s="11"/>
      <c r="G23" s="11"/>
      <c r="H23" s="11"/>
      <c r="I23" s="11"/>
      <c r="J23" s="11"/>
    </row>
    <row r="24" spans="1:10" ht="30" customHeight="1">
      <c r="A24" s="3"/>
      <c r="B24" s="62" t="s">
        <v>67</v>
      </c>
      <c r="C24" s="62" t="s">
        <v>375</v>
      </c>
      <c r="D24" s="62" t="s">
        <v>237</v>
      </c>
      <c r="E24" s="62" t="s">
        <v>376</v>
      </c>
      <c r="F24" s="62" t="s">
        <v>236</v>
      </c>
      <c r="G24" s="62" t="s">
        <v>377</v>
      </c>
      <c r="H24" s="62" t="s">
        <v>378</v>
      </c>
      <c r="I24" s="62" t="s">
        <v>379</v>
      </c>
      <c r="J24" s="62" t="s">
        <v>380</v>
      </c>
    </row>
    <row r="25" spans="1:10" ht="20" customHeight="1">
      <c r="A25" s="3"/>
      <c r="B25" s="64" t="str">
        <f>IF(OR('🧵 Yarn &amp; Materials'!$B8="",'🧵 Yarn &amp; Materials'!$K8&gt;'🧵 Yarn &amp; Materials'!$M8),"",'🧵 Yarn &amp; Materials'!$B8)</f>
        <v>Cotton yarn - natural</v>
      </c>
      <c r="C25" s="65">
        <f>IF($B25="","",'🧵 Yarn &amp; Materials'!$K8)</f>
        <v>4</v>
      </c>
      <c r="D25" s="65">
        <f>IF($B25="","",'🧵 Yarn &amp; Materials'!$M8)</f>
        <v>5</v>
      </c>
      <c r="E25" s="65">
        <f>IF($B25="","",MAX(0,$D25*2-$C25))</f>
        <v>6</v>
      </c>
      <c r="F25" s="9" t="str">
        <f>IF($B25="","",'🧵 Yarn &amp; Materials'!$L8)</f>
        <v>Local yarn shop</v>
      </c>
      <c r="G25" s="66">
        <f>IF($B25="","",ROUND($E25*IFERROR(VLOOKUP($B25,'🧵 Yarn &amp; Materials'!$B8:$H31,7,0),0),2))</f>
        <v>20.4</v>
      </c>
      <c r="H25" s="76" t="str">
        <f>IF($B25="","",IF($C25&lt;=0,"🔴 Urgent","🟠 High"))</f>
        <v>🟠 High</v>
      </c>
      <c r="I25" s="23"/>
      <c r="J25" s="88"/>
    </row>
    <row r="26" spans="1:10" ht="20" customHeight="1">
      <c r="A26" s="3"/>
      <c r="B26" s="64">
        <f>IF(OR('🧵 Yarn &amp; Materials'!$B9="",'🧵 Yarn &amp; Materials'!$K9&gt;'🧵 Yarn &amp; Materials'!$M9),"",'🧵 Yarn &amp; Materials'!$B9)</f>
        <v/>
      </c>
      <c r="C26" s="65">
        <f>IF($B26="","",'🧵 Yarn &amp; Materials'!$K9)</f>
        <v/>
      </c>
      <c r="D26" s="65">
        <f>IF($B26="","",'🧵 Yarn &amp; Materials'!$M9)</f>
        <v/>
      </c>
      <c r="E26" s="65">
        <f>IF($B26="","",MAX(0,$D26*2-$C26))</f>
        <v/>
      </c>
      <c r="F26" s="21">
        <f>IF($B26="","",'🧵 Yarn &amp; Materials'!$L9)</f>
        <v/>
      </c>
      <c r="G26" s="66">
        <f>IF($B26="","",ROUND($E26*IFERROR(VLOOKUP($B26,'🧵 Yarn &amp; Materials'!$B8:$H31,7,0),0),2))</f>
        <v/>
      </c>
      <c r="H26" s="76">
        <f>IF($B26="","",IF($C26&lt;=0,"🔴 Urgent","🟠 High"))</f>
        <v/>
      </c>
      <c r="I26" s="89"/>
      <c r="J26" s="87"/>
    </row>
    <row r="27" spans="1:10" ht="20" customHeight="1">
      <c r="A27" s="3"/>
      <c r="B27" s="64" t="str">
        <f>IF(OR('🧵 Yarn &amp; Materials'!$B10="",'🧵 Yarn &amp; Materials'!$K10&gt;'🧵 Yarn &amp; Materials'!$M10),"",'🧵 Yarn &amp; Materials'!$B10)</f>
        <v>Merino wool - sage</v>
      </c>
      <c r="C27" s="65">
        <f>IF($B27="","",'🧵 Yarn &amp; Materials'!$K10)</f>
        <v>2</v>
      </c>
      <c r="D27" s="65">
        <f>IF($B27="","",'🧵 Yarn &amp; Materials'!$M10)</f>
        <v>4</v>
      </c>
      <c r="E27" s="65">
        <f>IF($B27="","",MAX(0,$D27*2-$C27))</f>
        <v>6</v>
      </c>
      <c r="F27" s="9" t="str">
        <f>IF($B27="","",'🧵 Yarn &amp; Materials'!$L10)</f>
        <v>Local yarn shop</v>
      </c>
      <c r="G27" s="66">
        <f>IF($B27="","",ROUND($E27*IFERROR(VLOOKUP($B27,'🧵 Yarn &amp; Materials'!$B8:$H31,7,0),0),2))</f>
        <v>40.8</v>
      </c>
      <c r="H27" s="76" t="str">
        <f>IF($B27="","",IF($C27&lt;=0,"🔴 Urgent","🟠 High"))</f>
        <v>🟠 High</v>
      </c>
      <c r="I27" s="23"/>
      <c r="J27" s="88"/>
    </row>
    <row r="28" spans="1:10" ht="20" customHeight="1">
      <c r="A28" s="3"/>
      <c r="B28" s="64">
        <f>IF(OR('🧵 Yarn &amp; Materials'!$B11="",'🧵 Yarn &amp; Materials'!$K11&gt;'🧵 Yarn &amp; Materials'!$M11),"",'🧵 Yarn &amp; Materials'!$B11)</f>
        <v/>
      </c>
      <c r="C28" s="65">
        <f>IF($B28="","",'🧵 Yarn &amp; Materials'!$K11)</f>
        <v/>
      </c>
      <c r="D28" s="65">
        <f>IF($B28="","",'🧵 Yarn &amp; Materials'!$M11)</f>
        <v/>
      </c>
      <c r="E28" s="65">
        <f>IF($B28="","",MAX(0,$D28*2-$C28))</f>
        <v/>
      </c>
      <c r="F28" s="21">
        <f>IF($B28="","",'🧵 Yarn &amp; Materials'!$L11)</f>
        <v/>
      </c>
      <c r="G28" s="66">
        <f>IF($B28="","",ROUND($E28*IFERROR(VLOOKUP($B28,'🧵 Yarn &amp; Materials'!$B8:$H31,7,0),0),2))</f>
        <v/>
      </c>
      <c r="H28" s="76">
        <f>IF($B28="","",IF($C28&lt;=0,"🔴 Urgent","🟠 High"))</f>
        <v/>
      </c>
      <c r="I28" s="89"/>
      <c r="J28" s="87"/>
    </row>
    <row r="29" spans="1:10" ht="20" customHeight="1">
      <c r="A29" s="3"/>
      <c r="B29" s="64" t="str">
        <f>IF(OR('🧵 Yarn &amp; Materials'!$B12="",'🧵 Yarn &amp; Materials'!$K12&gt;'🧵 Yarn &amp; Materials'!$M12),"",'🧵 Yarn &amp; Materials'!$B12)</f>
        <v>Cotton yarn - mustard</v>
      </c>
      <c r="C29" s="65">
        <f>IF($B29="","",'🧵 Yarn &amp; Materials'!$K12)</f>
        <v>1</v>
      </c>
      <c r="D29" s="65">
        <f>IF($B29="","",'🧵 Yarn &amp; Materials'!$M12)</f>
        <v>3</v>
      </c>
      <c r="E29" s="65">
        <f>IF($B29="","",MAX(0,$D29*2-$C29))</f>
        <v>5</v>
      </c>
      <c r="F29" s="9" t="str">
        <f>IF($B29="","",'🧵 Yarn &amp; Materials'!$L12)</f>
        <v>Local yarn shop</v>
      </c>
      <c r="G29" s="66">
        <f>IF($B29="","",ROUND($E29*IFERROR(VLOOKUP($B29,'🧵 Yarn &amp; Materials'!$B8:$H31,7,0),0),2))</f>
        <v>16.0</v>
      </c>
      <c r="H29" s="76" t="str">
        <f>IF($B29="","",IF($C29&lt;=0,"🔴 Urgent","🟠 High"))</f>
        <v>🟠 High</v>
      </c>
      <c r="I29" s="23"/>
      <c r="J29" s="88"/>
    </row>
    <row r="30" spans="1:10" ht="20" customHeight="1">
      <c r="A30" s="3"/>
      <c r="B30" s="64">
        <f>IF(OR('🧵 Yarn &amp; Materials'!$B13="",'🧵 Yarn &amp; Materials'!$K13&gt;'🧵 Yarn &amp; Materials'!$M13),"",'🧵 Yarn &amp; Materials'!$B13)</f>
        <v/>
      </c>
      <c r="C30" s="65">
        <f>IF($B30="","",'🧵 Yarn &amp; Materials'!$K13)</f>
        <v/>
      </c>
      <c r="D30" s="65">
        <f>IF($B30="","",'🧵 Yarn &amp; Materials'!$M13)</f>
        <v/>
      </c>
      <c r="E30" s="65">
        <f>IF($B30="","",MAX(0,$D30*2-$C30))</f>
        <v/>
      </c>
      <c r="F30" s="21">
        <f>IF($B30="","",'🧵 Yarn &amp; Materials'!$L13)</f>
        <v/>
      </c>
      <c r="G30" s="66">
        <f>IF($B30="","",ROUND($E30*IFERROR(VLOOKUP($B30,'🧵 Yarn &amp; Materials'!$B8:$H31,7,0),0),2))</f>
        <v/>
      </c>
      <c r="H30" s="76">
        <f>IF($B30="","",IF($C30&lt;=0,"🔴 Urgent","🟠 High"))</f>
        <v/>
      </c>
      <c r="I30" s="89"/>
      <c r="J30" s="87"/>
    </row>
    <row r="31" spans="1:10" ht="20" customHeight="1">
      <c r="A31" s="3"/>
      <c r="B31" s="64" t="str">
        <f>IF(OR('🧵 Yarn &amp; Materials'!$B14="",'🧵 Yarn &amp; Materials'!$K14&gt;'🧵 Yarn &amp; Materials'!$M14),"",'🧵 Yarn &amp; Materials'!$B14)</f>
        <v>Polyester stuffing</v>
      </c>
      <c r="C31" s="65">
        <f>IF($B31="","",'🧵 Yarn &amp; Materials'!$K14)</f>
        <v>2</v>
      </c>
      <c r="D31" s="65">
        <f>IF($B31="","",'🧵 Yarn &amp; Materials'!$M14)</f>
        <v>2</v>
      </c>
      <c r="E31" s="65">
        <f>IF($B31="","",MAX(0,$D31*2-$C31))</f>
        <v>2</v>
      </c>
      <c r="F31" s="9" t="str">
        <f>IF($B31="","",'🧵 Yarn &amp; Materials'!$L14)</f>
        <v>Wholesale craft</v>
      </c>
      <c r="G31" s="66">
        <f>IF($B31="","",ROUND($E31*IFERROR(VLOOKUP($B31,'🧵 Yarn &amp; Materials'!$B8:$H31,7,0),0),2))</f>
        <v>4.2</v>
      </c>
      <c r="H31" s="76" t="str">
        <f>IF($B31="","",IF($C31&lt;=0,"🔴 Urgent","🟠 High"))</f>
        <v>🟠 High</v>
      </c>
      <c r="I31" s="23"/>
      <c r="J31" s="88"/>
    </row>
    <row r="32" spans="1:10" ht="20" customHeight="1">
      <c r="A32" s="3"/>
      <c r="B32" s="64">
        <f>IF(OR('🧵 Yarn &amp; Materials'!$B15="",'🧵 Yarn &amp; Materials'!$K15&gt;'🧵 Yarn &amp; Materials'!$M15),"",'🧵 Yarn &amp; Materials'!$B15)</f>
        <v/>
      </c>
      <c r="C32" s="65">
        <f>IF($B32="","",'🧵 Yarn &amp; Materials'!$K15)</f>
        <v/>
      </c>
      <c r="D32" s="65">
        <f>IF($B32="","",'🧵 Yarn &amp; Materials'!$M15)</f>
        <v/>
      </c>
      <c r="E32" s="65">
        <f>IF($B32="","",MAX(0,$D32*2-$C32))</f>
        <v/>
      </c>
      <c r="F32" s="21">
        <f>IF($B32="","",'🧵 Yarn &amp; Materials'!$L15)</f>
        <v/>
      </c>
      <c r="G32" s="66">
        <f>IF($B32="","",ROUND($E32*IFERROR(VLOOKUP($B32,'🧵 Yarn &amp; Materials'!$B8:$H31,7,0),0),2))</f>
        <v/>
      </c>
      <c r="H32" s="76">
        <f>IF($B32="","",IF($C32&lt;=0,"🔴 Urgent","🟠 High"))</f>
        <v/>
      </c>
      <c r="I32" s="89"/>
      <c r="J32" s="87"/>
    </row>
    <row r="33" spans="1:10" ht="20" customHeight="1">
      <c r="A33" s="3"/>
      <c r="B33" s="64" t="str">
        <f>IF(OR('🧵 Yarn &amp; Materials'!$B16="",'🧵 Yarn &amp; Materials'!$K16&gt;'🧵 Yarn &amp; Materials'!$M16),"",'🧵 Yarn &amp; Materials'!$B16)</f>
        <v>Safety eyes</v>
      </c>
      <c r="C33" s="65">
        <f>IF($B33="","",'🧵 Yarn &amp; Materials'!$K16)</f>
        <v>6</v>
      </c>
      <c r="D33" s="65">
        <f>IF($B33="","",'🧵 Yarn &amp; Materials'!$M16)</f>
        <v>10</v>
      </c>
      <c r="E33" s="65">
        <f>IF($B33="","",MAX(0,$D33*2-$C33))</f>
        <v>14</v>
      </c>
      <c r="F33" s="9" t="str">
        <f>IF($B33="","",'🧵 Yarn &amp; Materials'!$L16)</f>
        <v>Wholesale craft</v>
      </c>
      <c r="G33" s="66">
        <f>IF($B33="","",ROUND($E33*IFERROR(VLOOKUP($B33,'🧵 Yarn &amp; Materials'!$B8:$H31,7,0),0),2))</f>
        <v>3.5</v>
      </c>
      <c r="H33" s="76" t="str">
        <f>IF($B33="","",IF($C33&lt;=0,"🔴 Urgent","🟠 High"))</f>
        <v>🟠 High</v>
      </c>
      <c r="I33" s="23"/>
      <c r="J33" s="88"/>
    </row>
    <row r="34" spans="1:10" ht="20" customHeight="1">
      <c r="A34" s="3"/>
      <c r="B34" s="64">
        <f>IF(OR('🧵 Yarn &amp; Materials'!$B17="",'🧵 Yarn &amp; Materials'!$K17&gt;'🧵 Yarn &amp; Materials'!$M17),"",'🧵 Yarn &amp; Materials'!$B17)</f>
        <v/>
      </c>
      <c r="C34" s="65">
        <f>IF($B34="","",'🧵 Yarn &amp; Materials'!$K17)</f>
        <v/>
      </c>
      <c r="D34" s="65">
        <f>IF($B34="","",'🧵 Yarn &amp; Materials'!$M17)</f>
        <v/>
      </c>
      <c r="E34" s="65">
        <f>IF($B34="","",MAX(0,$D34*2-$C34))</f>
        <v/>
      </c>
      <c r="F34" s="21">
        <f>IF($B34="","",'🧵 Yarn &amp; Materials'!$L17)</f>
        <v/>
      </c>
      <c r="G34" s="66">
        <f>IF($B34="","",ROUND($E34*IFERROR(VLOOKUP($B34,'🧵 Yarn &amp; Materials'!$B8:$H31,7,0),0),2))</f>
        <v/>
      </c>
      <c r="H34" s="76">
        <f>IF($B34="","",IF($C34&lt;=0,"🔴 Urgent","🟠 High"))</f>
        <v/>
      </c>
      <c r="I34" s="89"/>
      <c r="J34" s="87"/>
    </row>
    <row r="35" spans="1:10">
      <c r="A35" s="3"/>
      <c r="B35" s="3"/>
      <c r="C35" s="3"/>
      <c r="D35" s="3"/>
      <c r="E35" s="3"/>
      <c r="F35" s="3"/>
      <c r="G35" s="3"/>
      <c r="H35" s="3"/>
      <c r="I35" s="3"/>
      <c r="J35" s="3"/>
    </row>
    <row r="36" spans="1:10" ht="24" customHeight="1">
      <c r="A36" s="3"/>
      <c r="B36" s="80"/>
      <c r="C36" s="82" t="s">
        <v>382</v>
      </c>
      <c r="D36" s="82"/>
      <c r="E36" s="84">
        <f>SUM($E$10:$E$34)</f>
        <v>87</v>
      </c>
      <c r="F36" s="82"/>
      <c r="G36" s="83">
        <f>SUM($G$10:$G$34)</f>
        <v>342.7</v>
      </c>
      <c r="H36" s="3"/>
      <c r="I36" s="3"/>
      <c r="J36" s="3"/>
    </row>
    <row r="37" spans="1:10">
      <c r="A37" s="3"/>
      <c r="B37" s="3"/>
      <c r="C37" s="3"/>
      <c r="D37" s="3"/>
      <c r="E37" s="3"/>
      <c r="F37" s="3"/>
      <c r="G37" s="3"/>
      <c r="H37" s="3"/>
      <c r="I37" s="3"/>
      <c r="J37" s="3"/>
    </row>
    <row r="38" spans="1:10" ht="22" customHeight="1">
      <c r="A38" s="3"/>
      <c r="B38" s="60" t="s">
        <v>383</v>
      </c>
      <c r="C38" s="60"/>
      <c r="D38" s="60"/>
      <c r="E38" s="60"/>
      <c r="F38" s="60"/>
      <c r="G38" s="60"/>
      <c r="H38" s="60"/>
      <c r="I38" s="60"/>
      <c r="J38" s="60"/>
    </row>
    <row r="39" spans="1:10" ht="66.4" customHeight="1">
      <c r="A39" s="3"/>
      <c r="B39" s="15" t="s">
        <v>384</v>
      </c>
      <c r="C39" s="15"/>
      <c r="D39" s="15"/>
      <c r="E39" s="15"/>
      <c r="F39" s="15"/>
      <c r="G39" s="15"/>
      <c r="H39" s="15"/>
      <c r="I39" s="15"/>
      <c r="J39" s="15"/>
    </row>
    <row r="40" spans="1:10">
      <c r="A40" s="3"/>
      <c r="B40" s="3"/>
      <c r="C40" s="3"/>
      <c r="D40" s="3"/>
      <c r="E40" s="3"/>
      <c r="F40" s="3"/>
      <c r="G40" s="3"/>
      <c r="H40" s="3"/>
      <c r="I40" s="3"/>
      <c r="J40" s="3"/>
    </row>
    <row r="41" spans="1:10">
      <c r="A41" s="3"/>
      <c r="B41" s="3"/>
      <c r="C41" s="3"/>
      <c r="D41" s="3"/>
      <c r="E41" s="3"/>
      <c r="F41" s="3"/>
      <c r="G41" s="3"/>
      <c r="H41" s="3"/>
      <c r="I41" s="3"/>
      <c r="J41" s="3"/>
    </row>
    <row r="42" spans="1:10">
      <c r="A42" s="3"/>
      <c r="B42" s="3"/>
      <c r="C42" s="3"/>
      <c r="D42" s="3"/>
      <c r="E42" s="3"/>
      <c r="F42" s="3"/>
      <c r="G42" s="3"/>
      <c r="H42" s="3"/>
      <c r="I42" s="3"/>
      <c r="J42" s="3"/>
    </row>
    <row r="43" spans="1:10" ht="30" customHeight="1">
      <c r="A43" s="3"/>
      <c r="B43" s="25" t="s">
        <v>222</v>
      </c>
      <c r="C43" s="25"/>
      <c r="D43" s="25"/>
      <c r="E43" s="25"/>
      <c r="F43" s="25"/>
      <c r="G43" s="25"/>
      <c r="H43" s="25"/>
      <c r="I43" s="25"/>
      <c r="J43" s="25"/>
    </row>
    <row r="44" spans="1:10">
      <c r="A44" s="3"/>
      <c r="B44" s="3"/>
      <c r="C44" s="3"/>
      <c r="D44" s="3"/>
      <c r="E44" s="3"/>
      <c r="F44" s="3"/>
      <c r="G44" s="3"/>
      <c r="H44" s="3"/>
      <c r="I44" s="3"/>
      <c r="J44" s="3"/>
    </row>
    <row r="45" spans="1:10" ht="24" customHeight="1">
      <c r="A45" s="3"/>
      <c r="B45" s="26" t="s">
        <v>155</v>
      </c>
      <c r="C45" s="26"/>
      <c r="D45" s="27" t="s">
        <v>126</v>
      </c>
      <c r="E45" s="27"/>
      <c r="F45" s="28" t="s">
        <v>127</v>
      </c>
      <c r="G45" s="28"/>
      <c r="H45" s="29" t="s">
        <v>128</v>
      </c>
      <c r="I45" s="29"/>
      <c r="J45" s="3"/>
    </row>
    <row r="46" spans="1:10" ht="24" customHeight="1">
      <c r="B46" s="30" t="s">
        <v>36</v>
      </c>
      <c r="C46" s="30"/>
      <c r="D46" s="31" t="s">
        <v>129</v>
      </c>
      <c r="E46" s="31"/>
      <c r="F46" s="32" t="s">
        <v>39</v>
      </c>
      <c r="G46" s="32"/>
      <c r="H46" s="33" t="s">
        <v>130</v>
      </c>
      <c r="I46" s="33"/>
    </row>
    <row r="47" spans="1:10" ht="24" customHeight="1">
      <c r="B47" s="27" t="s">
        <v>385</v>
      </c>
      <c r="C47" s="27"/>
      <c r="D47" s="29" t="s">
        <v>132</v>
      </c>
      <c r="E47" s="29"/>
      <c r="F47" s="26" t="s">
        <v>133</v>
      </c>
      <c r="G47" s="26"/>
      <c r="H47" s="27" t="s">
        <v>134</v>
      </c>
      <c r="I47" s="27"/>
    </row>
    <row r="48" spans="1:10" ht="24" customHeight="1">
      <c r="B48" s="28" t="s">
        <v>135</v>
      </c>
      <c r="C48" s="28"/>
    </row>
  </sheetData>
  <sheetProtection password="EC7C" sheet="1" formatCells="0" formatColumns="0" formatRows="0" insertColumns="0" insertRows="0" insertHyperlinks="0" deleteColumns="0" deleteRows="0" sort="0" autoFilter="0"/>
  <mergeCells count="25">
    <mergeCell ref="B2:G2"/>
    <mergeCell ref="B3:G3"/>
    <mergeCell ref="H3:J3"/>
    <mergeCell ref="B5:D5"/>
    <mergeCell ref="E5:G5"/>
    <mergeCell ref="H5:J5"/>
    <mergeCell ref="B8:J8"/>
    <mergeCell ref="B23:J23"/>
    <mergeCell ref="C36:F36"/>
    <mergeCell ref="B38:J38"/>
    <mergeCell ref="B39:J39"/>
    <mergeCell ref="B43:J43"/>
    <mergeCell ref="B45:C45"/>
    <mergeCell ref="D45:E45"/>
    <mergeCell ref="F45:G45"/>
    <mergeCell ref="H45:I45"/>
    <mergeCell ref="B46:C46"/>
    <mergeCell ref="D46:E46"/>
    <mergeCell ref="F46:G46"/>
    <mergeCell ref="H46:I46"/>
    <mergeCell ref="B47:C47"/>
    <mergeCell ref="D47:E47"/>
    <mergeCell ref="F47:G47"/>
    <mergeCell ref="H47:I47"/>
    <mergeCell ref="B48:C48"/>
  </mergeCells>
  <conditionalFormatting sqref="H24:H33">
    <cfRule type="expression" dxfId="3" priority="3">
      <formula>$H25="🔴 Urgent"</formula>
    </cfRule>
    <cfRule type="expression" dxfId="5" priority="4">
      <formula>$H25="🟠 High"</formula>
    </cfRule>
  </conditionalFormatting>
  <conditionalFormatting sqref="H9:H20">
    <cfRule type="expression" dxfId="3" priority="1">
      <formula>$H10="🔴 Urgent"</formula>
    </cfRule>
    <cfRule type="expression" dxfId="5" priority="2">
      <formula>$H10="🟠 High"</formula>
    </cfRule>
  </conditionalFormatting>
  <conditionalFormatting sqref="I8:I34">
    <cfRule type="expression" dxfId="6" priority="5">
      <formula>$I8="✓"</formula>
    </cfRule>
  </conditionalFormatting>
  <dataValidations count="5">
    <dataValidation type="list" allowBlank="1" showInputMessage="1" sqref="F10:F21">
      <formula1>Suppliers</formula1>
    </dataValidation>
    <dataValidation type="list" allowBlank="1" showInputMessage="1" showErrorMessage="1" promptTitle="Tick it off" prompt="Pick ✓ once the item is ordered." sqref="I10:I21">
      <formula1>Tick</formula1>
    </dataValidation>
    <dataValidation type="list" allowBlank="1" showInputMessage="1" showErrorMessage="1" promptTitle="Tick it off" prompt="Pick ✓ once the item is ordered." sqref="I25:I34">
      <formula1>Tick</formula1>
    </dataValidation>
    <dataValidation type="date" errorStyle="warning" allowBlank="1" showInputMessage="1" showErrorMessage="1" errorTitle="That's not a date" error="Enter the date you ordered it." sqref="J10:J21">
      <formula1>36526</formula1>
      <formula2>73415</formula2>
    </dataValidation>
    <dataValidation type="date" errorStyle="warning" allowBlank="1" showInputMessage="1" showErrorMessage="1" errorTitle="That's not a date" error="Enter the date you ordered it." sqref="J25:J34">
      <formula1>36526</formula1>
      <formula2>73415</formula2>
    </dataValidation>
  </dataValidations>
  <hyperlinks>
    <hyperlink ref="H3" location="'📊 Dashboard'!A1" display="🏠  Dashboard"/>
    <hyperlink ref="B45" location="'⚙️ Lists &amp; Settings'!A1" display="Settings"/>
    <hyperlink ref="D45" location="'📊 Dashboard'!A1" display="🏠 Home"/>
    <hyperlink ref="F45" location="'🧶 Product Catalog'!A1" display="Products"/>
    <hyperlink ref="H45" location="'🧵 Yarn &amp; Materials'!A1" display="Yarn"/>
    <hyperlink ref="B46" location="'📦 Made &amp; Stocked'!A1" display="Stock"/>
    <hyperlink ref="D46" location="'🏪 Craft Fairs'!A1" display="Fairs"/>
    <hyperlink ref="F46" location="'💰 Sales Log'!A1" display="Sales"/>
    <hyperlink ref="H46" location="'🧮 Event Profit'!A1" display="Event $"/>
    <hyperlink ref="B47" location="'🔄 Reorder List'!A1" display="▶ Reorder"/>
    <hyperlink ref="D47" location="'🎒 Packing Checklist'!A1" display="Packing"/>
    <hyperlink ref="F47" location="'💵 Pricing Calculator'!A1" display="Pricing"/>
    <hyperlink ref="H47" location="'📅 Monthly Summary'!A1" display="Monthly"/>
    <hyperlink ref="B48"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worksheet>
</file>

<file path=xl/worksheets/sheet11.xml><?xml version="1.0" encoding="utf-8"?>
<worksheet xmlns="http://schemas.openxmlformats.org/spreadsheetml/2006/main" xmlns:r="http://schemas.openxmlformats.org/officeDocument/2006/relationships">
  <sheetPr>
    <tabColor rgb="FFC05268"/>
    <pageSetUpPr fitToPage="1"/>
  </sheetPr>
  <dimension ref="A1:F61"/>
  <sheetViews>
    <sheetView showGridLines="0" workbookViewId="0"/>
  </sheetViews>
  <sheetFormatPr defaultRowHeight="15"/>
  <cols>
    <col min="1" max="1" width="2.85546875" customWidth="1"/>
    <col min="2" max="2" width="8.7109375" customWidth="1"/>
    <col min="3" max="4" width="30.7109375" customWidth="1"/>
    <col min="5" max="6" width="20.7109375" customWidth="1"/>
  </cols>
  <sheetData>
    <row r="1" spans="1:6" ht="7" customHeight="1">
      <c r="A1" s="3"/>
      <c r="B1" s="3"/>
      <c r="C1" s="3"/>
      <c r="D1" s="3"/>
      <c r="E1" s="3"/>
      <c r="F1" s="3"/>
    </row>
    <row r="2" spans="1:6" ht="32" customHeight="1">
      <c r="A2" s="3"/>
      <c r="B2" s="4" t="s">
        <v>386</v>
      </c>
      <c r="C2" s="4"/>
      <c r="D2" s="3"/>
      <c r="E2" s="3"/>
      <c r="F2" s="3"/>
    </row>
    <row r="3" spans="1:6" ht="18" customHeight="1">
      <c r="A3" s="3"/>
      <c r="B3" s="5" t="s">
        <v>387</v>
      </c>
      <c r="C3" s="5"/>
      <c r="D3" s="6" t="s">
        <v>70</v>
      </c>
      <c r="E3" s="6"/>
      <c r="F3" s="6"/>
    </row>
    <row r="4" spans="1:6" ht="8" customHeight="1">
      <c r="A4" s="3"/>
      <c r="B4" s="3"/>
      <c r="C4" s="3"/>
      <c r="D4" s="3"/>
      <c r="E4" s="3"/>
      <c r="F4" s="3"/>
    </row>
    <row r="5" spans="1:6" ht="22" customHeight="1">
      <c r="A5" s="3"/>
      <c r="B5" s="36" t="str">
        <f>"Packed: "&amp;TEXT(COUNTIF($B$9:$B$35,"✓"),"0")&amp;" of 21"</f>
        <v>Packed: 14 of 21</v>
      </c>
      <c r="C5" s="36"/>
      <c r="D5" s="36"/>
      <c r="E5" s="37" t="str">
        <f>IF(COUNTIF($B$9:$B$35,"✓")=21,"Ready for the fair!","Keep ticking...")</f>
        <v>Keep ticking...</v>
      </c>
      <c r="F5" s="37"/>
    </row>
    <row r="6" spans="1:6" ht="8" customHeight="1">
      <c r="A6" s="3"/>
      <c r="B6" s="3"/>
      <c r="C6" s="96" t="s">
        <v>388</v>
      </c>
      <c r="D6" s="97" t="s">
        <v>312</v>
      </c>
      <c r="E6" s="97"/>
      <c r="F6" s="97"/>
    </row>
    <row r="7" spans="1:6" ht="20" customHeight="1">
      <c r="A7" s="3"/>
      <c r="B7" s="61" t="s">
        <v>1</v>
      </c>
      <c r="C7" s="61" t="s">
        <v>67</v>
      </c>
      <c r="D7" s="61" t="s">
        <v>389</v>
      </c>
      <c r="E7" s="61" t="s">
        <v>278</v>
      </c>
      <c r="F7" s="61"/>
    </row>
    <row r="8" spans="1:6" ht="22" customHeight="1">
      <c r="A8" s="3"/>
      <c r="B8" s="7" t="s">
        <v>390</v>
      </c>
      <c r="C8" s="7"/>
      <c r="D8" s="7"/>
      <c r="E8" s="7"/>
      <c r="F8" s="7"/>
    </row>
    <row r="9" spans="1:6" ht="20" customHeight="1">
      <c r="A9" s="3"/>
      <c r="B9" s="23" t="s">
        <v>122</v>
      </c>
      <c r="C9" s="9" t="s">
        <v>391</v>
      </c>
      <c r="D9" s="9"/>
      <c r="E9" s="9"/>
      <c r="F9" s="9"/>
    </row>
    <row r="10" spans="1:6" ht="20" customHeight="1">
      <c r="A10" s="3"/>
      <c r="B10" s="89" t="s">
        <v>122</v>
      </c>
      <c r="C10" s="21" t="s">
        <v>392</v>
      </c>
      <c r="D10" s="21"/>
      <c r="E10" s="21"/>
      <c r="F10" s="21"/>
    </row>
    <row r="11" spans="1:6" ht="20" customHeight="1">
      <c r="A11" s="3"/>
      <c r="B11" s="23" t="s">
        <v>122</v>
      </c>
      <c r="C11" s="9" t="s">
        <v>393</v>
      </c>
      <c r="D11" s="9"/>
      <c r="E11" s="9"/>
      <c r="F11" s="9"/>
    </row>
    <row r="12" spans="1:6" ht="20" customHeight="1">
      <c r="A12" s="3"/>
      <c r="B12" s="89" t="s">
        <v>122</v>
      </c>
      <c r="C12" s="21" t="s">
        <v>394</v>
      </c>
      <c r="D12" s="21"/>
      <c r="E12" s="21"/>
      <c r="F12" s="21"/>
    </row>
    <row r="13" spans="1:6">
      <c r="A13" s="3"/>
      <c r="B13" s="3"/>
      <c r="C13" s="3"/>
      <c r="D13" s="3"/>
      <c r="E13" s="3"/>
      <c r="F13" s="3"/>
    </row>
    <row r="14" spans="1:6" ht="22" customHeight="1">
      <c r="A14" s="3"/>
      <c r="B14" s="7" t="s">
        <v>395</v>
      </c>
      <c r="C14" s="7"/>
      <c r="D14" s="7"/>
      <c r="E14" s="7"/>
      <c r="F14" s="7"/>
    </row>
    <row r="15" spans="1:6" ht="20" customHeight="1">
      <c r="A15" s="3"/>
      <c r="B15" s="23" t="s">
        <v>122</v>
      </c>
      <c r="C15" s="9" t="s">
        <v>396</v>
      </c>
      <c r="D15" s="9"/>
      <c r="E15" s="9"/>
      <c r="F15" s="9"/>
    </row>
    <row r="16" spans="1:6" ht="20" customHeight="1">
      <c r="A16" s="3"/>
      <c r="B16" s="89" t="s">
        <v>122</v>
      </c>
      <c r="C16" s="21" t="s">
        <v>397</v>
      </c>
      <c r="D16" s="21"/>
      <c r="E16" s="21"/>
      <c r="F16" s="21"/>
    </row>
    <row r="17" spans="1:6" ht="20" customHeight="1">
      <c r="A17" s="3"/>
      <c r="B17" s="23" t="s">
        <v>122</v>
      </c>
      <c r="C17" s="9" t="s">
        <v>398</v>
      </c>
      <c r="D17" s="9"/>
      <c r="E17" s="9"/>
      <c r="F17" s="9"/>
    </row>
    <row r="18" spans="1:6" ht="20" customHeight="1">
      <c r="A18" s="3"/>
      <c r="B18" s="89" t="s">
        <v>122</v>
      </c>
      <c r="C18" s="21" t="s">
        <v>399</v>
      </c>
      <c r="D18" s="21"/>
      <c r="E18" s="21"/>
      <c r="F18" s="21"/>
    </row>
    <row r="19" spans="1:6" ht="20" customHeight="1">
      <c r="A19" s="3"/>
      <c r="B19" s="23"/>
      <c r="C19" s="9" t="s">
        <v>400</v>
      </c>
      <c r="D19" s="9"/>
      <c r="E19" s="9"/>
      <c r="F19" s="9"/>
    </row>
    <row r="20" spans="1:6" ht="20" customHeight="1">
      <c r="A20" s="3"/>
      <c r="B20" s="89"/>
      <c r="C20" s="21" t="s">
        <v>401</v>
      </c>
      <c r="D20" s="21"/>
      <c r="E20" s="21"/>
      <c r="F20" s="21"/>
    </row>
    <row r="21" spans="1:6">
      <c r="A21" s="3"/>
      <c r="B21" s="3"/>
      <c r="C21" s="3"/>
      <c r="D21" s="3"/>
      <c r="E21" s="3"/>
      <c r="F21" s="3"/>
    </row>
    <row r="22" spans="1:6" ht="22" customHeight="1">
      <c r="A22" s="3"/>
      <c r="B22" s="7" t="s">
        <v>402</v>
      </c>
      <c r="C22" s="7"/>
      <c r="D22" s="7"/>
      <c r="E22" s="7"/>
      <c r="F22" s="7"/>
    </row>
    <row r="23" spans="1:6" ht="20" customHeight="1">
      <c r="A23" s="3"/>
      <c r="B23" s="23" t="s">
        <v>122</v>
      </c>
      <c r="C23" s="9" t="s">
        <v>403</v>
      </c>
      <c r="D23" s="9"/>
      <c r="E23" s="9"/>
      <c r="F23" s="9"/>
    </row>
    <row r="24" spans="1:6" ht="20" customHeight="1">
      <c r="A24" s="3"/>
      <c r="B24" s="89" t="s">
        <v>122</v>
      </c>
      <c r="C24" s="21" t="s">
        <v>404</v>
      </c>
      <c r="D24" s="21"/>
      <c r="E24" s="21"/>
      <c r="F24" s="21"/>
    </row>
    <row r="25" spans="1:6" ht="20" customHeight="1">
      <c r="A25" s="3"/>
      <c r="B25" s="23" t="s">
        <v>122</v>
      </c>
      <c r="C25" s="9" t="s">
        <v>405</v>
      </c>
      <c r="D25" s="9"/>
      <c r="E25" s="9"/>
      <c r="F25" s="9"/>
    </row>
    <row r="26" spans="1:6" ht="20" customHeight="1">
      <c r="A26" s="3"/>
      <c r="B26" s="89"/>
      <c r="C26" s="21" t="s">
        <v>406</v>
      </c>
      <c r="D26" s="21"/>
      <c r="E26" s="21"/>
      <c r="F26" s="21"/>
    </row>
    <row r="27" spans="1:6" ht="20" customHeight="1">
      <c r="A27" s="3"/>
      <c r="B27" s="23"/>
      <c r="C27" s="9" t="s">
        <v>407</v>
      </c>
      <c r="D27" s="9"/>
      <c r="E27" s="9"/>
      <c r="F27" s="9"/>
    </row>
    <row r="28" spans="1:6">
      <c r="A28" s="3"/>
      <c r="B28" s="3"/>
      <c r="C28" s="3"/>
      <c r="D28" s="3"/>
      <c r="E28" s="3"/>
      <c r="F28" s="3"/>
    </row>
    <row r="29" spans="1:6" ht="22" customHeight="1">
      <c r="A29" s="3"/>
      <c r="B29" s="7" t="s">
        <v>408</v>
      </c>
      <c r="C29" s="7"/>
      <c r="D29" s="7"/>
      <c r="E29" s="7"/>
      <c r="F29" s="7"/>
    </row>
    <row r="30" spans="1:6" ht="20" customHeight="1">
      <c r="A30" s="3"/>
      <c r="B30" s="89" t="s">
        <v>122</v>
      </c>
      <c r="C30" s="21" t="s">
        <v>409</v>
      </c>
      <c r="D30" s="21"/>
      <c r="E30" s="21"/>
      <c r="F30" s="21"/>
    </row>
    <row r="31" spans="1:6" ht="20" customHeight="1">
      <c r="A31" s="3"/>
      <c r="B31" s="23" t="s">
        <v>122</v>
      </c>
      <c r="C31" s="9" t="s">
        <v>410</v>
      </c>
      <c r="D31" s="9"/>
      <c r="E31" s="9"/>
      <c r="F31" s="9"/>
    </row>
    <row r="32" spans="1:6" ht="20" customHeight="1">
      <c r="A32" s="3"/>
      <c r="B32" s="89" t="s">
        <v>122</v>
      </c>
      <c r="C32" s="21" t="s">
        <v>411</v>
      </c>
      <c r="D32" s="21"/>
      <c r="E32" s="21"/>
      <c r="F32" s="21"/>
    </row>
    <row r="33" spans="1:6" ht="20" customHeight="1">
      <c r="A33" s="3"/>
      <c r="B33" s="23"/>
      <c r="C33" s="9" t="s">
        <v>412</v>
      </c>
      <c r="D33" s="9"/>
      <c r="E33" s="9"/>
      <c r="F33" s="9"/>
    </row>
    <row r="34" spans="1:6" ht="20" customHeight="1">
      <c r="A34" s="3"/>
      <c r="B34" s="89"/>
      <c r="C34" s="21" t="s">
        <v>413</v>
      </c>
      <c r="D34" s="21"/>
      <c r="E34" s="21"/>
      <c r="F34" s="21"/>
    </row>
    <row r="35" spans="1:6" ht="20" customHeight="1">
      <c r="A35" s="3"/>
      <c r="B35" s="23"/>
      <c r="C35" s="9" t="s">
        <v>414</v>
      </c>
      <c r="D35" s="9"/>
      <c r="E35" s="9"/>
      <c r="F35" s="9"/>
    </row>
    <row r="36" spans="1:6">
      <c r="A36" s="3"/>
      <c r="B36" s="3"/>
      <c r="C36" s="3"/>
      <c r="D36" s="3"/>
      <c r="E36" s="3"/>
      <c r="F36" s="3"/>
    </row>
    <row r="37" spans="1:6">
      <c r="A37" s="3"/>
      <c r="B37" s="3"/>
      <c r="C37" s="3"/>
      <c r="D37" s="3"/>
      <c r="E37" s="3"/>
      <c r="F37" s="3"/>
    </row>
    <row r="38" spans="1:6" ht="22" customHeight="1">
      <c r="A38" s="3"/>
      <c r="B38" s="60" t="s">
        <v>415</v>
      </c>
      <c r="C38" s="60"/>
      <c r="D38" s="60"/>
      <c r="E38" s="60"/>
      <c r="F38" s="60"/>
    </row>
    <row r="39" spans="1:6" ht="51.8" customHeight="1">
      <c r="A39" s="3"/>
      <c r="B39" s="15" t="s">
        <v>416</v>
      </c>
      <c r="C39" s="15"/>
      <c r="D39" s="15"/>
      <c r="E39" s="15"/>
      <c r="F39" s="15"/>
    </row>
    <row r="40" spans="1:6">
      <c r="A40" s="3"/>
      <c r="B40" s="3"/>
      <c r="C40" s="3"/>
      <c r="D40" s="3"/>
      <c r="E40" s="3"/>
      <c r="F40" s="3"/>
    </row>
    <row r="41" spans="1:6">
      <c r="A41" s="3"/>
      <c r="B41" s="3"/>
      <c r="C41" s="3"/>
      <c r="D41" s="3"/>
      <c r="E41" s="3"/>
      <c r="F41" s="3"/>
    </row>
    <row r="42" spans="1:6" ht="30" customHeight="1">
      <c r="A42" s="3"/>
      <c r="B42" s="25" t="s">
        <v>222</v>
      </c>
      <c r="C42" s="25"/>
      <c r="D42" s="25"/>
      <c r="E42" s="25"/>
      <c r="F42" s="25"/>
    </row>
    <row r="43" spans="1:6">
      <c r="A43" s="3"/>
      <c r="B43" s="3"/>
      <c r="C43" s="3"/>
      <c r="D43" s="3"/>
      <c r="E43" s="3"/>
      <c r="F43" s="3"/>
    </row>
    <row r="44" spans="1:6" ht="24" customHeight="1">
      <c r="A44" s="3"/>
      <c r="B44" s="26" t="s">
        <v>155</v>
      </c>
      <c r="C44" s="26"/>
      <c r="D44" s="27" t="s">
        <v>126</v>
      </c>
      <c r="E44" s="27"/>
      <c r="F44" s="3"/>
    </row>
    <row r="45" spans="1:6" ht="24" customHeight="1">
      <c r="A45" s="3"/>
      <c r="B45" s="28" t="s">
        <v>127</v>
      </c>
      <c r="C45" s="28"/>
      <c r="D45" s="29" t="s">
        <v>128</v>
      </c>
      <c r="E45" s="29"/>
      <c r="F45" s="3"/>
    </row>
    <row r="46" spans="1:6" ht="24" customHeight="1">
      <c r="A46" s="3"/>
      <c r="B46" s="30" t="s">
        <v>36</v>
      </c>
      <c r="C46" s="30"/>
      <c r="D46" s="31" t="s">
        <v>129</v>
      </c>
      <c r="E46" s="31"/>
      <c r="F46" s="3"/>
    </row>
    <row r="47" spans="1:6" ht="24" customHeight="1">
      <c r="A47" s="3"/>
      <c r="B47" s="32" t="s">
        <v>39</v>
      </c>
      <c r="C47" s="32"/>
      <c r="D47" s="33" t="s">
        <v>130</v>
      </c>
      <c r="E47" s="33"/>
      <c r="F47" s="3"/>
    </row>
    <row r="48" spans="1:6" ht="24" customHeight="1">
      <c r="A48" s="3"/>
      <c r="B48" s="27" t="s">
        <v>131</v>
      </c>
      <c r="C48" s="27"/>
      <c r="D48" s="29" t="s">
        <v>417</v>
      </c>
      <c r="E48" s="29"/>
      <c r="F48" s="3"/>
    </row>
    <row r="49" spans="1:6" ht="24" customHeight="1">
      <c r="A49" s="3"/>
      <c r="B49" s="26" t="s">
        <v>133</v>
      </c>
      <c r="C49" s="26"/>
      <c r="D49" s="27" t="s">
        <v>134</v>
      </c>
      <c r="E49" s="27"/>
      <c r="F49" s="3"/>
    </row>
    <row r="50" spans="1:6" ht="24" customHeight="1">
      <c r="A50" s="3"/>
      <c r="B50" s="28" t="s">
        <v>135</v>
      </c>
      <c r="C50" s="28"/>
      <c r="D50" s="3"/>
      <c r="E50" s="3"/>
      <c r="F50" s="3"/>
    </row>
    <row r="51" spans="1:6">
      <c r="A51" s="3"/>
      <c r="B51" s="3"/>
      <c r="C51" s="3"/>
      <c r="D51" s="3"/>
      <c r="E51" s="3"/>
      <c r="F51" s="3"/>
    </row>
    <row r="52" spans="1:6">
      <c r="A52" s="3"/>
      <c r="B52" s="3"/>
      <c r="C52" s="3"/>
      <c r="D52" s="3"/>
      <c r="E52" s="3"/>
      <c r="F52" s="3"/>
    </row>
    <row r="53" spans="1:6">
      <c r="A53" s="3"/>
      <c r="B53" s="3"/>
      <c r="C53" s="3"/>
      <c r="D53" s="3"/>
      <c r="E53" s="3"/>
      <c r="F53" s="3"/>
    </row>
    <row r="54" spans="1:6">
      <c r="A54" s="3"/>
      <c r="B54" s="3"/>
      <c r="C54" s="3"/>
      <c r="D54" s="3"/>
      <c r="E54" s="3"/>
      <c r="F54" s="3"/>
    </row>
    <row r="55" spans="1:6">
      <c r="A55" s="3"/>
      <c r="B55" s="3"/>
      <c r="C55" s="3"/>
      <c r="D55" s="3"/>
      <c r="E55" s="3"/>
      <c r="F55" s="3"/>
    </row>
    <row r="56" spans="1:6">
      <c r="A56" s="3"/>
      <c r="B56" s="3"/>
      <c r="C56" s="3"/>
      <c r="D56" s="3"/>
      <c r="E56" s="3"/>
      <c r="F56" s="3"/>
    </row>
    <row r="57" spans="1:6">
      <c r="A57" s="3"/>
      <c r="B57" s="3"/>
      <c r="C57" s="3"/>
      <c r="D57" s="3"/>
      <c r="E57" s="3"/>
      <c r="F57" s="3"/>
    </row>
    <row r="58" spans="1:6">
      <c r="A58" s="3"/>
      <c r="B58" s="3"/>
      <c r="C58" s="3"/>
      <c r="D58" s="3"/>
      <c r="E58" s="3"/>
      <c r="F58" s="3"/>
    </row>
    <row r="59" spans="1:6">
      <c r="A59" s="3"/>
      <c r="B59" s="3"/>
      <c r="C59" s="3"/>
      <c r="D59" s="3"/>
      <c r="E59" s="3"/>
      <c r="F59" s="3"/>
    </row>
    <row r="60" spans="1:6">
      <c r="A60" s="3"/>
      <c r="B60" s="3"/>
      <c r="C60" s="3"/>
      <c r="D60" s="3"/>
      <c r="E60" s="3"/>
      <c r="F60" s="3"/>
    </row>
    <row r="61" spans="1:6">
      <c r="A61" s="3"/>
      <c r="B61" s="3"/>
      <c r="C61" s="3"/>
      <c r="D61" s="3"/>
      <c r="E61" s="3"/>
      <c r="F61" s="3"/>
    </row>
  </sheetData>
  <sheetProtection password="EC7C" sheet="1" formatCells="0" formatColumns="0" formatRows="0" insertColumns="0" insertRows="0" insertHyperlinks="0" deleteColumns="0" deleteRows="0" sort="0" autoFilter="0"/>
  <mergeCells count="48">
    <mergeCell ref="B2:C2"/>
    <mergeCell ref="B3:C3"/>
    <mergeCell ref="D3:F3"/>
    <mergeCell ref="D6:F6"/>
    <mergeCell ref="B5:D5"/>
    <mergeCell ref="E5:F5"/>
    <mergeCell ref="E7:F7"/>
    <mergeCell ref="B8:F8"/>
    <mergeCell ref="E9:F9"/>
    <mergeCell ref="E10:F10"/>
    <mergeCell ref="E11:F11"/>
    <mergeCell ref="E12:F12"/>
    <mergeCell ref="B14:F14"/>
    <mergeCell ref="E15:F15"/>
    <mergeCell ref="E16:F16"/>
    <mergeCell ref="E17:F17"/>
    <mergeCell ref="E18:F18"/>
    <mergeCell ref="E19:F19"/>
    <mergeCell ref="E20:F20"/>
    <mergeCell ref="B22:F22"/>
    <mergeCell ref="E23:F23"/>
    <mergeCell ref="E24:F24"/>
    <mergeCell ref="E25:F25"/>
    <mergeCell ref="E26:F26"/>
    <mergeCell ref="E27:F27"/>
    <mergeCell ref="B29:F29"/>
    <mergeCell ref="E30:F30"/>
    <mergeCell ref="E31:F31"/>
    <mergeCell ref="E32:F32"/>
    <mergeCell ref="E33:F33"/>
    <mergeCell ref="E34:F34"/>
    <mergeCell ref="E35:F35"/>
    <mergeCell ref="B38:F38"/>
    <mergeCell ref="B39:F39"/>
    <mergeCell ref="B42:F42"/>
    <mergeCell ref="B44:C44"/>
    <mergeCell ref="D44:E44"/>
    <mergeCell ref="B45:C45"/>
    <mergeCell ref="D45:E45"/>
    <mergeCell ref="B46:C46"/>
    <mergeCell ref="D46:E46"/>
    <mergeCell ref="B47:C47"/>
    <mergeCell ref="D47:E47"/>
    <mergeCell ref="B48:C48"/>
    <mergeCell ref="D48:E48"/>
    <mergeCell ref="B49:C49"/>
    <mergeCell ref="D49:E49"/>
    <mergeCell ref="B50:C50"/>
  </mergeCells>
  <conditionalFormatting sqref="B8:B34">
    <cfRule type="expression" dxfId="7" priority="1">
      <formula>$B9="✓"</formula>
    </cfRule>
    <cfRule type="expression" dxfId="8" priority="2">
      <formula>$B9="✗ Skip"</formula>
    </cfRule>
  </conditionalFormatting>
  <dataValidations count="2">
    <dataValidation type="list" allowBlank="1" showInputMessage="1" promptTitle="Craft fair" prompt="Which fair are you packing for?" sqref="D6">
      <formula1>EventList</formula1>
    </dataValidation>
    <dataValidation type="list" allowBlank="1" showInputMessage="1" promptTitle="Tick it off" prompt="✓ = packed, blank = not yet, ✗ = not needed." sqref="B9:B35">
      <formula1>Tick</formula1>
    </dataValidation>
  </dataValidations>
  <hyperlinks>
    <hyperlink ref="D3" location="'📊 Dashboard'!A1" display="🏠  Dashboard"/>
    <hyperlink ref="B44" location="'⚙️ Lists &amp; Settings'!A1" display="Settings"/>
    <hyperlink ref="D44" location="'📊 Dashboard'!A1" display="🏠 Home"/>
    <hyperlink ref="B45" location="'🧶 Product Catalog'!A1" display="Products"/>
    <hyperlink ref="D45" location="'🧵 Yarn &amp; Materials'!A1" display="Yarn"/>
    <hyperlink ref="B46" location="'📦 Made &amp; Stocked'!A1" display="Stock"/>
    <hyperlink ref="D46" location="'🏪 Craft Fairs'!A1" display="Fairs"/>
    <hyperlink ref="B47" location="'💰 Sales Log'!A1" display="Sales"/>
    <hyperlink ref="D47" location="'🧮 Event Profit'!A1" display="Event $"/>
    <hyperlink ref="B48" location="'🔄 Reorder List'!A1" display="Reorder"/>
    <hyperlink ref="D48" location="'🎒 Packing Checklist'!A1" display="▶ Packing"/>
    <hyperlink ref="B49" location="'💵 Pricing Calculator'!A1" display="Pricing"/>
    <hyperlink ref="D49" location="'📅 Monthly Summary'!A1" display="Monthly"/>
    <hyperlink ref="B50"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worksheet>
</file>

<file path=xl/worksheets/sheet12.xml><?xml version="1.0" encoding="utf-8"?>
<worksheet xmlns="http://schemas.openxmlformats.org/spreadsheetml/2006/main" xmlns:r="http://schemas.openxmlformats.org/officeDocument/2006/relationships">
  <sheetPr>
    <tabColor rgb="FF5E6FA3"/>
    <pageSetUpPr fitToPage="1"/>
  </sheetPr>
  <dimension ref="A1:J61"/>
  <sheetViews>
    <sheetView showGridLines="0" workbookViewId="0"/>
  </sheetViews>
  <sheetFormatPr defaultRowHeight="15"/>
  <cols>
    <col min="1" max="1" width="2.85546875" customWidth="1"/>
    <col min="2" max="2" width="24.7109375" customWidth="1"/>
    <col min="3" max="6" width="14.7109375" customWidth="1"/>
    <col min="7" max="10" width="16.7109375" customWidth="1"/>
  </cols>
  <sheetData>
    <row r="1" spans="1:10" ht="7" customHeight="1">
      <c r="A1" s="3"/>
      <c r="B1" s="3"/>
      <c r="C1" s="3"/>
      <c r="D1" s="3"/>
      <c r="E1" s="3"/>
      <c r="F1" s="3"/>
      <c r="G1" s="3"/>
      <c r="H1" s="3"/>
      <c r="I1" s="3"/>
      <c r="J1" s="3"/>
    </row>
    <row r="2" spans="1:10" ht="32" customHeight="1">
      <c r="A2" s="3"/>
      <c r="B2" s="4" t="s">
        <v>418</v>
      </c>
      <c r="C2" s="4"/>
      <c r="D2" s="4"/>
      <c r="E2" s="4"/>
      <c r="F2" s="4"/>
      <c r="G2" s="4"/>
      <c r="H2" s="3"/>
      <c r="I2" s="3"/>
      <c r="J2" s="3"/>
    </row>
    <row r="3" spans="1:10" ht="18" customHeight="1">
      <c r="A3" s="3"/>
      <c r="B3" s="5" t="s">
        <v>419</v>
      </c>
      <c r="C3" s="5"/>
      <c r="D3" s="5"/>
      <c r="E3" s="5"/>
      <c r="F3" s="5"/>
      <c r="G3" s="5"/>
      <c r="H3" s="6" t="s">
        <v>70</v>
      </c>
      <c r="I3" s="6"/>
      <c r="J3" s="6"/>
    </row>
    <row r="4" spans="1:10" ht="8" customHeight="1">
      <c r="A4" s="3"/>
      <c r="B4" s="3"/>
      <c r="C4" s="3"/>
      <c r="D4" s="3"/>
      <c r="E4" s="3"/>
      <c r="F4" s="3"/>
      <c r="G4" s="3"/>
      <c r="H4" s="3"/>
      <c r="I4" s="3"/>
      <c r="J4" s="3"/>
    </row>
    <row r="5" spans="1:10" ht="22" customHeight="1">
      <c r="A5" s="3"/>
      <c r="B5" s="7" t="s">
        <v>420</v>
      </c>
      <c r="C5" s="7"/>
      <c r="D5" s="7"/>
      <c r="E5" s="7"/>
      <c r="F5" s="7"/>
      <c r="G5" s="3"/>
      <c r="H5" s="3"/>
      <c r="I5" s="3"/>
      <c r="J5" s="3"/>
    </row>
    <row r="6" spans="1:10" ht="8" customHeight="1">
      <c r="A6" s="3"/>
      <c r="B6" s="3"/>
      <c r="C6" s="3"/>
      <c r="D6" s="3"/>
      <c r="E6" s="3"/>
      <c r="F6" s="3"/>
      <c r="G6" s="3"/>
      <c r="H6" s="3"/>
      <c r="I6" s="3"/>
      <c r="J6" s="3"/>
    </row>
    <row r="7" spans="1:10" ht="22" customHeight="1">
      <c r="A7" s="3"/>
      <c r="B7" s="3"/>
      <c r="C7" s="3"/>
      <c r="D7" s="3"/>
      <c r="E7" s="3"/>
      <c r="F7" s="3"/>
      <c r="G7" s="11" t="s">
        <v>423</v>
      </c>
      <c r="H7" s="11"/>
      <c r="I7" s="11"/>
      <c r="J7" s="11"/>
    </row>
    <row r="8" spans="1:10">
      <c r="A8" s="3"/>
      <c r="B8" s="3"/>
      <c r="C8" s="3"/>
      <c r="D8" s="3"/>
      <c r="E8" s="3"/>
      <c r="F8" s="3"/>
      <c r="G8" s="3"/>
      <c r="H8" s="3"/>
      <c r="I8" s="3"/>
      <c r="J8" s="3"/>
    </row>
    <row r="9" spans="1:10">
      <c r="A9" s="3"/>
      <c r="B9" s="3"/>
      <c r="C9" s="3"/>
      <c r="D9" s="3"/>
      <c r="E9" s="3"/>
      <c r="F9" s="3"/>
      <c r="G9" s="3"/>
      <c r="H9" s="3"/>
      <c r="I9" s="3"/>
      <c r="J9" s="3"/>
    </row>
    <row r="10" spans="1:10" ht="26" customHeight="1">
      <c r="A10" s="3"/>
      <c r="B10" s="98" t="s">
        <v>421</v>
      </c>
      <c r="C10" s="98"/>
      <c r="D10" s="98"/>
      <c r="E10" s="13">
        <v>4</v>
      </c>
      <c r="F10" s="13"/>
      <c r="G10" s="3"/>
      <c r="H10" s="3"/>
      <c r="I10" s="3"/>
      <c r="J10" s="3"/>
    </row>
    <row r="11" spans="1:10" ht="26" customHeight="1">
      <c r="A11" s="3"/>
      <c r="B11" s="98" t="s">
        <v>422</v>
      </c>
      <c r="C11" s="98"/>
      <c r="D11" s="98"/>
      <c r="E11" s="13">
        <v>1</v>
      </c>
      <c r="F11" s="13"/>
      <c r="G11" s="3"/>
      <c r="H11" s="3"/>
      <c r="I11" s="3"/>
      <c r="J11" s="3"/>
    </row>
    <row r="12" spans="1:10" ht="26" customHeight="1">
      <c r="A12" s="3"/>
      <c r="B12" s="98" t="s">
        <v>166</v>
      </c>
      <c r="C12" s="98"/>
      <c r="D12" s="98"/>
      <c r="E12" s="78">
        <v>1.5</v>
      </c>
      <c r="F12" s="78"/>
      <c r="G12" s="3"/>
      <c r="H12" s="3"/>
      <c r="I12" s="3"/>
      <c r="J12" s="3"/>
    </row>
    <row r="13" spans="1:10" ht="26" customHeight="1">
      <c r="A13" s="3"/>
      <c r="B13" s="98" t="s">
        <v>84</v>
      </c>
      <c r="C13" s="98"/>
      <c r="D13" s="98"/>
      <c r="E13" s="13">
        <v>14</v>
      </c>
      <c r="F13" s="13"/>
      <c r="G13" s="3"/>
      <c r="H13" s="3"/>
      <c r="I13" s="3"/>
      <c r="J13" s="3"/>
    </row>
    <row r="14" spans="1:10" ht="26" customHeight="1">
      <c r="A14" s="3"/>
      <c r="B14" s="98" t="s">
        <v>86</v>
      </c>
      <c r="C14" s="98"/>
      <c r="D14" s="98"/>
      <c r="E14" s="14">
        <v>0.1</v>
      </c>
      <c r="F14" s="14"/>
      <c r="G14" s="92" t="s">
        <v>424</v>
      </c>
      <c r="H14" s="92"/>
      <c r="I14" s="92"/>
      <c r="J14" s="66">
        <f>N($E$12)*N($E$13)</f>
        <v>21.0</v>
      </c>
    </row>
    <row r="15" spans="1:10" ht="26" customHeight="1">
      <c r="A15" s="3"/>
      <c r="B15" s="98" t="s">
        <v>88</v>
      </c>
      <c r="C15" s="98"/>
      <c r="D15" s="98"/>
      <c r="E15" s="14">
        <v>0.45</v>
      </c>
      <c r="F15" s="14"/>
      <c r="G15" s="92" t="s">
        <v>425</v>
      </c>
      <c r="H15" s="92"/>
      <c r="I15" s="92"/>
      <c r="J15" s="66">
        <f>ROUND((N($E$10)+N($E$11)+$J$14)*N($E$14),2)</f>
        <v>2.6</v>
      </c>
    </row>
    <row r="16" spans="1:10" ht="26" customHeight="1">
      <c r="A16" s="3"/>
      <c r="B16" s="3"/>
      <c r="C16" s="3"/>
      <c r="D16" s="3"/>
      <c r="E16" s="3"/>
      <c r="F16" s="3"/>
      <c r="G16" s="92" t="s">
        <v>426</v>
      </c>
      <c r="H16" s="92"/>
      <c r="I16" s="92"/>
      <c r="J16" s="66">
        <f>ROUND(N($E$10)+N($E$11)+$J$14+$J$15,2)</f>
        <v>28.6</v>
      </c>
    </row>
    <row r="17" spans="1:10" ht="26" customHeight="1">
      <c r="A17" s="3"/>
      <c r="B17" s="3"/>
      <c r="C17" s="3"/>
      <c r="D17" s="3"/>
      <c r="E17" s="3"/>
      <c r="F17" s="3"/>
      <c r="G17" s="90" t="s">
        <v>427</v>
      </c>
      <c r="H17" s="90"/>
      <c r="I17" s="90"/>
      <c r="J17" s="99">
        <f>IF(N($E$15)&gt;=1,0,ROUND($J$16/(1-N($E$15)),2))</f>
        <v>52.0</v>
      </c>
    </row>
    <row r="18" spans="1:10" ht="26" customHeight="1">
      <c r="A18" s="3"/>
      <c r="B18" s="3"/>
      <c r="C18" s="3"/>
      <c r="D18" s="3"/>
      <c r="E18" s="3"/>
      <c r="F18" s="3"/>
      <c r="G18" s="92" t="s">
        <v>428</v>
      </c>
      <c r="H18" s="92"/>
      <c r="I18" s="92"/>
      <c r="J18" s="66">
        <f>IF($J$17&lt;=0,0,CEILING($J$17,1)-0.05)</f>
        <v>51.95</v>
      </c>
    </row>
    <row r="19" spans="1:10" ht="26" customHeight="1">
      <c r="A19" s="3"/>
      <c r="B19" s="3"/>
      <c r="C19" s="3"/>
      <c r="D19" s="3"/>
      <c r="E19" s="3"/>
      <c r="F19" s="3"/>
      <c r="G19" s="92" t="s">
        <v>429</v>
      </c>
      <c r="H19" s="92"/>
      <c r="I19" s="92"/>
      <c r="J19" s="66">
        <f>ROUND($J$17-$J$16,2)</f>
        <v>23.4</v>
      </c>
    </row>
    <row r="20" spans="1:10" ht="26" customHeight="1">
      <c r="A20" s="3"/>
      <c r="B20" s="3"/>
      <c r="C20" s="3"/>
      <c r="D20" s="3"/>
      <c r="E20" s="3"/>
      <c r="F20" s="3"/>
      <c r="G20" s="92" t="s">
        <v>430</v>
      </c>
      <c r="H20" s="92"/>
      <c r="I20" s="92"/>
      <c r="J20" s="67">
        <f>IFERROR($J$19/$J$17,0)</f>
        <v>0.45</v>
      </c>
    </row>
    <row r="21" spans="1:10">
      <c r="A21" s="3"/>
      <c r="B21" s="3"/>
      <c r="C21" s="3"/>
      <c r="D21" s="3"/>
      <c r="E21" s="3"/>
      <c r="F21" s="3"/>
      <c r="G21" s="3"/>
      <c r="H21" s="3"/>
      <c r="I21" s="3"/>
      <c r="J21" s="3"/>
    </row>
    <row r="22" spans="1:10">
      <c r="A22" s="3"/>
      <c r="B22" s="3"/>
      <c r="C22" s="3"/>
      <c r="D22" s="3"/>
      <c r="E22" s="3"/>
      <c r="F22" s="3"/>
      <c r="G22" s="3"/>
      <c r="H22" s="3"/>
      <c r="I22" s="3"/>
      <c r="J22" s="3"/>
    </row>
    <row r="23" spans="1:10" ht="22" customHeight="1">
      <c r="A23" s="3"/>
      <c r="B23" s="60" t="s">
        <v>431</v>
      </c>
      <c r="C23" s="60"/>
      <c r="D23" s="60"/>
      <c r="E23" s="60"/>
      <c r="F23" s="60"/>
      <c r="G23" s="60"/>
      <c r="H23" s="60"/>
      <c r="I23" s="60"/>
      <c r="J23" s="60"/>
    </row>
    <row r="24" spans="1:10" ht="66.4" customHeight="1">
      <c r="A24" s="3"/>
      <c r="B24" s="15" t="s">
        <v>432</v>
      </c>
      <c r="C24" s="15"/>
      <c r="D24" s="15"/>
      <c r="E24" s="15"/>
      <c r="F24" s="15"/>
      <c r="G24" s="15"/>
      <c r="H24" s="15"/>
      <c r="I24" s="15"/>
      <c r="J24" s="15"/>
    </row>
    <row r="25" spans="1:10">
      <c r="A25" s="3"/>
      <c r="B25" s="3"/>
      <c r="C25" s="3"/>
      <c r="D25" s="3"/>
      <c r="E25" s="3"/>
      <c r="F25" s="3"/>
      <c r="G25" s="3"/>
      <c r="H25" s="3"/>
      <c r="I25" s="3"/>
      <c r="J25" s="3"/>
    </row>
    <row r="26" spans="1:10">
      <c r="A26" s="3"/>
      <c r="B26" s="3"/>
      <c r="C26" s="3"/>
      <c r="D26" s="3"/>
      <c r="E26" s="3"/>
      <c r="F26" s="3"/>
      <c r="G26" s="3"/>
      <c r="H26" s="3"/>
      <c r="I26" s="3"/>
      <c r="J26" s="3"/>
    </row>
    <row r="27" spans="1:10">
      <c r="A27" s="3"/>
      <c r="B27" s="3"/>
      <c r="C27" s="3"/>
      <c r="D27" s="3"/>
      <c r="E27" s="3"/>
      <c r="F27" s="3"/>
      <c r="G27" s="3"/>
      <c r="H27" s="3"/>
      <c r="I27" s="3"/>
      <c r="J27" s="3"/>
    </row>
    <row r="28" spans="1:10" ht="30" customHeight="1">
      <c r="A28" s="3"/>
      <c r="B28" s="25" t="s">
        <v>433</v>
      </c>
      <c r="C28" s="25"/>
      <c r="D28" s="25"/>
      <c r="E28" s="25"/>
      <c r="F28" s="25"/>
      <c r="G28" s="25"/>
      <c r="H28" s="25"/>
      <c r="I28" s="25"/>
      <c r="J28" s="25"/>
    </row>
    <row r="29" spans="1:10">
      <c r="A29" s="3"/>
      <c r="B29" s="3"/>
      <c r="C29" s="3"/>
      <c r="D29" s="3"/>
      <c r="E29" s="3"/>
      <c r="F29" s="3"/>
      <c r="G29" s="3"/>
      <c r="H29" s="3"/>
      <c r="I29" s="3"/>
      <c r="J29" s="3"/>
    </row>
    <row r="30" spans="1:10" ht="24" customHeight="1">
      <c r="A30" s="3"/>
      <c r="B30" s="26" t="s">
        <v>155</v>
      </c>
      <c r="C30" s="26"/>
      <c r="D30" s="27" t="s">
        <v>126</v>
      </c>
      <c r="E30" s="27"/>
      <c r="F30" s="28" t="s">
        <v>127</v>
      </c>
      <c r="G30" s="28"/>
      <c r="H30" s="29" t="s">
        <v>128</v>
      </c>
      <c r="I30" s="29"/>
      <c r="J30" s="3"/>
    </row>
    <row r="31" spans="1:10" ht="24" customHeight="1">
      <c r="A31" s="3"/>
      <c r="B31" s="30" t="s">
        <v>36</v>
      </c>
      <c r="C31" s="30"/>
      <c r="D31" s="31" t="s">
        <v>129</v>
      </c>
      <c r="E31" s="31"/>
      <c r="F31" s="32" t="s">
        <v>39</v>
      </c>
      <c r="G31" s="32"/>
      <c r="H31" s="33" t="s">
        <v>130</v>
      </c>
      <c r="I31" s="33"/>
      <c r="J31" s="3"/>
    </row>
    <row r="32" spans="1:10" ht="24" customHeight="1">
      <c r="A32" s="3"/>
      <c r="B32" s="27" t="s">
        <v>131</v>
      </c>
      <c r="C32" s="27"/>
      <c r="D32" s="29" t="s">
        <v>132</v>
      </c>
      <c r="E32" s="29"/>
      <c r="F32" s="26" t="s">
        <v>434</v>
      </c>
      <c r="G32" s="26"/>
      <c r="H32" s="27" t="s">
        <v>134</v>
      </c>
      <c r="I32" s="27"/>
      <c r="J32" s="3"/>
    </row>
    <row r="33" spans="1:10" ht="24" customHeight="1">
      <c r="A33" s="3"/>
      <c r="B33" s="28" t="s">
        <v>135</v>
      </c>
      <c r="C33" s="28"/>
      <c r="D33" s="3"/>
      <c r="E33" s="3"/>
      <c r="F33" s="3"/>
      <c r="G33" s="3"/>
      <c r="H33" s="3"/>
      <c r="I33" s="3"/>
      <c r="J33" s="3"/>
    </row>
    <row r="34" spans="1:10">
      <c r="A34" s="3"/>
      <c r="B34" s="3"/>
      <c r="C34" s="3"/>
      <c r="D34" s="3"/>
      <c r="E34" s="3"/>
      <c r="F34" s="3"/>
      <c r="G34" s="3"/>
      <c r="H34" s="3"/>
      <c r="I34" s="3"/>
      <c r="J34" s="3"/>
    </row>
    <row r="35" spans="1:10">
      <c r="A35" s="3"/>
      <c r="B35" s="3"/>
      <c r="C35" s="3"/>
      <c r="D35" s="3"/>
      <c r="E35" s="3"/>
      <c r="F35" s="3"/>
      <c r="G35" s="3"/>
      <c r="H35" s="3"/>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3"/>
      <c r="B38" s="3"/>
      <c r="C38" s="3"/>
      <c r="D38" s="3"/>
      <c r="E38" s="3"/>
      <c r="F38" s="3"/>
      <c r="G38" s="3"/>
      <c r="H38" s="3"/>
      <c r="I38" s="3"/>
      <c r="J38" s="3"/>
    </row>
    <row r="39" spans="1:10">
      <c r="A39" s="3"/>
      <c r="B39" s="3"/>
      <c r="C39" s="3"/>
      <c r="D39" s="3"/>
      <c r="E39" s="3"/>
      <c r="F39" s="3"/>
      <c r="G39" s="3"/>
      <c r="H39" s="3"/>
      <c r="I39" s="3"/>
      <c r="J39" s="3"/>
    </row>
    <row r="40" spans="1:10">
      <c r="A40" s="3"/>
      <c r="B40" s="3"/>
      <c r="C40" s="3"/>
      <c r="D40" s="3"/>
      <c r="E40" s="3"/>
      <c r="F40" s="3"/>
      <c r="G40" s="3"/>
      <c r="H40" s="3"/>
      <c r="I40" s="3"/>
      <c r="J40" s="3"/>
    </row>
    <row r="41" spans="1:10">
      <c r="A41" s="3"/>
      <c r="B41" s="3"/>
      <c r="C41" s="3"/>
      <c r="D41" s="3"/>
      <c r="E41" s="3"/>
      <c r="F41" s="3"/>
      <c r="G41" s="3"/>
      <c r="H41" s="3"/>
      <c r="I41" s="3"/>
      <c r="J41" s="3"/>
    </row>
    <row r="42" spans="1:10">
      <c r="A42" s="3"/>
      <c r="B42" s="3"/>
      <c r="C42" s="3"/>
      <c r="D42" s="3"/>
      <c r="E42" s="3"/>
      <c r="F42" s="3"/>
      <c r="G42" s="3"/>
      <c r="H42" s="3"/>
      <c r="I42" s="3"/>
      <c r="J42" s="3"/>
    </row>
    <row r="43" spans="1:10">
      <c r="A43" s="3"/>
      <c r="B43" s="3"/>
      <c r="C43" s="3"/>
      <c r="D43" s="3"/>
      <c r="E43" s="3"/>
      <c r="F43" s="3"/>
      <c r="G43" s="3"/>
      <c r="H43" s="3"/>
      <c r="I43" s="3"/>
      <c r="J43" s="3"/>
    </row>
    <row r="44" spans="1:10">
      <c r="A44" s="3"/>
      <c r="B44" s="3"/>
      <c r="C44" s="3"/>
      <c r="D44" s="3"/>
      <c r="E44" s="3"/>
      <c r="F44" s="3"/>
      <c r="G44" s="3"/>
      <c r="H44" s="3"/>
      <c r="I44" s="3"/>
      <c r="J44" s="3"/>
    </row>
    <row r="45" spans="1:10">
      <c r="A45" s="3"/>
      <c r="B45" s="3"/>
      <c r="C45" s="3"/>
      <c r="D45" s="3"/>
      <c r="E45" s="3"/>
      <c r="F45" s="3"/>
      <c r="G45" s="3"/>
      <c r="H45" s="3"/>
      <c r="I45" s="3"/>
      <c r="J45" s="3"/>
    </row>
    <row r="46" spans="1:10">
      <c r="A46" s="3"/>
      <c r="B46" s="3"/>
      <c r="C46" s="3"/>
      <c r="D46" s="3"/>
      <c r="E46" s="3"/>
      <c r="F46" s="3"/>
      <c r="G46" s="3"/>
      <c r="H46" s="3"/>
      <c r="I46" s="3"/>
      <c r="J46" s="3"/>
    </row>
    <row r="47" spans="1:10">
      <c r="A47" s="3"/>
      <c r="B47" s="3"/>
      <c r="C47" s="3"/>
      <c r="D47" s="3"/>
      <c r="E47" s="3"/>
      <c r="F47" s="3"/>
      <c r="G47" s="3"/>
      <c r="H47" s="3"/>
      <c r="I47" s="3"/>
      <c r="J47" s="3"/>
    </row>
    <row r="48" spans="1:10">
      <c r="A48" s="3"/>
      <c r="B48" s="3"/>
      <c r="C48" s="3"/>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row r="51" spans="1:10">
      <c r="A51" s="3"/>
      <c r="B51" s="3"/>
      <c r="C51" s="3"/>
      <c r="D51" s="3"/>
      <c r="E51" s="3"/>
      <c r="F51" s="3"/>
      <c r="G51" s="3"/>
      <c r="H51" s="3"/>
      <c r="I51" s="3"/>
      <c r="J51" s="3"/>
    </row>
    <row r="52" spans="1:10">
      <c r="A52" s="3"/>
      <c r="B52" s="3"/>
      <c r="C52" s="3"/>
      <c r="D52" s="3"/>
      <c r="E52" s="3"/>
      <c r="F52" s="3"/>
      <c r="G52" s="3"/>
      <c r="H52" s="3"/>
      <c r="I52" s="3"/>
      <c r="J52" s="3"/>
    </row>
    <row r="53" spans="1:10">
      <c r="A53" s="3"/>
      <c r="B53" s="3"/>
      <c r="C53" s="3"/>
      <c r="D53" s="3"/>
      <c r="E53" s="3"/>
      <c r="F53" s="3"/>
      <c r="G53" s="3"/>
      <c r="H53" s="3"/>
      <c r="I53" s="3"/>
      <c r="J53" s="3"/>
    </row>
    <row r="54" spans="1:10">
      <c r="A54" s="3"/>
      <c r="B54" s="3"/>
      <c r="C54" s="3"/>
      <c r="D54" s="3"/>
      <c r="E54" s="3"/>
      <c r="F54" s="3"/>
      <c r="G54" s="3"/>
      <c r="H54" s="3"/>
      <c r="I54" s="3"/>
      <c r="J54" s="3"/>
    </row>
    <row r="55" spans="1:10">
      <c r="A55" s="3"/>
      <c r="B55" s="3"/>
      <c r="C55" s="3"/>
      <c r="D55" s="3"/>
      <c r="E55" s="3"/>
      <c r="F55" s="3"/>
      <c r="G55" s="3"/>
      <c r="H55" s="3"/>
      <c r="I55" s="3"/>
      <c r="J55" s="3"/>
    </row>
    <row r="56" spans="1:10">
      <c r="A56" s="3"/>
      <c r="B56" s="3"/>
      <c r="C56" s="3"/>
      <c r="D56" s="3"/>
      <c r="E56" s="3"/>
      <c r="F56" s="3"/>
      <c r="G56" s="3"/>
      <c r="H56" s="3"/>
      <c r="I56" s="3"/>
      <c r="J56" s="3"/>
    </row>
    <row r="57" spans="1:10">
      <c r="A57" s="3"/>
      <c r="B57" s="3"/>
      <c r="C57" s="3"/>
      <c r="D57" s="3"/>
      <c r="E57" s="3"/>
      <c r="F57" s="3"/>
      <c r="G57" s="3"/>
      <c r="H57" s="3"/>
      <c r="I57" s="3"/>
      <c r="J57" s="3"/>
    </row>
    <row r="58" spans="1:10">
      <c r="A58" s="3"/>
      <c r="B58" s="3"/>
      <c r="C58" s="3"/>
      <c r="D58" s="3"/>
      <c r="E58" s="3"/>
      <c r="F58" s="3"/>
      <c r="G58" s="3"/>
      <c r="H58" s="3"/>
      <c r="I58" s="3"/>
      <c r="J58" s="3"/>
    </row>
    <row r="59" spans="1:10">
      <c r="A59" s="3"/>
      <c r="B59" s="3"/>
      <c r="C59" s="3"/>
      <c r="D59" s="3"/>
      <c r="E59" s="3"/>
      <c r="F59" s="3"/>
      <c r="G59" s="3"/>
      <c r="H59" s="3"/>
      <c r="I59" s="3"/>
      <c r="J59" s="3"/>
    </row>
    <row r="60" spans="1:10">
      <c r="A60" s="3"/>
      <c r="B60" s="3"/>
      <c r="C60" s="3"/>
      <c r="D60" s="3"/>
      <c r="E60" s="3"/>
      <c r="F60" s="3"/>
      <c r="G60" s="3"/>
      <c r="H60" s="3"/>
      <c r="I60" s="3"/>
      <c r="J60" s="3"/>
    </row>
    <row r="61" spans="1:10">
      <c r="A61" s="3"/>
      <c r="B61" s="3"/>
      <c r="C61" s="3"/>
      <c r="D61" s="3"/>
      <c r="E61" s="3"/>
      <c r="F61" s="3"/>
      <c r="G61" s="3"/>
      <c r="H61" s="3"/>
      <c r="I61" s="3"/>
      <c r="J61" s="3"/>
    </row>
  </sheetData>
  <sheetProtection password="EC7C" sheet="1" formatCells="0" formatColumns="0" formatRows="0" insertColumns="0" insertRows="0" insertHyperlinks="0" deleteColumns="0" deleteRows="0" sort="0" autoFilter="0"/>
  <mergeCells count="40">
    <mergeCell ref="B2:G2"/>
    <mergeCell ref="B3:G3"/>
    <mergeCell ref="H3:J3"/>
    <mergeCell ref="B5:F5"/>
    <mergeCell ref="B10:D10"/>
    <mergeCell ref="E10:F10"/>
    <mergeCell ref="B11:D11"/>
    <mergeCell ref="E11:F11"/>
    <mergeCell ref="B12:D12"/>
    <mergeCell ref="E12:F12"/>
    <mergeCell ref="B13:D13"/>
    <mergeCell ref="E13:F13"/>
    <mergeCell ref="B14:D14"/>
    <mergeCell ref="E14:F14"/>
    <mergeCell ref="B15:D15"/>
    <mergeCell ref="E15:F15"/>
    <mergeCell ref="G7:J7"/>
    <mergeCell ref="G14:I14"/>
    <mergeCell ref="G15:I15"/>
    <mergeCell ref="G16:I16"/>
    <mergeCell ref="G17:I17"/>
    <mergeCell ref="G18:I18"/>
    <mergeCell ref="G19:I19"/>
    <mergeCell ref="G20:I20"/>
    <mergeCell ref="B23:J23"/>
    <mergeCell ref="B24:J24"/>
    <mergeCell ref="B28:J28"/>
    <mergeCell ref="B30:C30"/>
    <mergeCell ref="D30:E30"/>
    <mergeCell ref="F30:G30"/>
    <mergeCell ref="H30:I30"/>
    <mergeCell ref="B31:C31"/>
    <mergeCell ref="D31:E31"/>
    <mergeCell ref="F31:G31"/>
    <mergeCell ref="H31:I31"/>
    <mergeCell ref="B32:C32"/>
    <mergeCell ref="D32:E32"/>
    <mergeCell ref="F32:G32"/>
    <mergeCell ref="H32:I32"/>
    <mergeCell ref="B33:C33"/>
  </mergeCells>
  <conditionalFormatting sqref="J19">
    <cfRule type="expression" dxfId="5" priority="1">
      <formula>$J$20&lt;$E$15</formula>
    </cfRule>
    <cfRule type="expression" dxfId="4" priority="2">
      <formula>$J$20&gt;=$E$15</formula>
    </cfRule>
  </conditionalFormatting>
  <dataValidations count="5">
    <dataValidation type="decimal" operator="greaterThanOrEqual" errorStyle="warning" allowBlank="1" showInputMessage="1" showErrorMessage="1" errorTitle="Enter a cost" error="A positive number, no currency symbol." sqref="E10:E11">
      <formula1>0</formula1>
    </dataValidation>
    <dataValidation type="decimal" errorStyle="warning" allowBlank="1" showInputMessage="1" showErrorMessage="1" errorTitle="Hours" error="e.g. 1.5" sqref="E12">
      <formula1>0</formula1>
      <formula2>1000</formula2>
    </dataValidation>
    <dataValidation type="decimal" errorStyle="warning" allowBlank="1" showInputMessage="1" showErrorMessage="1" errorTitle="Wage" error="per hour, e.g. 14" sqref="E13">
      <formula1>0</formula1>
      <formula2>1000</formula2>
    </dataValidation>
    <dataValidation type="decimal" errorStyle="warning" allowBlank="1" showInputMessage="1" showErrorMessage="1" errorTitle="Percentage" error="Between 0% and 90%." sqref="E14">
      <formula1>0</formula1>
      <formula2>0.9</formula2>
    </dataValidation>
    <dataValidation type="decimal" errorStyle="warning" allowBlank="1" showInputMessage="1" showErrorMessage="1" errorTitle="Percentage" error="Between 0% and 90%." sqref="E15">
      <formula1>0</formula1>
      <formula2>0.9</formula2>
    </dataValidation>
  </dataValidations>
  <hyperlinks>
    <hyperlink ref="H3" location="'📊 Dashboard'!A1" display="🏠  Dashboard"/>
    <hyperlink ref="B30" location="'⚙️ Lists &amp; Settings'!A1" display="Settings"/>
    <hyperlink ref="D30" location="'📊 Dashboard'!A1" display="🏠 Home"/>
    <hyperlink ref="F30" location="'🧶 Product Catalog'!A1" display="Products"/>
    <hyperlink ref="H30" location="'🧵 Yarn &amp; Materials'!A1" display="Yarn"/>
    <hyperlink ref="B31" location="'📦 Made &amp; Stocked'!A1" display="Stock"/>
    <hyperlink ref="D31" location="'🏪 Craft Fairs'!A1" display="Fairs"/>
    <hyperlink ref="F31" location="'💰 Sales Log'!A1" display="Sales"/>
    <hyperlink ref="H31" location="'🧮 Event Profit'!A1" display="Event $"/>
    <hyperlink ref="B32" location="'🔄 Reorder List'!A1" display="Reorder"/>
    <hyperlink ref="D32" location="'🎒 Packing Checklist'!A1" display="Packing"/>
    <hyperlink ref="F32" location="'💵 Pricing Calculator'!A1" display="▶ Pricing"/>
    <hyperlink ref="H32" location="'📅 Monthly Summary'!A1" display="Monthly"/>
    <hyperlink ref="B33"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C3A50"/>
    <pageSetUpPr fitToPage="1"/>
  </sheetPr>
  <dimension ref="A1:L31"/>
  <sheetViews>
    <sheetView showGridLines="0" zoomScale="90" zoomScaleNormal="90" workbookViewId="0"/>
  </sheetViews>
  <sheetFormatPr defaultRowHeight="15" x14ac:dyDescent="0.25"/>
  <cols>
    <col min="1" max="1" width="2.85546875" customWidth="1"/>
    <col min="2" max="2" width="12.7109375" customWidth="1"/>
    <col min="3" max="4" width="11.7109375" customWidth="1"/>
    <col min="5" max="5" width="10.7109375" customWidth="1"/>
    <col min="6" max="6" width="11.7109375" customWidth="1"/>
    <col min="7" max="7" width="9.7109375" customWidth="1"/>
    <col min="8" max="8" width="8.7109375" customWidth="1"/>
    <col min="9" max="9" width="10.7109375" customWidth="1"/>
    <col min="10" max="10" width="11.7109375" customWidth="1"/>
    <col min="11" max="11" width="9.7109375" customWidth="1"/>
  </cols>
  <sheetData>
    <row r="1" spans="1:12" ht="7" customHeight="1" x14ac:dyDescent="0.25">
      <c r="A1" s="3"/>
      <c r="B1" s="3"/>
      <c r="C1" s="3"/>
      <c r="D1" s="3"/>
      <c r="E1" s="3"/>
      <c r="F1" s="3"/>
      <c r="G1" s="3"/>
      <c r="H1" s="3"/>
      <c r="I1" s="3"/>
      <c r="J1" s="3"/>
      <c r="K1" s="3"/>
    </row>
    <row r="2" spans="1:12" ht="32" customHeight="1" x14ac:dyDescent="0.25">
      <c r="A2" s="3"/>
      <c r="B2" s="4" t="s">
        <v>435</v>
      </c>
      <c r="C2" s="4"/>
      <c r="D2" s="4"/>
      <c r="E2" s="4"/>
      <c r="F2" s="4"/>
      <c r="G2" s="4"/>
      <c r="H2" s="4"/>
      <c r="I2" s="3"/>
      <c r="J2" s="3"/>
      <c r="K2" s="3"/>
    </row>
    <row r="3" spans="1:12" ht="18" customHeight="1" x14ac:dyDescent="0.25">
      <c r="A3" s="3"/>
      <c r="B3" s="5" t="s">
        <v>436</v>
      </c>
      <c r="C3" s="5"/>
      <c r="D3" s="5"/>
      <c r="E3" s="5"/>
      <c r="F3" s="5"/>
      <c r="G3" s="5"/>
      <c r="H3" s="5"/>
      <c r="I3" s="6" t="s">
        <v>70</v>
      </c>
      <c r="J3" s="6"/>
      <c r="K3" s="6"/>
    </row>
    <row r="4" spans="1:12" ht="8" customHeight="1" x14ac:dyDescent="0.25">
      <c r="A4" s="3"/>
      <c r="B4" s="3"/>
      <c r="C4" s="3"/>
      <c r="D4" s="3"/>
      <c r="E4" s="3"/>
      <c r="F4" s="3"/>
      <c r="G4" s="3"/>
      <c r="H4" s="3"/>
      <c r="I4" s="3"/>
      <c r="J4" s="3"/>
      <c r="K4" s="3"/>
    </row>
    <row r="5" spans="1:12" ht="22" customHeight="1" x14ac:dyDescent="0.25">
      <c r="A5" s="3"/>
      <c r="B5" s="38" t="str">
        <f>"Year revenue: "&amp;Currency&amp;TEXT(SUM('📅 Monthly Summary'!$C$8:$C$19),"#,##0.00")</f>
        <v>Year revenue: $1,760.00</v>
      </c>
      <c r="C5" s="38"/>
      <c r="D5" s="38"/>
      <c r="E5" s="36" t="str">
        <f>"Year net: "&amp;Currency&amp;TEXT(SUM('📅 Monthly Summary'!$F$8:$F$19),"#,##0.00")</f>
        <v>Year net: $716.50</v>
      </c>
      <c r="F5" s="36"/>
      <c r="G5" s="36"/>
      <c r="H5" s="37" t="str">
        <f>"Best month: "&amp;IFERROR(INDEX('📅 Monthly Summary'!$F$8:$F$19,MATCH(MAX('📅 Monthly Summary'!$F$8:$F$19),'📅 Monthly Summary'!$F$8:$F$19,0)),"-")</f>
        <v>Best month: August</v>
      </c>
      <c r="I5" s="37"/>
      <c r="J5" s="37"/>
      <c r="K5" s="71" t="str">
        <f>"Fairs this year: "&amp;TEXT(SUM('📅 Monthly Summary'!$K$8:$K$19),"0")</f>
        <v>Fairs this year: 8</v>
      </c>
      <c r="L5" s="71"/>
    </row>
    <row r="6" spans="1:12" ht="8" customHeight="1" x14ac:dyDescent="0.25">
      <c r="A6" s="3"/>
      <c r="B6" s="3"/>
      <c r="C6" s="3"/>
      <c r="D6" s="3"/>
      <c r="E6" s="3"/>
      <c r="F6" s="3"/>
      <c r="G6" s="3"/>
      <c r="H6" s="3"/>
      <c r="I6" s="3"/>
      <c r="J6" s="3"/>
      <c r="K6" s="3"/>
    </row>
    <row r="7" spans="1:12" ht="36" customHeight="1" x14ac:dyDescent="0.25">
      <c r="A7" s="62" t="s">
        <v>1</v>
      </c>
      <c r="B7" s="62" t="s">
        <v>2</v>
      </c>
      <c r="C7" s="62" t="s">
        <v>3</v>
      </c>
      <c r="D7" s="62" t="s">
        <v>301</v>
      </c>
      <c r="E7" s="62" t="s">
        <v>437</v>
      </c>
      <c r="F7" s="62" t="s">
        <v>44</v>
      </c>
      <c r="G7" s="62" t="s">
        <v>7</v>
      </c>
      <c r="H7" s="62" t="s">
        <v>46</v>
      </c>
      <c r="I7" s="62" t="s">
        <v>438</v>
      </c>
      <c r="J7" s="62" t="s">
        <v>165</v>
      </c>
      <c r="K7" s="62" t="s">
        <v>129</v>
      </c>
    </row>
    <row r="8" spans="1:12" ht="20" customHeight="1" x14ac:dyDescent="0.25">
      <c r="A8" s="68"/>
      <c r="B8" s="64" t="s">
        <v>8</v>
      </c>
      <c r="C8" s="66">
        <f>'_Data'!J2</f>
        <v>0</v>
      </c>
      <c r="D8" s="66">
        <f>'_Data'!K2</f>
        <v>0</v>
      </c>
      <c r="E8" s="66">
        <f>'_Data'!L2</f>
        <v>0</v>
      </c>
      <c r="F8" s="66">
        <f>'_Data'!M2</f>
        <v>0</v>
      </c>
      <c r="G8" s="67">
        <f>IFERROR($F8/$C8,0)</f>
        <v>0</v>
      </c>
      <c r="H8" s="65">
        <f>SUMIFS('💰 Sales Log'!$E$8:$E$67,'💰 Sales Log'!$B$8:$B$67,"&gt;="&amp;DATE(ReportYear,1,1),'💰 Sales Log'!$B$8:$B$67,"&lt;"&amp;EDATE(DATE(ReportYear,1,1),1))</f>
        <v>0</v>
      </c>
      <c r="I8" s="66">
        <f>IFERROR($C8/COUNTIFS('💰 Sales Log'!$B$8:$B$67,"&gt;="&amp;DATE(ReportYear,1,1),'💰 Sales Log'!$B$8:$B$67,"&lt;"&amp;EDATE(DATE(ReportYear,1,1),1)),0)</f>
        <v>0</v>
      </c>
      <c r="J8" s="66">
        <f>IFERROR($F8/$H8,0)</f>
        <v>0</v>
      </c>
      <c r="K8" s="65">
        <f>SUMPRODUCT(('🏪 Craft Fairs'!$C$8:$C$31&gt;=DATE(ReportYear,1,1))*('🏪 Craft Fairs'!$C$8:$C$31&lt;EDATE(DATE(ReportYear,1,1),1))*('🏪 Craft Fairs'!$B$8:$B$31&lt;&gt;""))</f>
        <v>0</v>
      </c>
    </row>
    <row r="9" spans="1:12" ht="20" customHeight="1" x14ac:dyDescent="0.25">
      <c r="A9" s="63"/>
      <c r="B9" s="64" t="s">
        <v>9</v>
      </c>
      <c r="C9" s="66">
        <f>'_Data'!J3</f>
        <v>0</v>
      </c>
      <c r="D9" s="66">
        <f>'_Data'!K3</f>
        <v>0</v>
      </c>
      <c r="E9" s="66">
        <f>'_Data'!L3</f>
        <v>0</v>
      </c>
      <c r="F9" s="66">
        <f>'_Data'!M3</f>
        <v>0</v>
      </c>
      <c r="G9" s="67">
        <f>IFERROR($F9/$C9,0)</f>
        <v>0</v>
      </c>
      <c r="H9" s="65">
        <f>SUMIFS('💰 Sales Log'!$E$8:$E$67,'💰 Sales Log'!$B$8:$B$67,"&gt;="&amp;DATE(ReportYear,2,1),'💰 Sales Log'!$B$8:$B$67,"&lt;"&amp;EDATE(DATE(ReportYear,2,1),1))</f>
        <v>0</v>
      </c>
      <c r="I9" s="66">
        <f>IFERROR($C9/COUNTIFS('💰 Sales Log'!$B$8:$B$67,"&gt;="&amp;DATE(ReportYear,2,1),'💰 Sales Log'!$B$8:$B$67,"&lt;"&amp;EDATE(DATE(ReportYear,2,1),1)),0)</f>
        <v>0</v>
      </c>
      <c r="J9" s="66">
        <f>IFERROR($F9/$H9,0)</f>
        <v>0</v>
      </c>
      <c r="K9" s="65">
        <f>SUMPRODUCT(('🏪 Craft Fairs'!$C$8:$C$31&gt;=DATE(ReportYear,2,1))*('🏪 Craft Fairs'!$C$8:$C$31&lt;EDATE(DATE(ReportYear,2,1),1))*('🏪 Craft Fairs'!$B$8:$B$31&lt;&gt;""))</f>
        <v>0</v>
      </c>
    </row>
    <row r="10" spans="1:12" ht="20" customHeight="1" x14ac:dyDescent="0.25">
      <c r="A10" s="68"/>
      <c r="B10" s="64" t="s">
        <v>10</v>
      </c>
      <c r="C10" s="66">
        <f>'_Data'!J4</f>
        <v>300.0</v>
      </c>
      <c r="D10" s="66">
        <f>'_Data'!K4</f>
        <v>58.8</v>
      </c>
      <c r="E10" s="66">
        <f>'_Data'!L4</f>
        <v>90</v>
      </c>
      <c r="F10" s="66">
        <f>'_Data'!M4</f>
        <v>151.2</v>
      </c>
      <c r="G10" s="67">
        <f>IFERROR($F10/$C10,0)</f>
        <v>0.504</v>
      </c>
      <c r="H10" s="65">
        <f>SUMIFS('💰 Sales Log'!$E$8:$E$67,'💰 Sales Log'!$B$8:$B$67,"&gt;="&amp;DATE(ReportYear,3,1),'💰 Sales Log'!$B$8:$B$67,"&lt;"&amp;EDATE(DATE(ReportYear,3,1),1))</f>
        <v>14</v>
      </c>
      <c r="I10" s="66">
        <f>IFERROR($C10/COUNTIFS('💰 Sales Log'!$B$8:$B$67,"&gt;="&amp;DATE(ReportYear,3,1),'💰 Sales Log'!$B$8:$B$67,"&lt;"&amp;EDATE(DATE(ReportYear,3,1),1)),0)</f>
        <v>75.0</v>
      </c>
      <c r="J10" s="66">
        <f>IFERROR($F10/$H10,0)</f>
        <v>10.8</v>
      </c>
      <c r="K10" s="65">
        <f>SUMPRODUCT(('🏪 Craft Fairs'!$C$8:$C$31&gt;=DATE(ReportYear,3,1))*('🏪 Craft Fairs'!$C$8:$C$31&lt;EDATE(DATE(ReportYear,3,1),1))*('🏪 Craft Fairs'!$B$8:$B$31&lt;&gt;""))</f>
        <v>1</v>
      </c>
    </row>
    <row r="11" spans="1:12" ht="20" customHeight="1" x14ac:dyDescent="0.25">
      <c r="A11" s="63"/>
      <c r="B11" s="64" t="s">
        <v>11</v>
      </c>
      <c r="C11" s="66">
        <f>'_Data'!J5</f>
        <v>174.0</v>
      </c>
      <c r="D11" s="66">
        <f>'_Data'!K5</f>
        <v>30.4</v>
      </c>
      <c r="E11" s="66">
        <f>'_Data'!L5</f>
        <v>54</v>
      </c>
      <c r="F11" s="66">
        <f>'_Data'!M5</f>
        <v>89.6</v>
      </c>
      <c r="G11" s="67">
        <f>IFERROR($F11/$C11,0)</f>
        <v>0.5149</v>
      </c>
      <c r="H11" s="65">
        <f>SUMIFS('💰 Sales Log'!$E$8:$E$67,'💰 Sales Log'!$B$8:$B$67,"&gt;="&amp;DATE(ReportYear,4,1),'💰 Sales Log'!$B$8:$B$67,"&lt;"&amp;EDATE(DATE(ReportYear,4,1),1))</f>
        <v>9</v>
      </c>
      <c r="I11" s="66">
        <f>IFERROR($C11/COUNTIFS('💰 Sales Log'!$B$8:$B$67,"&gt;="&amp;DATE(ReportYear,4,1),'💰 Sales Log'!$B$8:$B$67,"&lt;"&amp;EDATE(DATE(ReportYear,4,1),1)),0)</f>
        <v>58.0</v>
      </c>
      <c r="J11" s="66">
        <f>IFERROR($F11/$H11,0)</f>
        <v>9.96</v>
      </c>
      <c r="K11" s="65">
        <f>SUMPRODUCT(('🏪 Craft Fairs'!$C$8:$C$31&gt;=DATE(ReportYear,4,1))*('🏪 Craft Fairs'!$C$8:$C$31&lt;EDATE(DATE(ReportYear,4,1),1))*('🏪 Craft Fairs'!$B$8:$B$31&lt;&gt;""))</f>
        <v>1</v>
      </c>
    </row>
    <row r="12" spans="1:12" ht="20" customHeight="1" x14ac:dyDescent="0.25">
      <c r="A12" s="68"/>
      <c r="B12" s="64" t="s">
        <v>12</v>
      </c>
      <c r="C12" s="66">
        <f>'_Data'!J6</f>
        <v>244.0</v>
      </c>
      <c r="D12" s="66">
        <f>'_Data'!K6</f>
        <v>43.5</v>
      </c>
      <c r="E12" s="66">
        <f>'_Data'!L6</f>
        <v>44</v>
      </c>
      <c r="F12" s="66">
        <f>'_Data'!M6</f>
        <v>156.5</v>
      </c>
      <c r="G12" s="67">
        <f>IFERROR($F12/$C12,0)</f>
        <v>0.6414</v>
      </c>
      <c r="H12" s="65">
        <f>SUMIFS('💰 Sales Log'!$E$8:$E$67,'💰 Sales Log'!$B$8:$B$67,"&gt;="&amp;DATE(ReportYear,5,1),'💰 Sales Log'!$B$8:$B$67,"&lt;"&amp;EDATE(DATE(ReportYear,5,1),1))</f>
        <v>19</v>
      </c>
      <c r="I12" s="66">
        <f>IFERROR($C12/COUNTIFS('💰 Sales Log'!$B$8:$B$67,"&gt;="&amp;DATE(ReportYear,5,1),'💰 Sales Log'!$B$8:$B$67,"&lt;"&amp;EDATE(DATE(ReportYear,5,1),1)),0)</f>
        <v>81.33</v>
      </c>
      <c r="J12" s="66">
        <f>IFERROR($F12/$H12,0)</f>
        <v>8.24</v>
      </c>
      <c r="K12" s="65">
        <f>SUMPRODUCT(('🏪 Craft Fairs'!$C$8:$C$31&gt;=DATE(ReportYear,5,1))*('🏪 Craft Fairs'!$C$8:$C$31&lt;EDATE(DATE(ReportYear,5,1),1))*('🏪 Craft Fairs'!$B$8:$B$31&lt;&gt;""))</f>
        <v>1</v>
      </c>
    </row>
    <row r="13" spans="1:12" ht="20" customHeight="1" x14ac:dyDescent="0.25">
      <c r="A13" s="63"/>
      <c r="B13" s="64" t="s">
        <v>13</v>
      </c>
      <c r="C13" s="66">
        <f>'_Data'!J7</f>
        <v>398.0</v>
      </c>
      <c r="D13" s="66">
        <f>'_Data'!K7</f>
        <v>82.8</v>
      </c>
      <c r="E13" s="66">
        <f>'_Data'!L7</f>
        <v>116</v>
      </c>
      <c r="F13" s="66">
        <f>'_Data'!M7</f>
        <v>199.2</v>
      </c>
      <c r="G13" s="67">
        <f>IFERROR($F13/$C13,0)</f>
        <v>0.5005</v>
      </c>
      <c r="H13" s="65">
        <f>SUMIFS('💰 Sales Log'!$E$8:$E$67,'💰 Sales Log'!$B$8:$B$67,"&gt;="&amp;DATE(ReportYear,6,1),'💰 Sales Log'!$B$8:$B$67,"&lt;"&amp;EDATE(DATE(ReportYear,6,1),1))</f>
        <v>21</v>
      </c>
      <c r="I13" s="66">
        <f>IFERROR($C13/COUNTIFS('💰 Sales Log'!$B$8:$B$67,"&gt;="&amp;DATE(ReportYear,6,1),'💰 Sales Log'!$B$8:$B$67,"&lt;"&amp;EDATE(DATE(ReportYear,6,1),1)),0)</f>
        <v>79.6</v>
      </c>
      <c r="J13" s="66">
        <f>IFERROR($F13/$H13,0)</f>
        <v>9.49</v>
      </c>
      <c r="K13" s="65">
        <f>SUMPRODUCT(('🏪 Craft Fairs'!$C$8:$C$31&gt;=DATE(ReportYear,6,1))*('🏪 Craft Fairs'!$C$8:$C$31&lt;EDATE(DATE(ReportYear,6,1),1))*('🏪 Craft Fairs'!$B$8:$B$31&lt;&gt;""))</f>
        <v>1</v>
      </c>
    </row>
    <row r="14" spans="1:12" ht="20" customHeight="1" x14ac:dyDescent="0.25">
      <c r="A14" s="68"/>
      <c r="B14" s="64" t="s">
        <v>14</v>
      </c>
      <c r="C14" s="66">
        <f>'_Data'!J8</f>
        <v>309.0</v>
      </c>
      <c r="D14" s="66">
        <f>'_Data'!K8</f>
        <v>72.6</v>
      </c>
      <c r="E14" s="66">
        <f>'_Data'!L8</f>
        <v>73</v>
      </c>
      <c r="F14" s="66">
        <f>'_Data'!M8</f>
        <v>163.4</v>
      </c>
      <c r="G14" s="67">
        <f>IFERROR($F14/$C14,0)</f>
        <v>0.5288</v>
      </c>
      <c r="H14" s="65">
        <f>SUMIFS('💰 Sales Log'!$E$8:$E$67,'💰 Sales Log'!$B$8:$B$67,"&gt;="&amp;DATE(ReportYear,7,1),'💰 Sales Log'!$B$8:$B$67,"&lt;"&amp;EDATE(DATE(ReportYear,7,1),1))</f>
        <v>9</v>
      </c>
      <c r="I14" s="66">
        <f>IFERROR($C14/COUNTIFS('💰 Sales Log'!$B$8:$B$67,"&gt;="&amp;DATE(ReportYear,7,1),'💰 Sales Log'!$B$8:$B$67,"&lt;"&amp;EDATE(DATE(ReportYear,7,1),1)),0)</f>
        <v>77.25</v>
      </c>
      <c r="J14" s="66">
        <f>IFERROR($F14/$H14,0)</f>
        <v>18.16</v>
      </c>
      <c r="K14" s="65">
        <f>SUMPRODUCT(('🏪 Craft Fairs'!$C$8:$C$31&gt;=DATE(ReportYear,7,1))*('🏪 Craft Fairs'!$C$8:$C$31&lt;EDATE(DATE(ReportYear,7,1),1))*('🏪 Craft Fairs'!$B$8:$B$31&lt;&gt;""))</f>
        <v>1</v>
      </c>
    </row>
    <row r="15" spans="1:12" ht="20" customHeight="1" x14ac:dyDescent="0.25">
      <c r="A15" s="63"/>
      <c r="B15" s="64" t="s">
        <v>15</v>
      </c>
      <c r="C15" s="66">
        <f>'_Data'!J9</f>
        <v>335.0</v>
      </c>
      <c r="D15" s="66">
        <f>'_Data'!K9</f>
        <v>75.4</v>
      </c>
      <c r="E15" s="66">
        <f>'_Data'!L9</f>
        <v>0</v>
      </c>
      <c r="F15" s="66">
        <f>'_Data'!M9</f>
        <v>259.6</v>
      </c>
      <c r="G15" s="67">
        <f>IFERROR($F15/$C15,0)</f>
        <v>0.7749</v>
      </c>
      <c r="H15" s="65">
        <f>SUMIFS('💰 Sales Log'!$E$8:$E$67,'💰 Sales Log'!$B$8:$B$67,"&gt;="&amp;DATE(ReportYear,8,1),'💰 Sales Log'!$B$8:$B$67,"&lt;"&amp;EDATE(DATE(ReportYear,8,1),1))</f>
        <v>5</v>
      </c>
      <c r="I15" s="66">
        <f>IFERROR($C15/COUNTIFS('💰 Sales Log'!$B$8:$B$67,"&gt;="&amp;DATE(ReportYear,8,1),'💰 Sales Log'!$B$8:$B$67,"&lt;"&amp;EDATE(DATE(ReportYear,8,1),1)),0)</f>
        <v>111.67</v>
      </c>
      <c r="J15" s="66">
        <f>IFERROR($F15/$H15,0)</f>
        <v>51.92</v>
      </c>
      <c r="K15" s="65">
        <f>SUMPRODUCT(('🏪 Craft Fairs'!$C$8:$C$31&gt;=DATE(ReportYear,8,1))*('🏪 Craft Fairs'!$C$8:$C$31&lt;EDATE(DATE(ReportYear,8,1),1))*('🏪 Craft Fairs'!$B$8:$B$31&lt;&gt;""))</f>
        <v>1</v>
      </c>
    </row>
    <row r="16" spans="1:12" ht="20" customHeight="1" x14ac:dyDescent="0.25">
      <c r="A16" s="68"/>
      <c r="B16" s="64" t="s">
        <v>16</v>
      </c>
      <c r="C16" s="66">
        <f>'_Data'!J10</f>
        <v>0</v>
      </c>
      <c r="D16" s="66">
        <f>'_Data'!K10</f>
        <v>0</v>
      </c>
      <c r="E16" s="66">
        <f>'_Data'!L10</f>
        <v>145</v>
      </c>
      <c r="F16" s="66">
        <f>'_Data'!M10</f>
        <v>-145</v>
      </c>
      <c r="G16" s="67">
        <f>IFERROR($F16/$C16,0)</f>
        <v>0</v>
      </c>
      <c r="H16" s="65">
        <f>SUMIFS('💰 Sales Log'!$E$8:$E$67,'💰 Sales Log'!$B$8:$B$67,"&gt;="&amp;DATE(ReportYear,9,1),'💰 Sales Log'!$B$8:$B$67,"&lt;"&amp;EDATE(DATE(ReportYear,9,1),1))</f>
        <v>0</v>
      </c>
      <c r="I16" s="66">
        <f>IFERROR($C16/COUNTIFS('💰 Sales Log'!$B$8:$B$67,"&gt;="&amp;DATE(ReportYear,9,1),'💰 Sales Log'!$B$8:$B$67,"&lt;"&amp;EDATE(DATE(ReportYear,9,1),1)),0)</f>
        <v>0</v>
      </c>
      <c r="J16" s="66">
        <f>IFERROR($F16/$H16,0)</f>
        <v>0</v>
      </c>
      <c r="K16" s="65">
        <f>SUMPRODUCT(('🏪 Craft Fairs'!$C$8:$C$31&gt;=DATE(ReportYear,9,1))*('🏪 Craft Fairs'!$C$8:$C$31&lt;EDATE(DATE(ReportYear,9,1),1))*('🏪 Craft Fairs'!$B$8:$B$31&lt;&gt;""))</f>
        <v>1</v>
      </c>
    </row>
    <row r="17" spans="1:11" ht="20" customHeight="1" x14ac:dyDescent="0.25">
      <c r="A17" s="63"/>
      <c r="B17" s="64" t="s">
        <v>17</v>
      </c>
      <c r="C17" s="66">
        <f>'_Data'!J11</f>
        <v>0</v>
      </c>
      <c r="D17" s="66">
        <f>'_Data'!K11</f>
        <v>0</v>
      </c>
      <c r="E17" s="66">
        <f>'_Data'!L11</f>
        <v>0</v>
      </c>
      <c r="F17" s="66">
        <f>'_Data'!M11</f>
        <v>0</v>
      </c>
      <c r="G17" s="67">
        <f>IFERROR($F17/$C17,0)</f>
        <v>0</v>
      </c>
      <c r="H17" s="65">
        <f>SUMIFS('💰 Sales Log'!$E$8:$E$67,'💰 Sales Log'!$B$8:$B$67,"&gt;="&amp;DATE(ReportYear,10,1),'💰 Sales Log'!$B$8:$B$67,"&lt;"&amp;EDATE(DATE(ReportYear,10,1),1))</f>
        <v>0</v>
      </c>
      <c r="I17" s="66">
        <f>IFERROR($C17/COUNTIFS('💰 Sales Log'!$B$8:$B$67,"&gt;="&amp;DATE(ReportYear,10,1),'💰 Sales Log'!$B$8:$B$67,"&lt;"&amp;EDATE(DATE(ReportYear,10,1),1)),0)</f>
        <v>0</v>
      </c>
      <c r="J17" s="66">
        <f>IFERROR($F17/$H17,0)</f>
        <v>0</v>
      </c>
      <c r="K17" s="65">
        <f>SUMPRODUCT(('🏪 Craft Fairs'!$C$8:$C$31&gt;=DATE(ReportYear,10,1))*('🏪 Craft Fairs'!$C$8:$C$31&lt;EDATE(DATE(ReportYear,10,1),1))*('🏪 Craft Fairs'!$B$8:$B$31&lt;&gt;""))</f>
        <v>0</v>
      </c>
    </row>
    <row r="18" spans="1:11" ht="20" customHeight="1" x14ac:dyDescent="0.25">
      <c r="A18" s="68"/>
      <c r="B18" s="64" t="s">
        <v>18</v>
      </c>
      <c r="C18" s="66">
        <f>'_Data'!J12</f>
        <v>0</v>
      </c>
      <c r="D18" s="66">
        <f>'_Data'!K12</f>
        <v>0</v>
      </c>
      <c r="E18" s="66">
        <f>'_Data'!L12</f>
        <v>158</v>
      </c>
      <c r="F18" s="66">
        <f>'_Data'!M12</f>
        <v>-158</v>
      </c>
      <c r="G18" s="67">
        <f>IFERROR($F18/$C18,0)</f>
        <v>0</v>
      </c>
      <c r="H18" s="65">
        <f>SUMIFS('💰 Sales Log'!$E$8:$E$67,'💰 Sales Log'!$B$8:$B$67,"&gt;="&amp;DATE(ReportYear,11,1),'💰 Sales Log'!$B$8:$B$67,"&lt;"&amp;EDATE(DATE(ReportYear,11,1),1))</f>
        <v>0</v>
      </c>
      <c r="I18" s="66">
        <f>IFERROR($C18/COUNTIFS('💰 Sales Log'!$B$8:$B$67,"&gt;="&amp;DATE(ReportYear,11,1),'💰 Sales Log'!$B$8:$B$67,"&lt;"&amp;EDATE(DATE(ReportYear,11,1),1)),0)</f>
        <v>0</v>
      </c>
      <c r="J18" s="66">
        <f>IFERROR($F18/$H18,0)</f>
        <v>0</v>
      </c>
      <c r="K18" s="65">
        <f>SUMPRODUCT(('🏪 Craft Fairs'!$C$8:$C$31&gt;=DATE(ReportYear,11,1))*('🏪 Craft Fairs'!$C$8:$C$31&lt;EDATE(DATE(ReportYear,11,1),1))*('🏪 Craft Fairs'!$B$8:$B$31&lt;&gt;""))</f>
        <v>1</v>
      </c>
    </row>
    <row r="19" spans="1:11" ht="20" customHeight="1" x14ac:dyDescent="0.25">
      <c r="A19" s="63"/>
      <c r="B19" s="64" t="s">
        <v>19</v>
      </c>
      <c r="C19" s="66">
        <f>'_Data'!J13</f>
        <v>0</v>
      </c>
      <c r="D19" s="66">
        <f>'_Data'!K13</f>
        <v>0</v>
      </c>
      <c r="E19" s="66">
        <f>'_Data'!L13</f>
        <v>0</v>
      </c>
      <c r="F19" s="66">
        <f>'_Data'!M13</f>
        <v>0</v>
      </c>
      <c r="G19" s="67">
        <f>IFERROR($F19/$C19,0)</f>
        <v>0</v>
      </c>
      <c r="H19" s="65">
        <f>SUMIFS('💰 Sales Log'!$E$8:$E$67,'💰 Sales Log'!$B$8:$B$67,"&gt;="&amp;DATE(ReportYear,12,1),'💰 Sales Log'!$B$8:$B$67,"&lt;"&amp;EDATE(DATE(ReportYear,12,1),1))</f>
        <v>0</v>
      </c>
      <c r="I19" s="66">
        <f>IFERROR($C19/COUNTIFS('💰 Sales Log'!$B$8:$B$67,"&gt;="&amp;DATE(ReportYear,12,1),'💰 Sales Log'!$B$8:$B$67,"&lt;"&amp;EDATE(DATE(ReportYear,12,1),1)),0)</f>
        <v>0</v>
      </c>
      <c r="J19" s="66">
        <f>IFERROR($F19/$H19,0)</f>
        <v>0</v>
      </c>
      <c r="K19" s="65">
        <f>SUMPRODUCT(('🏪 Craft Fairs'!$C$8:$C$31&gt;=DATE(ReportYear,12,1))*('🏪 Craft Fairs'!$C$8:$C$31&lt;EDATE(DATE(ReportYear,12,1),1))*('🏪 Craft Fairs'!$B$8:$B$31&lt;&gt;""))</f>
        <v>0</v>
      </c>
    </row>
    <row r="20" spans="1:11" ht="24" customHeight="1" x14ac:dyDescent="0.25">
      <c r="A20" s="3"/>
      <c r="B20" s="82" t="s">
        <v>439</v>
      </c>
      <c r="C20" s="83">
        <f>SUM('📅 Monthly Summary'!$C$8:$C$19)</f>
        <v>1760.0</v>
      </c>
      <c r="D20" s="83">
        <f>SUM('📅 Monthly Summary'!$D$8:$D$19)</f>
        <v>363.5</v>
      </c>
      <c r="E20" s="83">
        <f>SUM('📅 Monthly Summary'!$E$8:$E$19)</f>
        <v>680</v>
      </c>
      <c r="F20" s="83">
        <f>SUM('📅 Monthly Summary'!$F$8:$F$19)</f>
        <v>716.5</v>
      </c>
      <c r="G20" s="80"/>
      <c r="H20" s="84">
        <f>SUM('📅 Monthly Summary'!$H$8:$H$19)</f>
        <v>77</v>
      </c>
      <c r="I20" s="80"/>
      <c r="J20" s="80"/>
      <c r="K20" s="84">
        <f>SUM('📅 Monthly Summary'!$K$8:$K$19)</f>
        <v>8</v>
      </c>
    </row>
    <row r="21" spans="1:11" x14ac:dyDescent="0.25">
      <c r="A21" s="3"/>
      <c r="B21" s="3"/>
      <c r="C21" s="3"/>
      <c r="D21" s="3"/>
      <c r="E21" s="3"/>
      <c r="F21" s="3"/>
      <c r="G21" s="3"/>
      <c r="H21" s="3"/>
      <c r="I21" s="3"/>
      <c r="J21" s="3"/>
      <c r="K21" s="3"/>
    </row>
    <row r="22" spans="1:11" ht="22" customHeight="1" x14ac:dyDescent="0.25">
      <c r="A22" s="3"/>
      <c r="B22" s="60" t="s">
        <v>440</v>
      </c>
      <c r="C22" s="60"/>
      <c r="D22" s="60"/>
      <c r="E22" s="60"/>
      <c r="F22" s="60"/>
      <c r="G22" s="60"/>
      <c r="H22" s="60"/>
      <c r="I22" s="60"/>
      <c r="J22" s="60"/>
      <c r="K22" s="60"/>
    </row>
    <row r="23" spans="1:11" ht="66.4" customHeight="1" x14ac:dyDescent="0.25">
      <c r="A23" s="3"/>
      <c r="B23" s="15" t="s">
        <v>441</v>
      </c>
      <c r="C23" s="15"/>
      <c r="D23" s="15"/>
      <c r="E23" s="15"/>
      <c r="F23" s="15"/>
      <c r="G23" s="15"/>
      <c r="H23" s="15"/>
      <c r="I23" s="15"/>
      <c r="J23" s="15"/>
      <c r="K23" s="15"/>
    </row>
    <row r="24" spans="1:11" x14ac:dyDescent="0.25">
      <c r="A24" s="3"/>
      <c r="B24" s="3"/>
      <c r="C24" s="3"/>
      <c r="D24" s="3"/>
      <c r="E24" s="3"/>
      <c r="F24" s="3"/>
      <c r="G24" s="3"/>
      <c r="H24" s="3"/>
      <c r="I24" s="3"/>
      <c r="J24" s="3"/>
      <c r="K24" s="3"/>
    </row>
    <row r="25" spans="1:11" x14ac:dyDescent="0.25">
      <c r="A25" s="3"/>
      <c r="B25" s="3"/>
      <c r="C25" s="3"/>
      <c r="D25" s="3"/>
      <c r="E25" s="3"/>
      <c r="F25" s="3"/>
      <c r="G25" s="3"/>
      <c r="H25" s="3"/>
      <c r="I25" s="3"/>
      <c r="J25" s="3"/>
      <c r="K25" s="3"/>
    </row>
    <row r="26" spans="1:11" x14ac:dyDescent="0.25">
      <c r="A26" s="3"/>
      <c r="B26" s="3"/>
      <c r="C26" s="3"/>
      <c r="D26" s="3"/>
      <c r="E26" s="3"/>
      <c r="F26" s="3"/>
      <c r="G26" s="3"/>
      <c r="H26" s="3"/>
      <c r="I26" s="3"/>
      <c r="J26" s="3"/>
      <c r="K26" s="3"/>
    </row>
    <row r="27" spans="1:11" ht="30" customHeight="1" x14ac:dyDescent="0.25">
      <c r="A27" s="3"/>
      <c r="B27" s="25" t="s">
        <v>222</v>
      </c>
      <c r="C27" s="25"/>
      <c r="D27" s="25"/>
      <c r="E27" s="25"/>
      <c r="F27" s="25"/>
      <c r="G27" s="25"/>
      <c r="H27" s="25"/>
      <c r="I27" s="25"/>
      <c r="J27" s="25"/>
      <c r="K27" s="25"/>
    </row>
    <row r="28" spans="1:11" x14ac:dyDescent="0.25">
      <c r="A28" s="3"/>
      <c r="B28" s="3"/>
      <c r="C28" s="3"/>
      <c r="D28" s="3"/>
      <c r="E28" s="3"/>
      <c r="F28" s="3"/>
      <c r="G28" s="3"/>
      <c r="H28" s="3"/>
      <c r="I28" s="3"/>
      <c r="J28" s="3"/>
      <c r="K28" s="3"/>
    </row>
    <row r="29" spans="1:11" ht="24" customHeight="1" x14ac:dyDescent="0.25">
      <c r="A29" s="3"/>
      <c r="B29" s="26" t="s">
        <v>155</v>
      </c>
      <c r="C29" s="26"/>
      <c r="D29" s="27" t="s">
        <v>126</v>
      </c>
      <c r="E29" s="27"/>
      <c r="F29" s="28" t="s">
        <v>127</v>
      </c>
      <c r="G29" s="28"/>
      <c r="H29" s="29" t="s">
        <v>128</v>
      </c>
      <c r="I29" s="29"/>
      <c r="J29" s="30" t="s">
        <v>36</v>
      </c>
      <c r="K29" s="30"/>
    </row>
    <row r="30" spans="1:11" ht="24" customHeight="1" x14ac:dyDescent="0.25">
      <c r="A30" s="3"/>
      <c r="B30" s="31" t="s">
        <v>129</v>
      </c>
      <c r="C30" s="31"/>
      <c r="D30" s="32" t="s">
        <v>39</v>
      </c>
      <c r="E30" s="32"/>
      <c r="F30" s="33" t="s">
        <v>130</v>
      </c>
      <c r="G30" s="33"/>
      <c r="H30" s="27" t="s">
        <v>131</v>
      </c>
      <c r="I30" s="27"/>
      <c r="J30" s="29" t="s">
        <v>132</v>
      </c>
      <c r="K30" s="29"/>
    </row>
    <row r="31" spans="1:11" ht="24" customHeight="1" x14ac:dyDescent="0.25">
      <c r="B31" s="26" t="s">
        <v>133</v>
      </c>
      <c r="C31" s="26"/>
      <c r="D31" s="27" t="s">
        <v>442</v>
      </c>
      <c r="E31" s="27"/>
      <c r="F31" s="28" t="s">
        <v>135</v>
      </c>
      <c r="G31" s="28"/>
    </row>
  </sheetData>
  <sheetProtection password="EC7C" sheet="1" formatCells="0" formatColumns="0" formatRows="0" insertColumns="0" insertRows="0" insertHyperlinks="0" deleteColumns="0" deleteRows="0" sort="0" autoFilter="0"/>
  <mergeCells count="23">
    <mergeCell ref="B2:H2"/>
    <mergeCell ref="B3:H3"/>
    <mergeCell ref="I3:K3"/>
    <mergeCell ref="B5:D5"/>
    <mergeCell ref="E5:G5"/>
    <mergeCell ref="H5:J5"/>
    <mergeCell ref="K5:L5"/>
    <mergeCell ref="B22:K22"/>
    <mergeCell ref="B23:K23"/>
    <mergeCell ref="B27:K27"/>
    <mergeCell ref="B29:C29"/>
    <mergeCell ref="D29:E29"/>
    <mergeCell ref="F29:G29"/>
    <mergeCell ref="H29:I29"/>
    <mergeCell ref="J29:K29"/>
    <mergeCell ref="B30:C30"/>
    <mergeCell ref="D30:E30"/>
    <mergeCell ref="F30:G30"/>
    <mergeCell ref="H30:I30"/>
    <mergeCell ref="J30:K30"/>
    <mergeCell ref="B31:C31"/>
    <mergeCell ref="D31:E31"/>
    <mergeCell ref="F31:G31"/>
  </mergeCells>
  <conditionalFormatting sqref="C8:C19">
    <cfRule type="dataBar" priority="1">
      <dataBar>
        <cfvo type="min"/>
        <cfvo type="max"/>
        <color rgb="FF8A5F79"/>
      </dataBar>
      <extLst>
        <ext xmlns:x14="http://schemas.microsoft.com/office/spreadsheetml/2009/9/main" uri="{B025F937-C7B1-47D3-B67F-A62EFF666E3E}">
          <x14:id>{DA7ABA51-AAAA-BBBB-000D-000000000001}</x14:id>
        </ext>
      </extLst>
    </cfRule>
  </conditionalFormatting>
  <conditionalFormatting sqref="F8:F19">
    <cfRule type="cellIs" dxfId="3" priority="2" operator="lessThan">
      <formula>0</formula>
    </cfRule>
    <cfRule type="cellIs" dxfId="4" priority="3" operator="greaterThan">
      <formula>0</formula>
    </cfRule>
  </conditionalFormatting>
  <hyperlinks>
    <hyperlink ref="I3" location="'📊 Dashboard'!A1" display="🏠  Dashboard"/>
    <hyperlink ref="B29" location="'⚙️ Lists &amp; Settings'!A1" display="Settings"/>
    <hyperlink ref="D29" location="'📊 Dashboard'!A1" display="🏠 Home"/>
    <hyperlink ref="F29" location="'🧶 Product Catalog'!A1" display="Products"/>
    <hyperlink ref="H29" location="'🧵 Yarn &amp; Materials'!A1" display="Yarn"/>
    <hyperlink ref="J29" location="'📦 Made &amp; Stocked'!A1" display="Stock"/>
    <hyperlink ref="B30" location="'🏪 Craft Fairs'!A1" display="Fairs"/>
    <hyperlink ref="D30" location="'💰 Sales Log'!A1" display="Sales"/>
    <hyperlink ref="F30" location="'🧮 Event Profit'!A1" display="Event $"/>
    <hyperlink ref="H30" location="'🔄 Reorder List'!A1" display="Reorder"/>
    <hyperlink ref="J30" location="'🎒 Packing Checklist'!A1" display="Packing"/>
    <hyperlink ref="B31" location="'💵 Pricing Calculator'!A1" display="Pricing"/>
    <hyperlink ref="D31" location="'📅 Monthly Summary'!A1" display="▶ Monthly"/>
    <hyperlink ref="F31" location="'📖 Start Here'!A1" display="Help"/>
  </hyperlinks>
  <pageMargins left="0.4" right="0.4" top="0.5" bottom="0.5" header="0.3" footer="0.3"/>
  <pageSetup paperSize="9" fitToHeight="0" orientation="landscape"/>
  <headerFooter>
    <oddHeader>&amp;L&amp;"Calibri,Bold"&amp;11Crochet Craft Fair Tracker&amp;R&amp;"Calibri,Italic"&amp;9Page &amp;P of &amp;N</oddHeader>
    <oddFooter>&amp;C&amp;"Calibri,Italic"&amp;8%A  •  Ultimate Crochet Craft Fair Tracker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D-000000000001}">
            <x14:dataBar minLength="0" maxLength="100" border="1" gradient="0" negativeBarBorderColorSameAsPositive="0">
              <x14:cfvo type="min"/>
              <x14:cfvo type="max"/>
              <x14:borderColor rgb="FF8A5F79"/>
              <x14:negativeFillColor rgb="FFFF0000"/>
              <x14:negativeBorderColor rgb="FFFF0000"/>
              <x14:axisColor rgb="FF000000"/>
            </x14:dataBar>
          </x14:cfRule>
          <xm:sqref>C8:C19</xm:sqref>
        </x14:conditionalFormatting>
      </x14:conditionalFormattings>
    </ext>
  </extLst>
</worksheet>
</file>

<file path=xl/worksheets/sheet14.xml><?xml version="1.0" encoding="utf-8"?>
<worksheet xmlns="http://schemas.openxmlformats.org/spreadsheetml/2006/main" xmlns:r="http://schemas.openxmlformats.org/officeDocument/2006/relationships">
  <sheetPr>
    <tabColor rgb="FF97818D"/>
    <pageSetUpPr fitToPage="1"/>
  </sheetPr>
  <dimension ref="A1:K141"/>
  <sheetViews>
    <sheetView showGridLines="0" workbookViewId="0"/>
  </sheetViews>
  <sheetFormatPr defaultRowHeight="15"/>
  <sheetData>
    <row r="1" spans="1:10" ht="20" customHeight="1">
      <c r="A1" s="3"/>
      <c r="B1" s="3"/>
      <c r="C1" s="3"/>
      <c r="D1" s="3"/>
      <c r="E1" s="3"/>
      <c r="F1" s="3"/>
      <c r="G1" s="3"/>
      <c r="H1" s="3"/>
      <c r="I1" s="3"/>
      <c r="J1" s="3"/>
    </row>
    <row r="2" spans="1:10" ht="20" customHeight="1">
      <c r="A2" s="3"/>
      <c r="B2" s="3"/>
      <c r="C2" s="3"/>
      <c r="D2" s="3"/>
      <c r="E2" s="3"/>
      <c r="F2" s="3"/>
      <c r="G2" s="3"/>
      <c r="H2" s="3"/>
      <c r="I2" s="3"/>
      <c r="J2" s="3"/>
    </row>
    <row r="3" spans="1:10" ht="20" customHeight="1">
      <c r="A3" s="3"/>
      <c r="B3" s="3"/>
      <c r="C3" s="3"/>
      <c r="D3" s="3"/>
      <c r="E3" s="3"/>
      <c r="F3" s="3"/>
      <c r="G3" s="3"/>
      <c r="H3" s="3"/>
      <c r="I3" s="3"/>
      <c r="J3" s="3"/>
    </row>
    <row r="4" spans="1:10" ht="20" customHeight="1">
      <c r="A4" s="3"/>
      <c r="B4" s="3"/>
      <c r="C4" s="3"/>
      <c r="D4" s="3"/>
      <c r="E4" s="3"/>
      <c r="F4" s="3"/>
      <c r="G4" s="3"/>
      <c r="H4" s="3"/>
      <c r="I4" s="3"/>
      <c r="J4" s="3"/>
    </row>
    <row r="5" spans="1:10" ht="20" customHeight="1">
      <c r="A5" s="3"/>
      <c r="B5" s="3"/>
      <c r="C5" s="3"/>
      <c r="D5" s="3"/>
      <c r="E5" s="3"/>
      <c r="F5" s="3"/>
      <c r="G5" s="3"/>
      <c r="H5" s="3"/>
      <c r="I5" s="3"/>
      <c r="J5" s="3"/>
    </row>
    <row r="6" spans="1:10" ht="20" customHeight="1">
      <c r="A6" s="3"/>
      <c r="B6" s="3"/>
      <c r="C6" s="3"/>
      <c r="D6" s="3"/>
      <c r="E6" s="3"/>
      <c r="F6" s="3"/>
      <c r="G6" s="3"/>
      <c r="H6" s="3"/>
      <c r="I6" s="3"/>
      <c r="J6" s="3"/>
    </row>
    <row r="7" spans="1:10" ht="20" customHeight="1">
      <c r="A7" s="3"/>
      <c r="B7" s="3"/>
      <c r="C7" s="3"/>
      <c r="D7" s="3"/>
      <c r="E7" s="3"/>
      <c r="F7" s="3"/>
      <c r="G7" s="3"/>
      <c r="H7" s="3"/>
      <c r="I7" s="3"/>
      <c r="J7" s="3"/>
    </row>
    <row r="8" spans="1:10" ht="20" customHeight="1">
      <c r="A8" s="3"/>
      <c r="B8" s="3"/>
      <c r="C8" s="3"/>
      <c r="D8" s="3"/>
      <c r="E8" s="3"/>
      <c r="F8" s="3"/>
      <c r="G8" s="3"/>
      <c r="H8" s="3"/>
      <c r="I8" s="3"/>
      <c r="J8" s="3"/>
    </row>
    <row r="9" spans="1:10" ht="20" customHeight="1">
      <c r="A9" s="3"/>
      <c r="B9" s="3"/>
      <c r="C9" s="3"/>
      <c r="D9" s="3"/>
      <c r="E9" s="3"/>
      <c r="F9" s="3"/>
      <c r="G9" s="3"/>
      <c r="H9" s="3"/>
      <c r="I9" s="3"/>
      <c r="J9" s="3"/>
    </row>
    <row r="10" spans="1:10" ht="20" customHeight="1">
      <c r="A10" s="3"/>
      <c r="B10" s="3"/>
      <c r="C10" s="3"/>
      <c r="D10" s="3"/>
      <c r="E10" s="3"/>
      <c r="F10" s="3"/>
      <c r="G10" s="3"/>
      <c r="H10" s="3"/>
      <c r="I10" s="3"/>
      <c r="J10" s="3"/>
    </row>
    <row r="11" spans="1:10" ht="20" customHeight="1">
      <c r="A11" s="3"/>
      <c r="B11" s="3"/>
      <c r="C11" s="3"/>
      <c r="D11" s="3"/>
      <c r="E11" s="3"/>
      <c r="F11" s="3"/>
      <c r="G11" s="3"/>
      <c r="H11" s="3"/>
      <c r="I11" s="3"/>
      <c r="J11" s="3"/>
    </row>
    <row r="12" spans="1:10" ht="20" customHeight="1">
      <c r="A12" s="3"/>
      <c r="B12" s="3"/>
      <c r="C12" s="3"/>
      <c r="D12" s="3"/>
      <c r="E12" s="3"/>
      <c r="F12" s="3"/>
      <c r="G12" s="3"/>
      <c r="H12" s="3"/>
      <c r="I12" s="3"/>
      <c r="J12" s="3"/>
    </row>
    <row r="13" spans="1:10" ht="20" customHeight="1">
      <c r="A13" s="3"/>
      <c r="B13" s="3"/>
      <c r="C13" s="3"/>
      <c r="D13" s="3"/>
      <c r="E13" s="3"/>
      <c r="F13" s="3"/>
      <c r="G13" s="3"/>
      <c r="H13" s="3"/>
      <c r="I13" s="3"/>
      <c r="J13" s="3"/>
    </row>
    <row r="14" spans="1:10" ht="20" customHeight="1">
      <c r="A14" s="3"/>
      <c r="B14" s="3"/>
      <c r="C14" s="3"/>
      <c r="D14" s="3"/>
      <c r="E14" s="3"/>
      <c r="F14" s="3"/>
      <c r="G14" s="3"/>
      <c r="H14" s="3"/>
      <c r="I14" s="3"/>
      <c r="J14" s="3"/>
    </row>
    <row r="15" spans="1:10" ht="20" customHeight="1">
      <c r="A15" s="3"/>
      <c r="B15" s="3"/>
      <c r="C15" s="3"/>
      <c r="D15" s="3"/>
      <c r="E15" s="3"/>
      <c r="F15" s="3"/>
      <c r="G15" s="3"/>
      <c r="H15" s="3"/>
      <c r="I15" s="3"/>
      <c r="J15" s="3"/>
    </row>
    <row r="16" spans="1:10" ht="20" customHeight="1">
      <c r="A16" s="3"/>
      <c r="B16" s="3"/>
      <c r="C16" s="3"/>
      <c r="D16" s="3"/>
      <c r="E16" s="3"/>
      <c r="F16" s="3"/>
      <c r="G16" s="3"/>
      <c r="H16" s="3"/>
      <c r="I16" s="3"/>
      <c r="J16" s="3"/>
    </row>
    <row r="17" spans="1:11" ht="20" customHeight="1">
      <c r="A17" s="3"/>
      <c r="B17" s="3"/>
      <c r="C17" s="3"/>
      <c r="D17" s="3"/>
      <c r="E17" s="3"/>
      <c r="F17" s="3"/>
      <c r="G17" s="3"/>
      <c r="H17" s="3"/>
      <c r="I17" s="3"/>
      <c r="J17" s="3"/>
    </row>
    <row r="18" spans="1:11" ht="20" customHeight="1">
      <c r="A18" s="3"/>
      <c r="B18" s="3"/>
      <c r="C18" s="3"/>
      <c r="D18" s="3"/>
      <c r="E18" s="3"/>
      <c r="F18" s="3"/>
      <c r="G18" s="3"/>
      <c r="H18" s="3"/>
      <c r="I18" s="3"/>
      <c r="J18" s="3"/>
    </row>
    <row r="19" spans="1:11">
      <c r="A19" s="3"/>
      <c r="B19" s="3"/>
      <c r="C19" s="3"/>
      <c r="D19" s="3"/>
      <c r="E19" s="3"/>
      <c r="F19" s="3"/>
      <c r="G19" s="3"/>
      <c r="H19" s="3"/>
      <c r="I19" s="3"/>
      <c r="J19" s="3"/>
    </row>
    <row r="20" spans="1:11" ht="24" customHeight="1">
      <c r="A20" s="3"/>
      <c r="B20" s="3"/>
      <c r="C20" s="3"/>
      <c r="D20" s="3"/>
      <c r="E20" s="3"/>
      <c r="F20" s="3"/>
      <c r="G20" s="3"/>
      <c r="H20" s="6" t="s">
        <v>70</v>
      </c>
      <c r="I20" s="6"/>
      <c r="J20" s="6"/>
    </row>
    <row r="21" spans="1:11">
      <c r="A21" s="3"/>
      <c r="B21" s="3"/>
      <c r="C21" s="3"/>
      <c r="D21" s="3"/>
      <c r="E21" s="3"/>
      <c r="F21" s="3"/>
      <c r="G21" s="3"/>
      <c r="H21" s="3"/>
      <c r="I21" s="3"/>
      <c r="J21" s="3"/>
    </row>
    <row r="22" spans="1:11" ht="37.2" customHeight="1">
      <c r="A22" s="3"/>
      <c r="B22" s="100" t="s">
        <v>443</v>
      </c>
      <c r="C22" s="100"/>
      <c r="D22" s="100"/>
      <c r="E22" s="100"/>
      <c r="F22" s="100"/>
      <c r="G22" s="100"/>
      <c r="H22" s="100"/>
      <c r="I22" s="100"/>
      <c r="J22" s="100"/>
    </row>
    <row r="23" spans="1:11">
      <c r="A23" s="3"/>
      <c r="B23" s="3"/>
      <c r="C23" s="3"/>
      <c r="D23" s="3"/>
      <c r="E23" s="3"/>
      <c r="F23" s="3"/>
      <c r="G23" s="3"/>
      <c r="H23" s="3"/>
      <c r="I23" s="3"/>
      <c r="J23" s="3"/>
    </row>
    <row r="24" spans="1:11" ht="22" customHeight="1">
      <c r="A24" s="3"/>
      <c r="B24" s="101" t="s">
        <v>137</v>
      </c>
      <c r="C24" s="101"/>
      <c r="D24" s="101"/>
      <c r="E24" s="102" t="s">
        <v>444</v>
      </c>
      <c r="F24" s="102"/>
      <c r="G24" s="103" t="s">
        <v>445</v>
      </c>
      <c r="H24" s="103"/>
      <c r="I24" s="103"/>
      <c r="J24" s="104" t="s">
        <v>446</v>
      </c>
      <c r="K24" s="104"/>
    </row>
    <row r="25" spans="1:11">
      <c r="A25" s="3"/>
      <c r="B25" s="3"/>
      <c r="C25" s="3"/>
      <c r="D25" s="3"/>
      <c r="E25" s="3"/>
      <c r="F25" s="3"/>
      <c r="G25" s="3"/>
      <c r="H25" s="3"/>
      <c r="I25" s="3"/>
      <c r="J25" s="3"/>
    </row>
    <row r="26" spans="1:11" ht="22" customHeight="1">
      <c r="A26" s="3"/>
      <c r="B26" s="7" t="s">
        <v>447</v>
      </c>
      <c r="C26" s="7"/>
      <c r="D26" s="7"/>
      <c r="E26" s="7"/>
      <c r="F26" s="7"/>
      <c r="G26" s="7"/>
      <c r="H26" s="7"/>
      <c r="I26" s="7"/>
      <c r="J26" s="7"/>
    </row>
    <row r="27" spans="1:11" ht="18" customHeight="1">
      <c r="A27" s="3"/>
      <c r="B27" s="105" t="s">
        <v>448</v>
      </c>
      <c r="C27" s="105"/>
      <c r="D27" s="105"/>
      <c r="E27" s="105"/>
      <c r="F27" s="105"/>
      <c r="G27" s="105"/>
      <c r="H27" s="105"/>
      <c r="I27" s="105"/>
      <c r="J27" s="105"/>
    </row>
    <row r="28" spans="1:11" ht="51.8" customHeight="1">
      <c r="A28" s="3"/>
      <c r="B28" s="100" t="s">
        <v>449</v>
      </c>
      <c r="C28" s="100"/>
      <c r="D28" s="100"/>
      <c r="E28" s="100"/>
      <c r="F28" s="100"/>
      <c r="G28" s="100"/>
      <c r="H28" s="100"/>
      <c r="I28" s="100"/>
      <c r="J28" s="100"/>
    </row>
    <row r="29" spans="1:11">
      <c r="A29" s="3"/>
      <c r="B29" s="3"/>
      <c r="C29" s="3"/>
      <c r="D29" s="3"/>
      <c r="E29" s="3"/>
      <c r="F29" s="3"/>
      <c r="G29" s="3"/>
      <c r="H29" s="3"/>
      <c r="I29" s="3"/>
      <c r="J29" s="3"/>
    </row>
    <row r="30" spans="1:11" ht="18" customHeight="1">
      <c r="A30" s="3"/>
      <c r="B30" s="105" t="s">
        <v>450</v>
      </c>
      <c r="C30" s="105"/>
      <c r="D30" s="105"/>
      <c r="E30" s="105"/>
      <c r="F30" s="105"/>
      <c r="G30" s="105"/>
      <c r="H30" s="105"/>
      <c r="I30" s="105"/>
      <c r="J30" s="105"/>
    </row>
    <row r="31" spans="1:11" ht="37.2" customHeight="1">
      <c r="A31" s="3"/>
      <c r="B31" s="100" t="s">
        <v>451</v>
      </c>
      <c r="C31" s="100"/>
      <c r="D31" s="100"/>
      <c r="E31" s="100"/>
      <c r="F31" s="100"/>
      <c r="G31" s="100"/>
      <c r="H31" s="100"/>
      <c r="I31" s="100"/>
      <c r="J31" s="100"/>
    </row>
    <row r="32" spans="1:11">
      <c r="A32" s="3"/>
      <c r="B32" s="3"/>
      <c r="C32" s="3"/>
      <c r="D32" s="3"/>
      <c r="E32" s="3"/>
      <c r="F32" s="3"/>
      <c r="G32" s="3"/>
      <c r="H32" s="3"/>
      <c r="I32" s="3"/>
      <c r="J32" s="3"/>
    </row>
    <row r="33" spans="1:10" ht="18" customHeight="1">
      <c r="A33" s="3"/>
      <c r="B33" s="105" t="s">
        <v>452</v>
      </c>
      <c r="C33" s="105"/>
      <c r="D33" s="105"/>
      <c r="E33" s="105"/>
      <c r="F33" s="105"/>
      <c r="G33" s="105"/>
      <c r="H33" s="105"/>
      <c r="I33" s="105"/>
      <c r="J33" s="105"/>
    </row>
    <row r="34" spans="1:10" ht="37.2" customHeight="1">
      <c r="A34" s="3"/>
      <c r="B34" s="100" t="s">
        <v>453</v>
      </c>
      <c r="C34" s="100"/>
      <c r="D34" s="100"/>
      <c r="E34" s="100"/>
      <c r="F34" s="100"/>
      <c r="G34" s="100"/>
      <c r="H34" s="100"/>
      <c r="I34" s="100"/>
      <c r="J34" s="100"/>
    </row>
    <row r="35" spans="1:10">
      <c r="A35" s="3"/>
      <c r="B35" s="3"/>
      <c r="C35" s="3"/>
      <c r="D35" s="3"/>
      <c r="E35" s="3"/>
      <c r="F35" s="3"/>
      <c r="G35" s="3"/>
      <c r="H35" s="3"/>
      <c r="I35" s="3"/>
      <c r="J35" s="3"/>
    </row>
    <row r="36" spans="1:10" ht="22" customHeight="1">
      <c r="A36" s="3"/>
      <c r="B36" s="11" t="s">
        <v>454</v>
      </c>
      <c r="C36" s="11"/>
      <c r="D36" s="11"/>
      <c r="E36" s="11"/>
      <c r="F36" s="11"/>
      <c r="G36" s="11"/>
      <c r="H36" s="11"/>
      <c r="I36" s="11"/>
      <c r="J36" s="11"/>
    </row>
    <row r="37" spans="1:10" ht="20" customHeight="1">
      <c r="A37" s="3"/>
      <c r="B37" s="62" t="s">
        <v>455</v>
      </c>
      <c r="C37" s="62"/>
      <c r="D37" s="62"/>
      <c r="E37" s="62" t="s">
        <v>456</v>
      </c>
      <c r="F37" s="62"/>
      <c r="G37" s="62"/>
      <c r="H37" s="62"/>
      <c r="I37" s="62"/>
      <c r="J37" s="62"/>
    </row>
    <row r="38" spans="1:10" ht="20" customHeight="1">
      <c r="A38" s="3"/>
      <c r="B38" s="106" t="s">
        <v>68</v>
      </c>
      <c r="C38" s="106"/>
      <c r="D38" s="106"/>
      <c r="E38" s="21" t="s">
        <v>457</v>
      </c>
      <c r="F38" s="21"/>
      <c r="G38" s="21"/>
      <c r="H38" s="21"/>
      <c r="I38" s="21"/>
      <c r="J38" s="21"/>
    </row>
    <row r="39" spans="1:10" ht="20" customHeight="1">
      <c r="A39" s="3"/>
      <c r="B39" s="107" t="s">
        <v>70</v>
      </c>
      <c r="C39" s="107"/>
      <c r="D39" s="107"/>
      <c r="E39" s="9" t="s">
        <v>458</v>
      </c>
      <c r="F39" s="9"/>
      <c r="G39" s="9"/>
      <c r="H39" s="9"/>
      <c r="I39" s="9"/>
      <c r="J39" s="9"/>
    </row>
    <row r="40" spans="1:10" ht="20" customHeight="1">
      <c r="A40" s="3"/>
      <c r="B40" s="106" t="s">
        <v>157</v>
      </c>
      <c r="C40" s="106"/>
      <c r="D40" s="106"/>
      <c r="E40" s="21" t="s">
        <v>459</v>
      </c>
      <c r="F40" s="21"/>
      <c r="G40" s="21"/>
      <c r="H40" s="21"/>
      <c r="I40" s="21"/>
      <c r="J40" s="21"/>
    </row>
    <row r="41" spans="1:10" ht="20" customHeight="1">
      <c r="A41" s="3"/>
      <c r="B41" s="107" t="s">
        <v>224</v>
      </c>
      <c r="C41" s="107"/>
      <c r="D41" s="107"/>
      <c r="E41" s="9" t="s">
        <v>460</v>
      </c>
      <c r="F41" s="9"/>
      <c r="G41" s="9"/>
      <c r="H41" s="9"/>
      <c r="I41" s="9"/>
      <c r="J41" s="9"/>
    </row>
    <row r="42" spans="1:10" ht="20" customHeight="1">
      <c r="A42" s="3"/>
      <c r="B42" s="106" t="s">
        <v>267</v>
      </c>
      <c r="C42" s="106"/>
      <c r="D42" s="106"/>
      <c r="E42" s="21" t="s">
        <v>461</v>
      </c>
      <c r="F42" s="21"/>
      <c r="G42" s="21"/>
      <c r="H42" s="21"/>
      <c r="I42" s="21"/>
      <c r="J42" s="21"/>
    </row>
    <row r="43" spans="1:10" ht="20" customHeight="1">
      <c r="A43" s="3"/>
      <c r="B43" s="107" t="s">
        <v>289</v>
      </c>
      <c r="C43" s="107"/>
      <c r="D43" s="107"/>
      <c r="E43" s="9" t="s">
        <v>462</v>
      </c>
      <c r="F43" s="9"/>
      <c r="G43" s="9"/>
      <c r="H43" s="9"/>
      <c r="I43" s="9"/>
      <c r="J43" s="9"/>
    </row>
    <row r="44" spans="1:10" ht="20" customHeight="1">
      <c r="A44" s="3"/>
      <c r="B44" s="106" t="s">
        <v>328</v>
      </c>
      <c r="C44" s="106"/>
      <c r="D44" s="106"/>
      <c r="E44" s="21" t="s">
        <v>463</v>
      </c>
      <c r="F44" s="21"/>
      <c r="G44" s="21"/>
      <c r="H44" s="21"/>
      <c r="I44" s="21"/>
      <c r="J44" s="21"/>
    </row>
    <row r="45" spans="1:10" ht="20" customHeight="1">
      <c r="A45" s="3"/>
      <c r="B45" s="107" t="s">
        <v>354</v>
      </c>
      <c r="C45" s="107"/>
      <c r="D45" s="107"/>
      <c r="E45" s="9" t="s">
        <v>464</v>
      </c>
      <c r="F45" s="9"/>
      <c r="G45" s="9"/>
      <c r="H45" s="9"/>
      <c r="I45" s="9"/>
      <c r="J45" s="9"/>
    </row>
    <row r="46" spans="1:10" ht="20" customHeight="1">
      <c r="A46" s="3"/>
      <c r="B46" s="106" t="s">
        <v>372</v>
      </c>
      <c r="C46" s="106"/>
      <c r="D46" s="106"/>
      <c r="E46" s="21" t="s">
        <v>465</v>
      </c>
      <c r="F46" s="21"/>
      <c r="G46" s="21"/>
      <c r="H46" s="21"/>
      <c r="I46" s="21"/>
      <c r="J46" s="21"/>
    </row>
    <row r="47" spans="1:10" ht="20" customHeight="1">
      <c r="A47" s="3"/>
      <c r="B47" s="107" t="s">
        <v>386</v>
      </c>
      <c r="C47" s="107"/>
      <c r="D47" s="107"/>
      <c r="E47" s="9" t="s">
        <v>466</v>
      </c>
      <c r="F47" s="9"/>
      <c r="G47" s="9"/>
      <c r="H47" s="9"/>
      <c r="I47" s="9"/>
      <c r="J47" s="9"/>
    </row>
    <row r="48" spans="1:10" ht="20" customHeight="1">
      <c r="A48" s="3"/>
      <c r="B48" s="106" t="s">
        <v>418</v>
      </c>
      <c r="C48" s="106"/>
      <c r="D48" s="106"/>
      <c r="E48" s="21" t="s">
        <v>467</v>
      </c>
      <c r="F48" s="21"/>
      <c r="G48" s="21"/>
      <c r="H48" s="21"/>
      <c r="I48" s="21"/>
      <c r="J48" s="21"/>
    </row>
    <row r="49" spans="1:10" ht="20" customHeight="1">
      <c r="A49" s="3"/>
      <c r="B49" s="107" t="s">
        <v>435</v>
      </c>
      <c r="C49" s="107"/>
      <c r="D49" s="107"/>
      <c r="E49" s="9" t="s">
        <v>468</v>
      </c>
      <c r="F49" s="9"/>
      <c r="G49" s="9"/>
      <c r="H49" s="9"/>
      <c r="I49" s="9"/>
      <c r="J49" s="9"/>
    </row>
    <row r="50" spans="1:10">
      <c r="A50" s="3"/>
      <c r="B50" s="3"/>
      <c r="C50" s="3"/>
      <c r="D50" s="3"/>
      <c r="E50" s="3"/>
      <c r="F50" s="3"/>
      <c r="G50" s="3"/>
      <c r="H50" s="3"/>
      <c r="I50" s="3"/>
      <c r="J50" s="3"/>
    </row>
    <row r="51" spans="1:10" ht="22" customHeight="1">
      <c r="A51" s="3"/>
      <c r="B51" s="22" t="s">
        <v>469</v>
      </c>
      <c r="C51" s="22"/>
      <c r="D51" s="22"/>
      <c r="E51" s="22"/>
      <c r="F51" s="22"/>
      <c r="G51" s="22"/>
      <c r="H51" s="22"/>
      <c r="I51" s="22"/>
      <c r="J51" s="22"/>
    </row>
    <row r="52" spans="1:10" ht="37.2" customHeight="1">
      <c r="A52" s="3"/>
      <c r="B52" s="100" t="s">
        <v>470</v>
      </c>
      <c r="C52" s="100"/>
      <c r="D52" s="100"/>
      <c r="E52" s="100"/>
      <c r="F52" s="100"/>
      <c r="G52" s="100"/>
      <c r="H52" s="100"/>
      <c r="I52" s="100"/>
      <c r="J52" s="100"/>
    </row>
    <row r="53" spans="1:10" ht="22.6" customHeight="1">
      <c r="A53" s="3"/>
      <c r="B53" s="100" t="s">
        <v>471</v>
      </c>
      <c r="C53" s="100"/>
      <c r="D53" s="100"/>
      <c r="E53" s="100"/>
      <c r="F53" s="100"/>
      <c r="G53" s="100"/>
      <c r="H53" s="100"/>
      <c r="I53" s="100"/>
      <c r="J53" s="100"/>
    </row>
    <row r="54" spans="1:10" ht="22.6" customHeight="1">
      <c r="A54" s="3"/>
      <c r="B54" s="100" t="s">
        <v>472</v>
      </c>
      <c r="C54" s="100"/>
      <c r="D54" s="100"/>
      <c r="E54" s="100"/>
      <c r="F54" s="100"/>
      <c r="G54" s="100"/>
      <c r="H54" s="100"/>
      <c r="I54" s="100"/>
      <c r="J54" s="100"/>
    </row>
    <row r="55" spans="1:10" ht="37.2" customHeight="1">
      <c r="A55" s="3"/>
      <c r="B55" s="100" t="s">
        <v>473</v>
      </c>
      <c r="C55" s="100"/>
      <c r="D55" s="100"/>
      <c r="E55" s="100"/>
      <c r="F55" s="100"/>
      <c r="G55" s="100"/>
      <c r="H55" s="100"/>
      <c r="I55" s="100"/>
      <c r="J55" s="100"/>
    </row>
    <row r="56" spans="1:10" ht="37.2" customHeight="1">
      <c r="A56" s="3"/>
      <c r="B56" s="100" t="s">
        <v>474</v>
      </c>
      <c r="C56" s="100"/>
      <c r="D56" s="100"/>
      <c r="E56" s="100"/>
      <c r="F56" s="100"/>
      <c r="G56" s="100"/>
      <c r="H56" s="100"/>
      <c r="I56" s="100"/>
      <c r="J56" s="100"/>
    </row>
    <row r="57" spans="1:10">
      <c r="A57" s="3"/>
      <c r="B57" s="3"/>
      <c r="C57" s="3"/>
      <c r="D57" s="3"/>
      <c r="E57" s="3"/>
      <c r="F57" s="3"/>
      <c r="G57" s="3"/>
      <c r="H57" s="3"/>
      <c r="I57" s="3"/>
      <c r="J57" s="3"/>
    </row>
    <row r="58" spans="1:10" ht="22" customHeight="1">
      <c r="A58" s="3"/>
      <c r="B58" s="7" t="s">
        <v>475</v>
      </c>
      <c r="C58" s="7"/>
      <c r="D58" s="7"/>
      <c r="E58" s="7"/>
      <c r="F58" s="7"/>
      <c r="G58" s="7"/>
      <c r="H58" s="7"/>
      <c r="I58" s="7"/>
      <c r="J58" s="7"/>
    </row>
    <row r="59" spans="1:10" ht="37.2" customHeight="1">
      <c r="A59" s="3"/>
      <c r="B59" s="100" t="s">
        <v>476</v>
      </c>
      <c r="C59" s="100"/>
      <c r="D59" s="100"/>
      <c r="E59" s="100"/>
      <c r="F59" s="100"/>
      <c r="G59" s="100"/>
      <c r="H59" s="100"/>
      <c r="I59" s="100"/>
      <c r="J59" s="100"/>
    </row>
    <row r="60" spans="1:10" ht="37.2" customHeight="1">
      <c r="A60" s="3"/>
      <c r="B60" s="100" t="s">
        <v>477</v>
      </c>
      <c r="C60" s="100"/>
      <c r="D60" s="100"/>
      <c r="E60" s="100"/>
      <c r="F60" s="100"/>
      <c r="G60" s="100"/>
      <c r="H60" s="100"/>
      <c r="I60" s="100"/>
      <c r="J60" s="100"/>
    </row>
    <row r="61" spans="1:10" ht="37.2" customHeight="1">
      <c r="A61" s="3"/>
      <c r="B61" s="100" t="s">
        <v>478</v>
      </c>
      <c r="C61" s="100"/>
      <c r="D61" s="100"/>
      <c r="E61" s="100"/>
      <c r="F61" s="100"/>
      <c r="G61" s="100"/>
      <c r="H61" s="100"/>
      <c r="I61" s="100"/>
      <c r="J61" s="100"/>
    </row>
    <row r="62" spans="1:10" ht="37.2" customHeight="1">
      <c r="A62" s="3"/>
      <c r="B62" s="100" t="s">
        <v>479</v>
      </c>
      <c r="C62" s="100"/>
      <c r="D62" s="100"/>
      <c r="E62" s="100"/>
      <c r="F62" s="100"/>
      <c r="G62" s="100"/>
      <c r="H62" s="100"/>
      <c r="I62" s="100"/>
      <c r="J62" s="100"/>
    </row>
    <row r="63" spans="1:10" ht="37.2" customHeight="1">
      <c r="A63" s="3"/>
      <c r="B63" s="100" t="s">
        <v>480</v>
      </c>
      <c r="C63" s="100"/>
      <c r="D63" s="100"/>
      <c r="E63" s="100"/>
      <c r="F63" s="100"/>
      <c r="G63" s="100"/>
      <c r="H63" s="100"/>
      <c r="I63" s="100"/>
      <c r="J63" s="100"/>
    </row>
    <row r="64" spans="1:10">
      <c r="A64" s="3"/>
      <c r="B64" s="3"/>
      <c r="C64" s="3"/>
      <c r="D64" s="3"/>
      <c r="E64" s="3"/>
      <c r="F64" s="3"/>
      <c r="G64" s="3"/>
      <c r="H64" s="3"/>
      <c r="I64" s="3"/>
      <c r="J64" s="3"/>
    </row>
    <row r="65" spans="1:10" ht="22" customHeight="1">
      <c r="A65" s="3"/>
      <c r="B65" s="108" t="s">
        <v>481</v>
      </c>
      <c r="C65" s="108"/>
      <c r="D65" s="108"/>
      <c r="E65" s="108"/>
      <c r="F65" s="108"/>
      <c r="G65" s="108"/>
      <c r="H65" s="108"/>
      <c r="I65" s="108"/>
      <c r="J65" s="108"/>
    </row>
    <row r="66" spans="1:10" ht="22" customHeight="1">
      <c r="A66" s="3"/>
      <c r="B66" s="108"/>
      <c r="C66" s="108"/>
      <c r="D66" s="108"/>
      <c r="E66" s="108"/>
      <c r="F66" s="108"/>
      <c r="G66" s="108"/>
      <c r="H66" s="108"/>
      <c r="I66" s="108"/>
      <c r="J66" s="108"/>
    </row>
    <row r="67" spans="1:10">
      <c r="A67" s="3"/>
      <c r="B67" s="3"/>
      <c r="C67" s="3"/>
      <c r="D67" s="3"/>
      <c r="E67" s="3"/>
      <c r="F67" s="3"/>
      <c r="G67" s="3"/>
      <c r="H67" s="3"/>
      <c r="I67" s="3"/>
      <c r="J67" s="3"/>
    </row>
    <row r="68" spans="1:10" ht="22.6" customHeight="1">
      <c r="A68" s="3"/>
      <c r="B68" s="109" t="s">
        <v>482</v>
      </c>
      <c r="C68" s="109"/>
      <c r="D68" s="109"/>
      <c r="E68" s="109"/>
      <c r="F68" s="109"/>
      <c r="G68" s="109"/>
      <c r="H68" s="109"/>
      <c r="I68" s="109"/>
      <c r="J68" s="109"/>
    </row>
    <row r="69" spans="1:10" ht="22.6" customHeight="1">
      <c r="A69" s="3"/>
      <c r="B69" s="1" t="s">
        <v>483</v>
      </c>
      <c r="C69" s="1"/>
      <c r="D69" s="1"/>
      <c r="E69" s="1"/>
      <c r="F69" s="1"/>
      <c r="G69" s="1"/>
      <c r="H69" s="1"/>
      <c r="I69" s="1"/>
      <c r="J69" s="1"/>
    </row>
    <row r="70" spans="1:10">
      <c r="A70" s="3"/>
      <c r="B70" s="3"/>
      <c r="C70" s="3"/>
      <c r="D70" s="3"/>
      <c r="E70" s="3"/>
      <c r="F70" s="3"/>
      <c r="G70" s="3"/>
      <c r="H70" s="3"/>
      <c r="I70" s="3"/>
      <c r="J70" s="3"/>
    </row>
    <row r="71" spans="1:10" ht="30" customHeight="1">
      <c r="A71" s="3"/>
      <c r="B71" s="25" t="s">
        <v>484</v>
      </c>
      <c r="C71" s="25"/>
      <c r="D71" s="25"/>
      <c r="E71" s="25"/>
      <c r="F71" s="25"/>
      <c r="G71" s="25"/>
      <c r="H71" s="25"/>
      <c r="I71" s="25"/>
      <c r="J71" s="25"/>
    </row>
    <row r="72" spans="1:10">
      <c r="A72" s="3"/>
      <c r="B72" s="3"/>
      <c r="C72" s="3"/>
      <c r="D72" s="3"/>
      <c r="E72" s="3"/>
      <c r="F72" s="3"/>
      <c r="G72" s="3"/>
      <c r="H72" s="3"/>
      <c r="I72" s="3"/>
      <c r="J72" s="3"/>
    </row>
    <row r="73" spans="1:10" ht="24" customHeight="1">
      <c r="A73" s="3"/>
      <c r="B73" s="26" t="s">
        <v>155</v>
      </c>
      <c r="C73" s="26"/>
      <c r="D73" s="27" t="s">
        <v>126</v>
      </c>
      <c r="E73" s="27"/>
      <c r="F73" s="28" t="s">
        <v>127</v>
      </c>
      <c r="G73" s="28"/>
      <c r="H73" s="29" t="s">
        <v>128</v>
      </c>
      <c r="I73" s="29"/>
      <c r="J73" s="3"/>
    </row>
    <row r="74" spans="1:10" ht="24" customHeight="1">
      <c r="A74" s="3"/>
      <c r="B74" s="30" t="s">
        <v>36</v>
      </c>
      <c r="C74" s="30"/>
      <c r="D74" s="31" t="s">
        <v>129</v>
      </c>
      <c r="E74" s="31"/>
      <c r="F74" s="32" t="s">
        <v>39</v>
      </c>
      <c r="G74" s="32"/>
      <c r="H74" s="33" t="s">
        <v>130</v>
      </c>
      <c r="I74" s="33"/>
      <c r="J74" s="3"/>
    </row>
    <row r="75" spans="1:10" ht="24" customHeight="1">
      <c r="A75" s="3"/>
      <c r="B75" s="27" t="s">
        <v>131</v>
      </c>
      <c r="C75" s="27"/>
      <c r="D75" s="29" t="s">
        <v>132</v>
      </c>
      <c r="E75" s="29"/>
      <c r="F75" s="26" t="s">
        <v>133</v>
      </c>
      <c r="G75" s="26"/>
      <c r="H75" s="27" t="s">
        <v>134</v>
      </c>
      <c r="I75" s="27"/>
      <c r="J75" s="3"/>
    </row>
    <row r="76" spans="1:10" ht="24" customHeight="1">
      <c r="A76" s="3"/>
      <c r="B76" s="28" t="s">
        <v>485</v>
      </c>
      <c r="C76" s="28"/>
      <c r="D76" s="3"/>
      <c r="E76" s="3"/>
      <c r="F76" s="3"/>
      <c r="G76" s="3"/>
      <c r="H76" s="3"/>
      <c r="I76" s="3"/>
      <c r="J76" s="3"/>
    </row>
    <row r="77" spans="1:10">
      <c r="A77" s="3"/>
      <c r="B77" s="3"/>
      <c r="C77" s="3"/>
      <c r="D77" s="3"/>
      <c r="E77" s="3"/>
      <c r="F77" s="3"/>
      <c r="G77" s="3"/>
      <c r="H77" s="3"/>
      <c r="I77" s="3"/>
      <c r="J77" s="3"/>
    </row>
    <row r="78" spans="1:10">
      <c r="A78" s="3"/>
      <c r="B78" s="3"/>
      <c r="C78" s="3"/>
      <c r="D78" s="3"/>
      <c r="E78" s="3"/>
      <c r="F78" s="3"/>
      <c r="G78" s="3"/>
      <c r="H78" s="3"/>
      <c r="I78" s="3"/>
      <c r="J78" s="3"/>
    </row>
    <row r="79" spans="1:10">
      <c r="A79" s="3"/>
      <c r="B79" s="3"/>
      <c r="C79" s="3"/>
      <c r="D79" s="3"/>
      <c r="E79" s="3"/>
      <c r="F79" s="3"/>
      <c r="G79" s="3"/>
      <c r="H79" s="3"/>
      <c r="I79" s="3"/>
      <c r="J79" s="3"/>
    </row>
    <row r="80" spans="1:10">
      <c r="A80" s="3"/>
      <c r="B80" s="3"/>
      <c r="C80" s="3"/>
      <c r="D80" s="3"/>
      <c r="E80" s="3"/>
      <c r="F80" s="3"/>
      <c r="G80" s="3"/>
      <c r="H80" s="3"/>
      <c r="I80" s="3"/>
      <c r="J80" s="3"/>
    </row>
    <row r="81" spans="1:10">
      <c r="A81" s="3"/>
      <c r="B81" s="3"/>
      <c r="C81" s="3"/>
      <c r="D81" s="3"/>
      <c r="E81" s="3"/>
      <c r="F81" s="3"/>
      <c r="G81" s="3"/>
      <c r="H81" s="3"/>
      <c r="I81" s="3"/>
      <c r="J81" s="3"/>
    </row>
    <row r="82" spans="1:10">
      <c r="A82" s="3"/>
      <c r="B82" s="3"/>
      <c r="C82" s="3"/>
      <c r="D82" s="3"/>
      <c r="E82" s="3"/>
      <c r="F82" s="3"/>
      <c r="G82" s="3"/>
      <c r="H82" s="3"/>
      <c r="I82" s="3"/>
      <c r="J82" s="3"/>
    </row>
    <row r="83" spans="1:10">
      <c r="A83" s="3"/>
      <c r="B83" s="3"/>
      <c r="C83" s="3"/>
      <c r="D83" s="3"/>
      <c r="E83" s="3"/>
      <c r="F83" s="3"/>
      <c r="G83" s="3"/>
      <c r="H83" s="3"/>
      <c r="I83" s="3"/>
      <c r="J83" s="3"/>
    </row>
    <row r="84" spans="1:10">
      <c r="A84" s="3"/>
      <c r="B84" s="3"/>
      <c r="C84" s="3"/>
      <c r="D84" s="3"/>
      <c r="E84" s="3"/>
      <c r="F84" s="3"/>
      <c r="G84" s="3"/>
      <c r="H84" s="3"/>
      <c r="I84" s="3"/>
      <c r="J84" s="3"/>
    </row>
    <row r="85" spans="1:10">
      <c r="A85" s="3"/>
      <c r="B85" s="3"/>
      <c r="C85" s="3"/>
      <c r="D85" s="3"/>
      <c r="E85" s="3"/>
      <c r="F85" s="3"/>
      <c r="G85" s="3"/>
      <c r="H85" s="3"/>
      <c r="I85" s="3"/>
      <c r="J85" s="3"/>
    </row>
    <row r="86" spans="1:10">
      <c r="A86" s="3"/>
      <c r="B86" s="3"/>
      <c r="C86" s="3"/>
      <c r="D86" s="3"/>
      <c r="E86" s="3"/>
      <c r="F86" s="3"/>
      <c r="G86" s="3"/>
      <c r="H86" s="3"/>
      <c r="I86" s="3"/>
      <c r="J86" s="3"/>
    </row>
    <row r="87" spans="1:10">
      <c r="A87" s="3"/>
      <c r="B87" s="3"/>
      <c r="C87" s="3"/>
      <c r="D87" s="3"/>
      <c r="E87" s="3"/>
      <c r="F87" s="3"/>
      <c r="G87" s="3"/>
      <c r="H87" s="3"/>
      <c r="I87" s="3"/>
      <c r="J87" s="3"/>
    </row>
    <row r="88" spans="1:10">
      <c r="A88" s="3"/>
      <c r="B88" s="3"/>
      <c r="C88" s="3"/>
      <c r="D88" s="3"/>
      <c r="E88" s="3"/>
      <c r="F88" s="3"/>
      <c r="G88" s="3"/>
      <c r="H88" s="3"/>
      <c r="I88" s="3"/>
      <c r="J88" s="3"/>
    </row>
    <row r="89" spans="1:10">
      <c r="A89" s="3"/>
      <c r="B89" s="3"/>
      <c r="C89" s="3"/>
      <c r="D89" s="3"/>
      <c r="E89" s="3"/>
      <c r="F89" s="3"/>
      <c r="G89" s="3"/>
      <c r="H89" s="3"/>
      <c r="I89" s="3"/>
      <c r="J89" s="3"/>
    </row>
    <row r="90" spans="1:10">
      <c r="A90" s="3"/>
      <c r="B90" s="3"/>
      <c r="C90" s="3"/>
      <c r="D90" s="3"/>
      <c r="E90" s="3"/>
      <c r="F90" s="3"/>
      <c r="G90" s="3"/>
      <c r="H90" s="3"/>
      <c r="I90" s="3"/>
      <c r="J90" s="3"/>
    </row>
    <row r="91" spans="1:10">
      <c r="A91" s="3"/>
      <c r="B91" s="3"/>
      <c r="C91" s="3"/>
      <c r="D91" s="3"/>
      <c r="E91" s="3"/>
      <c r="F91" s="3"/>
      <c r="G91" s="3"/>
      <c r="H91" s="3"/>
      <c r="I91" s="3"/>
      <c r="J91" s="3"/>
    </row>
    <row r="92" spans="1:10">
      <c r="A92" s="3"/>
      <c r="B92" s="3"/>
      <c r="C92" s="3"/>
      <c r="D92" s="3"/>
      <c r="E92" s="3"/>
      <c r="F92" s="3"/>
      <c r="G92" s="3"/>
      <c r="H92" s="3"/>
      <c r="I92" s="3"/>
      <c r="J92" s="3"/>
    </row>
    <row r="93" spans="1:10">
      <c r="A93" s="3"/>
      <c r="B93" s="3"/>
      <c r="C93" s="3"/>
      <c r="D93" s="3"/>
      <c r="E93" s="3"/>
      <c r="F93" s="3"/>
      <c r="G93" s="3"/>
      <c r="H93" s="3"/>
      <c r="I93" s="3"/>
      <c r="J93" s="3"/>
    </row>
    <row r="94" spans="1:10">
      <c r="A94" s="3"/>
      <c r="B94" s="3"/>
      <c r="C94" s="3"/>
      <c r="D94" s="3"/>
      <c r="E94" s="3"/>
      <c r="F94" s="3"/>
      <c r="G94" s="3"/>
      <c r="H94" s="3"/>
      <c r="I94" s="3"/>
      <c r="J94" s="3"/>
    </row>
    <row r="95" spans="1:10">
      <c r="A95" s="3"/>
      <c r="B95" s="3"/>
      <c r="C95" s="3"/>
      <c r="D95" s="3"/>
      <c r="E95" s="3"/>
      <c r="F95" s="3"/>
      <c r="G95" s="3"/>
      <c r="H95" s="3"/>
      <c r="I95" s="3"/>
      <c r="J95" s="3"/>
    </row>
    <row r="96" spans="1:10">
      <c r="A96" s="3"/>
      <c r="B96" s="3"/>
      <c r="C96" s="3"/>
      <c r="D96" s="3"/>
      <c r="E96" s="3"/>
      <c r="F96" s="3"/>
      <c r="G96" s="3"/>
      <c r="H96" s="3"/>
      <c r="I96" s="3"/>
      <c r="J96" s="3"/>
    </row>
    <row r="97" spans="1:10">
      <c r="A97" s="3"/>
      <c r="B97" s="3"/>
      <c r="C97" s="3"/>
      <c r="D97" s="3"/>
      <c r="E97" s="3"/>
      <c r="F97" s="3"/>
      <c r="G97" s="3"/>
      <c r="H97" s="3"/>
      <c r="I97" s="3"/>
      <c r="J97" s="3"/>
    </row>
    <row r="98" spans="1:10">
      <c r="A98" s="3"/>
      <c r="B98" s="3"/>
      <c r="C98" s="3"/>
      <c r="D98" s="3"/>
      <c r="E98" s="3"/>
      <c r="F98" s="3"/>
      <c r="G98" s="3"/>
      <c r="H98" s="3"/>
      <c r="I98" s="3"/>
      <c r="J98" s="3"/>
    </row>
    <row r="99" spans="1:10">
      <c r="A99" s="3"/>
      <c r="B99" s="3"/>
      <c r="C99" s="3"/>
      <c r="D99" s="3"/>
      <c r="E99" s="3"/>
      <c r="F99" s="3"/>
      <c r="G99" s="3"/>
      <c r="H99" s="3"/>
      <c r="I99" s="3"/>
      <c r="J99" s="3"/>
    </row>
    <row r="100" spans="1:10">
      <c r="A100" s="3"/>
      <c r="B100" s="3"/>
      <c r="C100" s="3"/>
      <c r="D100" s="3"/>
      <c r="E100" s="3"/>
      <c r="F100" s="3"/>
      <c r="G100" s="3"/>
      <c r="H100" s="3"/>
      <c r="I100" s="3"/>
      <c r="J100" s="3"/>
    </row>
    <row r="101" spans="1:10">
      <c r="A101" s="3"/>
      <c r="B101" s="3"/>
      <c r="C101" s="3"/>
      <c r="D101" s="3"/>
      <c r="E101" s="3"/>
      <c r="F101" s="3"/>
      <c r="G101" s="3"/>
      <c r="H101" s="3"/>
      <c r="I101" s="3"/>
      <c r="J101" s="3"/>
    </row>
    <row r="102" spans="1:10">
      <c r="A102" s="3"/>
      <c r="B102" s="3"/>
      <c r="C102" s="3"/>
      <c r="D102" s="3"/>
      <c r="E102" s="3"/>
      <c r="F102" s="3"/>
      <c r="G102" s="3"/>
      <c r="H102" s="3"/>
      <c r="I102" s="3"/>
      <c r="J102" s="3"/>
    </row>
    <row r="103" spans="1:10">
      <c r="A103" s="3"/>
      <c r="B103" s="3"/>
      <c r="C103" s="3"/>
      <c r="D103" s="3"/>
      <c r="E103" s="3"/>
      <c r="F103" s="3"/>
      <c r="G103" s="3"/>
      <c r="H103" s="3"/>
      <c r="I103" s="3"/>
      <c r="J103" s="3"/>
    </row>
    <row r="104" spans="1:10">
      <c r="A104" s="3"/>
      <c r="B104" s="3"/>
      <c r="C104" s="3"/>
      <c r="D104" s="3"/>
      <c r="E104" s="3"/>
      <c r="F104" s="3"/>
      <c r="G104" s="3"/>
      <c r="H104" s="3"/>
      <c r="I104" s="3"/>
      <c r="J104" s="3"/>
    </row>
    <row r="105" spans="1:10">
      <c r="A105" s="3"/>
      <c r="B105" s="3"/>
      <c r="C105" s="3"/>
      <c r="D105" s="3"/>
      <c r="E105" s="3"/>
      <c r="F105" s="3"/>
      <c r="G105" s="3"/>
      <c r="H105" s="3"/>
      <c r="I105" s="3"/>
      <c r="J105" s="3"/>
    </row>
    <row r="106" spans="1:10">
      <c r="A106" s="3"/>
      <c r="B106" s="3"/>
      <c r="C106" s="3"/>
      <c r="D106" s="3"/>
      <c r="E106" s="3"/>
      <c r="F106" s="3"/>
      <c r="G106" s="3"/>
      <c r="H106" s="3"/>
      <c r="I106" s="3"/>
      <c r="J106" s="3"/>
    </row>
    <row r="107" spans="1:10">
      <c r="A107" s="3"/>
      <c r="B107" s="3"/>
      <c r="C107" s="3"/>
      <c r="D107" s="3"/>
      <c r="E107" s="3"/>
      <c r="F107" s="3"/>
      <c r="G107" s="3"/>
      <c r="H107" s="3"/>
      <c r="I107" s="3"/>
      <c r="J107" s="3"/>
    </row>
    <row r="108" spans="1:10">
      <c r="A108" s="3"/>
      <c r="B108" s="3"/>
      <c r="C108" s="3"/>
      <c r="D108" s="3"/>
      <c r="E108" s="3"/>
      <c r="F108" s="3"/>
      <c r="G108" s="3"/>
      <c r="H108" s="3"/>
      <c r="I108" s="3"/>
      <c r="J108" s="3"/>
    </row>
    <row r="109" spans="1:10">
      <c r="A109" s="3"/>
      <c r="B109" s="3"/>
      <c r="C109" s="3"/>
      <c r="D109" s="3"/>
      <c r="E109" s="3"/>
      <c r="F109" s="3"/>
      <c r="G109" s="3"/>
      <c r="H109" s="3"/>
      <c r="I109" s="3"/>
      <c r="J109" s="3"/>
    </row>
    <row r="110" spans="1:10">
      <c r="A110" s="3"/>
      <c r="B110" s="3"/>
      <c r="C110" s="3"/>
      <c r="D110" s="3"/>
      <c r="E110" s="3"/>
      <c r="F110" s="3"/>
      <c r="G110" s="3"/>
      <c r="H110" s="3"/>
      <c r="I110" s="3"/>
      <c r="J110" s="3"/>
    </row>
    <row r="111" spans="1:10">
      <c r="A111" s="3"/>
      <c r="B111" s="3"/>
      <c r="C111" s="3"/>
      <c r="D111" s="3"/>
      <c r="E111" s="3"/>
      <c r="F111" s="3"/>
      <c r="G111" s="3"/>
      <c r="H111" s="3"/>
      <c r="I111" s="3"/>
      <c r="J111" s="3"/>
    </row>
    <row r="112" spans="1:10">
      <c r="A112" s="3"/>
      <c r="B112" s="3"/>
      <c r="C112" s="3"/>
      <c r="D112" s="3"/>
      <c r="E112" s="3"/>
      <c r="F112" s="3"/>
      <c r="G112" s="3"/>
      <c r="H112" s="3"/>
      <c r="I112" s="3"/>
      <c r="J112" s="3"/>
    </row>
    <row r="113" spans="1:10">
      <c r="A113" s="3"/>
      <c r="B113" s="3"/>
      <c r="C113" s="3"/>
      <c r="D113" s="3"/>
      <c r="E113" s="3"/>
      <c r="F113" s="3"/>
      <c r="G113" s="3"/>
      <c r="H113" s="3"/>
      <c r="I113" s="3"/>
      <c r="J113" s="3"/>
    </row>
    <row r="114" spans="1:10">
      <c r="A114" s="3"/>
      <c r="B114" s="3"/>
      <c r="C114" s="3"/>
      <c r="D114" s="3"/>
      <c r="E114" s="3"/>
      <c r="F114" s="3"/>
      <c r="G114" s="3"/>
      <c r="H114" s="3"/>
      <c r="I114" s="3"/>
      <c r="J114" s="3"/>
    </row>
    <row r="115" spans="1:10">
      <c r="A115" s="3"/>
      <c r="B115" s="3"/>
      <c r="C115" s="3"/>
      <c r="D115" s="3"/>
      <c r="E115" s="3"/>
      <c r="F115" s="3"/>
      <c r="G115" s="3"/>
      <c r="H115" s="3"/>
      <c r="I115" s="3"/>
      <c r="J115" s="3"/>
    </row>
    <row r="116" spans="1:10">
      <c r="A116" s="3"/>
      <c r="B116" s="3"/>
      <c r="C116" s="3"/>
      <c r="D116" s="3"/>
      <c r="E116" s="3"/>
      <c r="F116" s="3"/>
      <c r="G116" s="3"/>
      <c r="H116" s="3"/>
      <c r="I116" s="3"/>
      <c r="J116" s="3"/>
    </row>
    <row r="117" spans="1:10">
      <c r="A117" s="3"/>
      <c r="B117" s="3"/>
      <c r="C117" s="3"/>
      <c r="D117" s="3"/>
      <c r="E117" s="3"/>
      <c r="F117" s="3"/>
      <c r="G117" s="3"/>
      <c r="H117" s="3"/>
      <c r="I117" s="3"/>
      <c r="J117" s="3"/>
    </row>
    <row r="118" spans="1:10">
      <c r="A118" s="3"/>
      <c r="B118" s="3"/>
      <c r="C118" s="3"/>
      <c r="D118" s="3"/>
      <c r="E118" s="3"/>
      <c r="F118" s="3"/>
      <c r="G118" s="3"/>
      <c r="H118" s="3"/>
      <c r="I118" s="3"/>
      <c r="J118" s="3"/>
    </row>
    <row r="119" spans="1:10">
      <c r="A119" s="3"/>
      <c r="B119" s="3"/>
      <c r="C119" s="3"/>
      <c r="D119" s="3"/>
      <c r="E119" s="3"/>
      <c r="F119" s="3"/>
      <c r="G119" s="3"/>
      <c r="H119" s="3"/>
      <c r="I119" s="3"/>
      <c r="J119" s="3"/>
    </row>
    <row r="120" spans="1:10">
      <c r="A120" s="3"/>
      <c r="B120" s="3"/>
      <c r="C120" s="3"/>
      <c r="D120" s="3"/>
      <c r="E120" s="3"/>
      <c r="F120" s="3"/>
      <c r="G120" s="3"/>
      <c r="H120" s="3"/>
      <c r="I120" s="3"/>
      <c r="J120" s="3"/>
    </row>
    <row r="121" spans="1:10">
      <c r="A121" s="3"/>
      <c r="B121" s="3"/>
      <c r="C121" s="3"/>
      <c r="D121" s="3"/>
      <c r="E121" s="3"/>
      <c r="F121" s="3"/>
      <c r="G121" s="3"/>
      <c r="H121" s="3"/>
      <c r="I121" s="3"/>
      <c r="J121" s="3"/>
    </row>
    <row r="122" spans="1:10">
      <c r="A122" s="3"/>
      <c r="B122" s="3"/>
      <c r="C122" s="3"/>
      <c r="D122" s="3"/>
      <c r="E122" s="3"/>
      <c r="F122" s="3"/>
      <c r="G122" s="3"/>
      <c r="H122" s="3"/>
      <c r="I122" s="3"/>
      <c r="J122" s="3"/>
    </row>
    <row r="123" spans="1:10">
      <c r="A123" s="3"/>
      <c r="B123" s="3"/>
      <c r="C123" s="3"/>
      <c r="D123" s="3"/>
      <c r="E123" s="3"/>
      <c r="F123" s="3"/>
      <c r="G123" s="3"/>
      <c r="H123" s="3"/>
      <c r="I123" s="3"/>
      <c r="J123" s="3"/>
    </row>
    <row r="124" spans="1:10">
      <c r="A124" s="3"/>
      <c r="B124" s="3"/>
      <c r="C124" s="3"/>
      <c r="D124" s="3"/>
      <c r="E124" s="3"/>
      <c r="F124" s="3"/>
      <c r="G124" s="3"/>
      <c r="H124" s="3"/>
      <c r="I124" s="3"/>
      <c r="J124" s="3"/>
    </row>
    <row r="125" spans="1:10">
      <c r="A125" s="3"/>
      <c r="B125" s="3"/>
      <c r="C125" s="3"/>
      <c r="D125" s="3"/>
      <c r="E125" s="3"/>
      <c r="F125" s="3"/>
      <c r="G125" s="3"/>
      <c r="H125" s="3"/>
      <c r="I125" s="3"/>
      <c r="J125" s="3"/>
    </row>
    <row r="126" spans="1:10">
      <c r="A126" s="3"/>
      <c r="B126" s="3"/>
      <c r="C126" s="3"/>
      <c r="D126" s="3"/>
      <c r="E126" s="3"/>
      <c r="F126" s="3"/>
      <c r="G126" s="3"/>
      <c r="H126" s="3"/>
      <c r="I126" s="3"/>
      <c r="J126" s="3"/>
    </row>
    <row r="127" spans="1:10">
      <c r="A127" s="3"/>
      <c r="B127" s="3"/>
      <c r="C127" s="3"/>
      <c r="D127" s="3"/>
      <c r="E127" s="3"/>
      <c r="F127" s="3"/>
      <c r="G127" s="3"/>
      <c r="H127" s="3"/>
      <c r="I127" s="3"/>
      <c r="J127" s="3"/>
    </row>
    <row r="128" spans="1:10">
      <c r="A128" s="3"/>
      <c r="B128" s="3"/>
      <c r="C128" s="3"/>
      <c r="D128" s="3"/>
      <c r="E128" s="3"/>
      <c r="F128" s="3"/>
      <c r="G128" s="3"/>
      <c r="H128" s="3"/>
      <c r="I128" s="3"/>
      <c r="J128" s="3"/>
    </row>
    <row r="129" spans="1:10">
      <c r="A129" s="3"/>
      <c r="B129" s="3"/>
      <c r="C129" s="3"/>
      <c r="D129" s="3"/>
      <c r="E129" s="3"/>
      <c r="F129" s="3"/>
      <c r="G129" s="3"/>
      <c r="H129" s="3"/>
      <c r="I129" s="3"/>
      <c r="J129" s="3"/>
    </row>
    <row r="130" spans="1:10">
      <c r="A130" s="3"/>
      <c r="B130" s="3"/>
      <c r="C130" s="3"/>
      <c r="D130" s="3"/>
      <c r="E130" s="3"/>
      <c r="F130" s="3"/>
      <c r="G130" s="3"/>
      <c r="H130" s="3"/>
      <c r="I130" s="3"/>
      <c r="J130" s="3"/>
    </row>
    <row r="131" spans="1:10">
      <c r="A131" s="3"/>
      <c r="B131" s="3"/>
      <c r="C131" s="3"/>
      <c r="D131" s="3"/>
      <c r="E131" s="3"/>
      <c r="F131" s="3"/>
      <c r="G131" s="3"/>
      <c r="H131" s="3"/>
      <c r="I131" s="3"/>
      <c r="J131" s="3"/>
    </row>
    <row r="132" spans="1:10">
      <c r="A132" s="3"/>
      <c r="B132" s="3"/>
      <c r="C132" s="3"/>
      <c r="D132" s="3"/>
      <c r="E132" s="3"/>
      <c r="F132" s="3"/>
      <c r="G132" s="3"/>
      <c r="H132" s="3"/>
      <c r="I132" s="3"/>
      <c r="J132" s="3"/>
    </row>
    <row r="133" spans="1:10">
      <c r="A133" s="3"/>
      <c r="B133" s="3"/>
      <c r="C133" s="3"/>
      <c r="D133" s="3"/>
      <c r="E133" s="3"/>
      <c r="F133" s="3"/>
      <c r="G133" s="3"/>
      <c r="H133" s="3"/>
      <c r="I133" s="3"/>
      <c r="J133" s="3"/>
    </row>
    <row r="134" spans="1:10">
      <c r="A134" s="3"/>
      <c r="B134" s="3"/>
      <c r="C134" s="3"/>
      <c r="D134" s="3"/>
      <c r="E134" s="3"/>
      <c r="F134" s="3"/>
      <c r="G134" s="3"/>
      <c r="H134" s="3"/>
      <c r="I134" s="3"/>
      <c r="J134" s="3"/>
    </row>
    <row r="135" spans="1:10">
      <c r="A135" s="3"/>
      <c r="B135" s="3"/>
      <c r="C135" s="3"/>
      <c r="D135" s="3"/>
      <c r="E135" s="3"/>
      <c r="F135" s="3"/>
      <c r="G135" s="3"/>
      <c r="H135" s="3"/>
      <c r="I135" s="3"/>
      <c r="J135" s="3"/>
    </row>
    <row r="136" spans="1:10">
      <c r="A136" s="3"/>
      <c r="B136" s="3"/>
      <c r="C136" s="3"/>
      <c r="D136" s="3"/>
      <c r="E136" s="3"/>
      <c r="F136" s="3"/>
      <c r="G136" s="3"/>
      <c r="H136" s="3"/>
      <c r="I136" s="3"/>
      <c r="J136" s="3"/>
    </row>
    <row r="137" spans="1:10">
      <c r="A137" s="3"/>
      <c r="B137" s="3"/>
      <c r="C137" s="3"/>
      <c r="D137" s="3"/>
      <c r="E137" s="3"/>
      <c r="F137" s="3"/>
      <c r="G137" s="3"/>
      <c r="H137" s="3"/>
      <c r="I137" s="3"/>
      <c r="J137" s="3"/>
    </row>
    <row r="138" spans="1:10">
      <c r="A138" s="3"/>
      <c r="B138" s="3"/>
      <c r="C138" s="3"/>
      <c r="D138" s="3"/>
      <c r="E138" s="3"/>
      <c r="F138" s="3"/>
      <c r="G138" s="3"/>
      <c r="H138" s="3"/>
      <c r="I138" s="3"/>
      <c r="J138" s="3"/>
    </row>
    <row r="139" spans="1:10">
      <c r="A139" s="3"/>
      <c r="B139" s="3"/>
      <c r="C139" s="3"/>
      <c r="D139" s="3"/>
      <c r="E139" s="3"/>
      <c r="F139" s="3"/>
      <c r="G139" s="3"/>
      <c r="H139" s="3"/>
      <c r="I139" s="3"/>
      <c r="J139" s="3"/>
    </row>
    <row r="140" spans="1:10">
      <c r="A140" s="3"/>
      <c r="B140" s="3"/>
      <c r="C140" s="3"/>
      <c r="D140" s="3"/>
      <c r="E140" s="3"/>
      <c r="F140" s="3"/>
      <c r="G140" s="3"/>
      <c r="H140" s="3"/>
      <c r="I140" s="3"/>
      <c r="J140" s="3"/>
    </row>
    <row r="141" spans="1:10">
      <c r="A141" s="3"/>
      <c r="B141" s="3"/>
      <c r="C141" s="3"/>
      <c r="D141" s="3"/>
      <c r="E141" s="3"/>
      <c r="F141" s="3"/>
      <c r="G141" s="3"/>
      <c r="H141" s="3"/>
      <c r="I141" s="3"/>
      <c r="J141" s="3"/>
    </row>
  </sheetData>
  <sheetProtection password="EC7C" sheet="1" formatCells="0" formatColumns="0" formatRows="0" insertColumns="0" insertRows="0" insertHyperlinks="0" deleteColumns="0" deleteRows="0" sort="0" autoFilter="0"/>
  <mergeCells count="69">
    <mergeCell ref="H20:J20"/>
    <mergeCell ref="B22:J22"/>
    <mergeCell ref="B24:D24"/>
    <mergeCell ref="E24:F24"/>
    <mergeCell ref="G24:I24"/>
    <mergeCell ref="J24:K24"/>
    <mergeCell ref="B26:J26"/>
    <mergeCell ref="B27:J27"/>
    <mergeCell ref="B28:J28"/>
    <mergeCell ref="B30:J30"/>
    <mergeCell ref="B31:J31"/>
    <mergeCell ref="B33:J33"/>
    <mergeCell ref="B34:J34"/>
    <mergeCell ref="B36:J36"/>
    <mergeCell ref="B37:D37"/>
    <mergeCell ref="E37:J37"/>
    <mergeCell ref="B38:D38"/>
    <mergeCell ref="E38:J38"/>
    <mergeCell ref="B39:D39"/>
    <mergeCell ref="E39:J39"/>
    <mergeCell ref="B40:D40"/>
    <mergeCell ref="E40:J40"/>
    <mergeCell ref="B41:D41"/>
    <mergeCell ref="E41:J41"/>
    <mergeCell ref="B42:D42"/>
    <mergeCell ref="E42:J42"/>
    <mergeCell ref="B43:D43"/>
    <mergeCell ref="E43:J43"/>
    <mergeCell ref="B44:D44"/>
    <mergeCell ref="E44:J44"/>
    <mergeCell ref="B45:D45"/>
    <mergeCell ref="E45:J45"/>
    <mergeCell ref="B46:D46"/>
    <mergeCell ref="E46:J46"/>
    <mergeCell ref="B47:D47"/>
    <mergeCell ref="E47:J47"/>
    <mergeCell ref="B48:D48"/>
    <mergeCell ref="E48:J48"/>
    <mergeCell ref="B49:D49"/>
    <mergeCell ref="E49:J49"/>
    <mergeCell ref="B51:J51"/>
    <mergeCell ref="B52:J52"/>
    <mergeCell ref="B53:J53"/>
    <mergeCell ref="B54:J54"/>
    <mergeCell ref="B55:J55"/>
    <mergeCell ref="B56:J56"/>
    <mergeCell ref="B58:J58"/>
    <mergeCell ref="B59:J59"/>
    <mergeCell ref="B60:J60"/>
    <mergeCell ref="B61:J61"/>
    <mergeCell ref="B62:J62"/>
    <mergeCell ref="B63:J63"/>
    <mergeCell ref="B65:J66"/>
    <mergeCell ref="B68:J68"/>
    <mergeCell ref="B69:J69"/>
    <mergeCell ref="B71:J71"/>
    <mergeCell ref="B73:C73"/>
    <mergeCell ref="D73:E73"/>
    <mergeCell ref="F73:G73"/>
    <mergeCell ref="H73:I73"/>
    <mergeCell ref="B74:C74"/>
    <mergeCell ref="D74:E74"/>
    <mergeCell ref="F74:G74"/>
    <mergeCell ref="H74:I74"/>
    <mergeCell ref="B75:C75"/>
    <mergeCell ref="D75:E75"/>
    <mergeCell ref="F75:G75"/>
    <mergeCell ref="H75:I75"/>
    <mergeCell ref="B76:C76"/>
  </mergeCells>
  <hyperlinks>
    <hyperlink ref="H20" location="'📊 Dashboard'!A1" display="🏠  Dashboard"/>
    <hyperlink ref="B38" location="'⚙️ Lists &amp; Settings'!A1" display="⚙️  Lists &amp; Settings"/>
    <hyperlink ref="B39" location="'📊 Dashboard'!A1" display="🏠  Dashboard"/>
    <hyperlink ref="B40" location="'🧶 Product Catalog'!A1" display="🧶  Product Catalog"/>
    <hyperlink ref="B41" location="'🧵 Yarn &amp; Materials'!A1" display="🧵  Yarn &amp; Materials"/>
    <hyperlink ref="B42" location="'📦 Made &amp; Stocked'!A1" display="📦  Made &amp; Stocked"/>
    <hyperlink ref="B43" location="'🏪 Craft Fairs'!A1" display="🏪  Craft Fairs"/>
    <hyperlink ref="B44" location="'💰 Sales Log'!A1" display="💰  Sales Log"/>
    <hyperlink ref="B45" location="'🧮 Event Profit'!A1" display="🧮  Event Profit"/>
    <hyperlink ref="B46" location="'🔄 Reorder List'!A1" display="🔄  Reorder List"/>
    <hyperlink ref="B47" location="'🎒 Packing Checklist'!A1" display="🎒  Packing Checklist"/>
    <hyperlink ref="B48" location="'💵 Pricing Calculator'!A1" display="💵  Pricing Calculator"/>
    <hyperlink ref="B49" location="'📅 Monthly Summary'!A1" display="📅  Monthly Summary"/>
    <hyperlink ref="B73" location="'⚙️ Lists &amp; Settings'!A1" display="Settings"/>
    <hyperlink ref="D73" location="'📊 Dashboard'!A1" display="🏠 Home"/>
    <hyperlink ref="F73" location="'🧶 Product Catalog'!A1" display="Products"/>
    <hyperlink ref="H73" location="'🧵 Yarn &amp; Materials'!A1" display="Yarn"/>
    <hyperlink ref="B74" location="'📦 Made &amp; Stocked'!A1" display="Stock"/>
    <hyperlink ref="D74" location="'🏪 Craft Fairs'!A1" display="Fairs"/>
    <hyperlink ref="F74" location="'💰 Sales Log'!A1" display="Sales"/>
    <hyperlink ref="H74" location="'🧮 Event Profit'!A1" display="Event $"/>
    <hyperlink ref="B75" location="'🔄 Reorder List'!A1" display="Reorder"/>
    <hyperlink ref="D75" location="'🎒 Packing Checklist'!A1" display="Packing"/>
    <hyperlink ref="F75" location="'💵 Pricing Calculator'!A1" display="Pricing"/>
    <hyperlink ref="H75" location="'📅 Monthly Summary'!A1" display="Monthly"/>
    <hyperlink ref="B76" location="'📖 Start Here'!A1" display="▶ Help"/>
  </hyperlinks>
  <pageMargins left="0.4" right="0.4" top="0.5" bottom="0.5" header="0.3" footer="0.3"/>
  <pageSetup paperSize="9" fitToHeight="0" orientation="portrait"/>
  <headerFooter>
    <oddHeader>&amp;L&amp;"Calibri,Bold"&amp;11Crochet Craft Fair Tracker&amp;R&amp;"Calibri,Italic"&amp;9Page &amp;P of &amp;N</oddHeader>
    <oddFooter>&amp;C&amp;"Calibri,Italic"&amp;8%A  •  Ultimate Crochet Craft Fair Tracker v1.0  •  personal licence</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29</vt:i4>
      </vt:variant>
    </vt:vector>
  </HeadingPairs>
  <TitlesOfParts>
    <vt:vector size="43" baseType="lpstr">
      <vt:lpstr>_Data</vt:lpstr>
      <vt:lpstr>⚙️ Lists &amp; Settings</vt:lpstr>
      <vt:lpstr>📊 Dashboard</vt:lpstr>
      <vt:lpstr>🧶 Product Catalog</vt:lpstr>
      <vt:lpstr>🧵 Yarn &amp; Materials</vt:lpstr>
      <vt:lpstr>📦 Made &amp; Stocked</vt:lpstr>
      <vt:lpstr>🏪 Craft Fairs</vt:lpstr>
      <vt:lpstr>💰 Sales Log</vt:lpstr>
      <vt:lpstr>🧮 Event Profit</vt:lpstr>
      <vt:lpstr>🔄 Reorder List</vt:lpstr>
      <vt:lpstr>🎒 Packing Checklist</vt:lpstr>
      <vt:lpstr>💵 Pricing Calculator</vt:lpstr>
      <vt:lpstr>📅 Monthly Summary</vt:lpstr>
      <vt:lpstr>📖 Start Here</vt:lpstr>
      <vt:lpstr>BusinessName</vt:lpstr>
      <vt:lpstr>Categories</vt:lpstr>
      <vt:lpstr>Currency</vt:lpstr>
      <vt:lpstr>EventList</vt:lpstr>
      <vt:lpstr>HourlyWage</vt:lpstr>
      <vt:lpstr>MaterialsList</vt:lpstr>
      <vt:lpstr>Message</vt:lpstr>
      <vt:lpstr>OverheadPct</vt:lpstr>
      <vt:lpstr>PaymentMethods</vt:lpstr>
      <vt:lpstr>'⚙️ Lists &amp; Settings'!Print_Area</vt:lpstr>
      <vt:lpstr>'🎒 Packing Checklist'!Print_Area</vt:lpstr>
      <vt:lpstr>'🏪 Craft Fairs'!Print_Area</vt:lpstr>
      <vt:lpstr>'💰 Sales Log'!Print_Area</vt:lpstr>
      <vt:lpstr>'💵 Pricing Calculator'!Print_Area</vt:lpstr>
      <vt:lpstr>'📅 Monthly Summary'!Print_Area</vt:lpstr>
      <vt:lpstr>'📊 Dashboard'!Print_Area</vt:lpstr>
      <vt:lpstr>'📖 Start Here'!Print_Area</vt:lpstr>
      <vt:lpstr>'📦 Made &amp; Stocked'!Print_Area</vt:lpstr>
      <vt:lpstr>'🔄 Reorder List'!Print_Area</vt:lpstr>
      <vt:lpstr>'🧮 Event Profit'!Print_Area</vt:lpstr>
      <vt:lpstr>'🧵 Yarn &amp; Materials'!Print_Area</vt:lpstr>
      <vt:lpstr>'🧶 Product Catalog'!Print_Area</vt:lpstr>
      <vt:lpstr>ProductsList</vt:lpstr>
      <vt:lpstr>ReportYear</vt:lpstr>
      <vt:lpstr>Suppliers</vt:lpstr>
      <vt:lpstr>TargetMargin</vt:lpstr>
      <vt:lpstr>Tick</vt:lpstr>
      <vt:lpstr>Units</vt:lpstr>
      <vt:lpstr>YarnWeights</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Ultimate Crochet Craft Fair Tracker</dc:title>
  <dc:subject>Products • Yarn Stock • Fairs • Profit</dc:subject>
  <dc:creator>Novality Store</dc:creator>
  <cp:keywords>crochet business, craft fair tracker, product catalog, yarn inventory, inventory spreadsheet, profit dashboard, pricing calculator, sales log, event profit, reorder list, excel template, google sheets, etsy spreadsheet</cp:keywords>
  <dc:description>Ultimate Crochet Craft Fair Tracker v1.0 - Products • Yarn Stock • Fairs • Profit. Works in Excel 2016+ and Google Sheets. No macros, nothing to install.</dc:description>
  <cp:lastModifiedBy>Novality Store</cp:lastModifiedBy>
  <dcterms:created xsi:type="dcterms:W3CDTF">2026-09-13T13:14:43Z</dcterms:created>
  <dcterms:modified xsi:type="dcterms:W3CDTF">2026-09-13T13:14:43Z</dcterms:modified>
  <cp:category>Crochet Craft Fair Business Spreadsheet</cp:category>
</cp:coreProperties>
</file>