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firstSheet="3" activeTab="2"/>
  </bookViews>
  <sheets>
    <sheet name="_Data" sheetId="1" state="hidden" r:id="rId1"/>
    <sheet name="⚙️ Setup" sheetId="2" r:id="rId2"/>
    <sheet name="📊 Dashboard" sheetId="3" r:id="rId3"/>
    <sheet name="👥 Clients" sheetId="4" r:id="rId4"/>
    <sheet name="📅 Events" sheetId="5" r:id="rId5"/>
    <sheet name="🧮 Quote Calculator" sheetId="6" r:id="rId6"/>
    <sheet name="🍽️ Menu Costing" sheetId="7" r:id="rId7"/>
    <sheet name="📦 Inventory" sheetId="8" r:id="rId8"/>
    <sheet name="🛒 Shopping List" sheetId="9" r:id="rId9"/>
    <sheet name="💸 Expenses" sheetId="10" r:id="rId10"/>
    <sheet name="💰 Payments" sheetId="11" r:id="rId11"/>
    <sheet name="👷 Staff &amp; Labor" sheetId="12" r:id="rId12"/>
    <sheet name="🍳 Equipment" sheetId="13" r:id="rId13"/>
    <sheet name="🚚 Suppliers" sheetId="14" r:id="rId14"/>
    <sheet name="📆 Event Calendar" sheetId="15" r:id="rId15"/>
    <sheet name="📈 P&amp;L &amp; Reports" sheetId="16" r:id="rId16"/>
    <sheet name="🧾 Tax Tracker" sheetId="17" r:id="rId17"/>
    <sheet name="✅ Checklists" sheetId="18" r:id="rId18"/>
    <sheet name="🖨️ Invoice &amp; Proposal" sheetId="19" r:id="rId19"/>
    <sheet name="📖 Start Here" sheetId="20" r:id="rId20"/>
  </sheets>
  <definedNames>
    <definedName name="BusinessName">'⚙️ Setup'!$C$6</definedName>
    <definedName name="CalMonth">'⚙️ Setup'!$C$18</definedName>
    <definedName name="CalYear">'⚙️ Setup'!$C$19</definedName>
    <definedName name="ClientsList">OFFSET('👥 Clients'!$C$8,0,0,MAX(1,COUNTA('👥 Clients'!$C$8:$C$47)),1)</definedName>
    <definedName name="Currency">'⚙️ Setup'!$C$10</definedName>
    <definedName name="DefaultMargin">'⚙️ Setup'!$C$12</definedName>
    <definedName name="DepositPct">'⚙️ Setup'!$C$13</definedName>
    <definedName name="DueSoonDays">'⚙️ Setup'!$C$14</definedName>
    <definedName name="EventList">OFFSET('📅 Events'!$C$8,0,0,MAX(1,COUNTA('📅 Events'!$C$8:$C$47)),1)</definedName>
    <definedName name="EventStatuses">'⚙️ Setup'!$C$47:$C$52</definedName>
    <definedName name="EventTypes">OFFSET('⚙️ Setup'!$B$23,0,0,MAX(1,COUNTA('⚙️ Setup'!$B$23:$B$42)),1)</definedName>
    <definedName name="ExpenseCategories">OFFSET('⚙️ Setup'!$C$23,0,0,MAX(1,COUNTA('⚙️ Setup'!$C$23:$C$42)),1)</definedName>
    <definedName name="IngredientCategories">OFFSET('⚙️ Setup'!$G$23,0,0,MAX(1,COUNTA('⚙️ Setup'!$G$23:$G$42)),1)</definedName>
    <definedName name="MenuCategories">OFFSET('⚙️ Setup'!$F$23,0,0,MAX(1,COUNTA('⚙️ Setup'!$F$23:$F$42)),1)</definedName>
    <definedName name="MenuItems">OFFSET('🍽️ Menu Costing'!$C$8,0,0,MAX(1,COUNTA('🍽️ Menu Costing'!$C$8:$C$37)),1)</definedName>
    <definedName name="PaymentMethods">OFFSET('⚙️ Setup'!$D$23,0,0,MAX(1,COUNTA('⚙️ Setup'!$D$23:$D$42)),1)</definedName>
    <definedName name="PaymentStatuses">'⚙️ Setup'!$D$47:$D$49</definedName>
    <definedName name="_xlnm.Print_Area" localSheetId="0">_Data!$A$1:$AF$102</definedName>
    <definedName name="_xlnm.Print_Area" localSheetId="1">'⚙️ Setup'!$A$1:$H$60</definedName>
    <definedName name="_xlnm.Print_Area" localSheetId="17">'✅ Checklists'!$A$1:$K$63</definedName>
    <definedName name="_xlnm.Print_Area" localSheetId="12">'🍳 Equipment'!$A$1:$L$52</definedName>
    <definedName name="_xlnm.Print_Area" localSheetId="6">'🍽️ Menu Costing'!$A$1:$K$67</definedName>
    <definedName name="_xlnm.Print_Area" localSheetId="3">'👥 Clients'!$A$1:$O$57</definedName>
    <definedName name="_xlnm.Print_Area" localSheetId="11">'👷 Staff &amp; Labor'!$A$1:$K$67</definedName>
    <definedName name="_xlnm.Print_Area" localSheetId="10">'💰 Payments'!$A$1:$M$97</definedName>
    <definedName name="_xlnm.Print_Area" localSheetId="9">'💸 Expenses'!$A$1:$J$77</definedName>
    <definedName name="_xlnm.Print_Area" localSheetId="4">'📅 Events'!$A$1:$R$57</definedName>
    <definedName name="_xlnm.Print_Area" localSheetId="14">'📆 Event Calendar'!$A$1:$M$44</definedName>
    <definedName name="_xlnm.Print_Area" localSheetId="15">'📈 P&amp;L &amp; Reports'!$A$1:$P$84</definedName>
    <definedName name="_xlnm.Print_Area" localSheetId="2">'📊 Dashboard'!$A$1:$Q$71</definedName>
    <definedName name="_xlnm.Print_Area" localSheetId="19">'📖 Start Here'!$A$1:$I$64</definedName>
    <definedName name="_xlnm.Print_Area" localSheetId="7">'📦 Inventory'!$A$1:$L$57</definedName>
    <definedName name="_xlnm.Print_Area" localSheetId="18">'🖨️ Invoice &amp; Proposal'!$A$1:$I$41</definedName>
    <definedName name="_xlnm.Print_Area" localSheetId="13">'🚚 Suppliers'!$A$1:$M$47</definedName>
    <definedName name="_xlnm.Print_Area" localSheetId="8">'🛒 Shopping List'!$A$1:$L$57</definedName>
    <definedName name="_xlnm.Print_Area" localSheetId="5">'🧮 Quote Calculator'!$A$1:$G$34</definedName>
    <definedName name="_xlnm.Print_Area" localSheetId="16">'🧾 Tax Tracker'!$A$1:$J$46</definedName>
    <definedName name="_xlnm.Print_Titles" localSheetId="12">'🍳 Equipment'!$7:$7</definedName>
    <definedName name="_xlnm.Print_Titles" localSheetId="6">'🍽️ Menu Costing'!$7:$7</definedName>
    <definedName name="_xlnm.Print_Titles" localSheetId="3">'👥 Clients'!$7:$7</definedName>
    <definedName name="_xlnm.Print_Titles" localSheetId="11">'👷 Staff &amp; Labor'!$7:$7</definedName>
    <definedName name="_xlnm.Print_Titles" localSheetId="10">'💰 Payments'!$7:$7</definedName>
    <definedName name="_xlnm.Print_Titles" localSheetId="9">'💸 Expenses'!$7:$7</definedName>
    <definedName name="_xlnm.Print_Titles" localSheetId="4">'📅 Events'!$7:$7</definedName>
    <definedName name="_xlnm.Print_Titles" localSheetId="7">'📦 Inventory'!$7:$7</definedName>
    <definedName name="_xlnm.Print_Titles" localSheetId="13">'🚚 Suppliers'!$7:$7</definedName>
    <definedName name="_xlnm.Print_Titles" localSheetId="8">'🛒 Shopping List'!$7:$7</definedName>
    <definedName name="ReportYear">'⚙️ Setup'!$C$15</definedName>
    <definedName name="StaffRoles">OFFSET('⚙️ Setup'!$E$23,0,0,MAX(1,COUNTA('⚙️ Setup'!$E$23:$E$42)),1)</definedName>
    <definedName name="SuppliersList">OFFSET('🚚 Suppliers'!$C$8,0,0,MAX(1,COUNTA('🚚 Suppliers'!$C$8:$C$37)),1)</definedName>
    <definedName name="TaxRate">'⚙️ Setup'!$C$11</definedName>
    <definedName name="Tick">'⚙️ Setup'!$E$47:$E$48</definedName>
  </definedNames>
  <calcPr calcId="124519" fullCalcOnLoad="1"/>
</workbook>
</file>

<file path=xl/sharedStrings.xml><?xml version="1.0" encoding="utf-8"?>
<sst xmlns="http://schemas.openxmlformats.org/spreadsheetml/2006/main" count="980" uniqueCount="518">
  <si>
    <t>Ultimate Catering Business Spreadsheet - calculation engine (hidden).  Every number on the Dashboard and the reports is computed here.</t>
  </si>
  <si>
    <t>Jan</t>
  </si>
  <si>
    <t>Feb</t>
  </si>
  <si>
    <t>Mar</t>
  </si>
  <si>
    <t>Apr</t>
  </si>
  <si>
    <t>May</t>
  </si>
  <si>
    <t>Jun</t>
  </si>
  <si>
    <t>Jul</t>
  </si>
  <si>
    <t>Aug</t>
  </si>
  <si>
    <t>Sep</t>
  </si>
  <si>
    <t>Oct</t>
  </si>
  <si>
    <t>Nov</t>
  </si>
  <si>
    <t>Dec</t>
  </si>
  <si>
    <t>Month</t>
  </si>
  <si>
    <t>Cash in</t>
  </si>
  <si>
    <t>Cash out</t>
  </si>
  <si>
    <t>Net</t>
  </si>
  <si>
    <t>Events</t>
  </si>
  <si>
    <t>Expense category</t>
  </si>
  <si>
    <t>Spend</t>
  </si>
  <si>
    <t>Ingredients</t>
  </si>
  <si>
    <t>Packaging</t>
  </si>
  <si>
    <t>Staff / Labor</t>
  </si>
  <si>
    <t>Transportation</t>
  </si>
  <si>
    <t>Equipment</t>
  </si>
  <si>
    <t>Kitchen Rental</t>
  </si>
  <si>
    <t>Marketing</t>
  </si>
  <si>
    <t>Insurance</t>
  </si>
  <si>
    <t>Utilities</t>
  </si>
  <si>
    <t>Software</t>
  </si>
  <si>
    <t>Miscellaneous</t>
  </si>
  <si>
    <t>Event type</t>
  </si>
  <si>
    <t>Revenue</t>
  </si>
  <si>
    <t>Wedding</t>
  </si>
  <si>
    <t>Corporate</t>
  </si>
  <si>
    <t>Birthday</t>
  </si>
  <si>
    <t>Private Party</t>
  </si>
  <si>
    <t>Buffet</t>
  </si>
  <si>
    <t>Cocktail</t>
  </si>
  <si>
    <t>Conference</t>
  </si>
  <si>
    <t>Festival</t>
  </si>
  <si>
    <t>Other</t>
  </si>
  <si>
    <t>Status</t>
  </si>
  <si>
    <t>💬 Inquiry</t>
  </si>
  <si>
    <t>📝 Quote Sent</t>
  </si>
  <si>
    <t>💰 Deposit Paid</t>
  </si>
  <si>
    <t>✅ Confirmed</t>
  </si>
  <si>
    <t>🎉 Completed</t>
  </si>
  <si>
    <t>❌ Cancelled</t>
  </si>
  <si>
    <t>Client</t>
  </si>
  <si>
    <t>Received</t>
  </si>
  <si>
    <t>Menu item</t>
  </si>
  <si>
    <t>Booked</t>
  </si>
  <si>
    <t>Upcoming date</t>
  </si>
  <si>
    <t>Upcoming event</t>
  </si>
  <si>
    <t>Payment due</t>
  </si>
  <si>
    <t>Owes</t>
  </si>
  <si>
    <t>Balance</t>
  </si>
  <si>
    <t>KPI</t>
  </si>
  <si>
    <t>Value</t>
  </si>
  <si>
    <t>Cash received (deposits + payments)</t>
  </si>
  <si>
    <t>Total expenses</t>
  </si>
  <si>
    <t>Net profit</t>
  </si>
  <si>
    <t>Net profit margin</t>
  </si>
  <si>
    <t>Events on the books</t>
  </si>
  <si>
    <t>Events completed</t>
  </si>
  <si>
    <t>Events confirmed (upcoming)</t>
  </si>
  <si>
    <t>Events cancelled</t>
  </si>
  <si>
    <t>Average order value</t>
  </si>
  <si>
    <t>Average guests per event</t>
  </si>
  <si>
    <t>Average profit per event</t>
  </si>
  <si>
    <t>Guests catered (completed)</t>
  </si>
  <si>
    <t>Outstanding receivables</t>
  </si>
  <si>
    <t>Overdue invoices</t>
  </si>
  <si>
    <t>Invoices still open</t>
  </si>
  <si>
    <t>Ingredient &amp; packaging spend</t>
  </si>
  <si>
    <t>Staff / labor spend</t>
  </si>
  <si>
    <t>Food cost % of revenue</t>
  </si>
  <si>
    <t>Labor cost % of revenue</t>
  </si>
  <si>
    <t>Repeat customer %</t>
  </si>
  <si>
    <t>Inventory value</t>
  </si>
  <si>
    <t>Ingredients below minimum</t>
  </si>
  <si>
    <t>Shopping lines open</t>
  </si>
  <si>
    <t>Shopping list estimated cost</t>
  </si>
  <si>
    <t>Unpaid staff shifts</t>
  </si>
  <si>
    <t>Equipment value</t>
  </si>
  <si>
    <t>Equipment needing service</t>
  </si>
  <si>
    <t>Tax collected on sales</t>
  </si>
  <si>
    <t>Estimated tax still due</t>
  </si>
  <si>
    <t>Quote calculator: recommended price</t>
  </si>
  <si>
    <t>Quote calculator: price per guest</t>
  </si>
  <si>
    <t>Menu items priced</t>
  </si>
  <si>
    <t>Average menu margin</t>
  </si>
  <si>
    <t>Best earning event type</t>
  </si>
  <si>
    <t>Highest value client</t>
  </si>
  <si>
    <t>Settings &amp; lists</t>
  </si>
  <si>
    <t>Set up once - every tab reads from here</t>
  </si>
  <si>
    <t>🏠  Back to Dashboard</t>
  </si>
  <si>
    <t>1 · Your business</t>
  </si>
  <si>
    <t>Business name</t>
  </si>
  <si>
    <t>Shown on the Dashboard and the Invoice tab.</t>
  </si>
  <si>
    <t>Dashboard note</t>
  </si>
  <si>
    <t>A little reminder for the team - shown under the Dashboard title.</t>
  </si>
  <si>
    <t>2 · Money settings</t>
  </si>
  <si>
    <t>Currency symbol</t>
  </si>
  <si>
    <t>$</t>
  </si>
  <si>
    <t>Pick from the dropdown, or type your own symbol.</t>
  </si>
  <si>
    <t>Sales tax / VAT rate</t>
  </si>
  <si>
    <t>Applied on the Invoice tab and in the Tax Tracker.</t>
  </si>
  <si>
    <t>Target profit margin</t>
  </si>
  <si>
    <t>The Quote Calculator prices events to hit this.</t>
  </si>
  <si>
    <t>Deposit to confirm</t>
  </si>
  <si>
    <t>Suggested deposit share of the total price.</t>
  </si>
  <si>
    <t>“Due soon” window (days)</t>
  </si>
  <si>
    <t>Dates inside this window glow amber on every tab.</t>
  </si>
  <si>
    <t>Report year</t>
  </si>
  <si>
    <t>Drives the P&amp;L and the Tax Tracker.</t>
  </si>
  <si>
    <t>3 · Calendar</t>
  </si>
  <si>
    <t>Month to show</t>
  </si>
  <si>
    <t>Year to show</t>
  </si>
  <si>
    <t>The Event Calendar tab shows this month (1 = January ... 12 = December).</t>
  </si>
  <si>
    <t>4 · Your dropdown lists (edit freely)</t>
  </si>
  <si>
    <t>Event types</t>
  </si>
  <si>
    <t>Expense categories</t>
  </si>
  <si>
    <t>Ingredient categories</t>
  </si>
  <si>
    <t>Menu categories</t>
  </si>
  <si>
    <t>Payment methods</t>
  </si>
  <si>
    <t>Staff roles</t>
  </si>
  <si>
    <t>Produce</t>
  </si>
  <si>
    <t>Meat &amp; Fish</t>
  </si>
  <si>
    <t>Dairy</t>
  </si>
  <si>
    <t>Pantry</t>
  </si>
  <si>
    <t>Bakery</t>
  </si>
  <si>
    <t>Beverages</t>
  </si>
  <si>
    <t>Starter</t>
  </si>
  <si>
    <t>Main</t>
  </si>
  <si>
    <t>Dessert</t>
  </si>
  <si>
    <t>Sides</t>
  </si>
  <si>
    <t>Beverage</t>
  </si>
  <si>
    <t>Canapé</t>
  </si>
  <si>
    <t>Cash</t>
  </si>
  <si>
    <t>Bank Transfer</t>
  </si>
  <si>
    <t>Card</t>
  </si>
  <si>
    <t>Cheque</t>
  </si>
  <si>
    <t>Mobile Wallet</t>
  </si>
  <si>
    <t>Head Chef</t>
  </si>
  <si>
    <t>Chef</t>
  </si>
  <si>
    <t>Sous Chef</t>
  </si>
  <si>
    <t>Server</t>
  </si>
  <si>
    <t>Bartender</t>
  </si>
  <si>
    <t>Driver</t>
  </si>
  <si>
    <t>Setup Crew</t>
  </si>
  <si>
    <t>Cleaner</t>
  </si>
  <si>
    <t>Manager</t>
  </si>
  <si>
    <t>5 · Fixed lists (the status formulas depend on these exact texts - locked)</t>
  </si>
  <si>
    <t>Event statuses</t>
  </si>
  <si>
    <t>Payment statuses</t>
  </si>
  <si>
    <t>🔴 Unpaid</t>
  </si>
  <si>
    <t>🟠 Partial</t>
  </si>
  <si>
    <t>🟢 Paid in full</t>
  </si>
  <si>
    <t>Tick</t>
  </si>
  <si>
    <t>✓</t>
  </si>
  <si>
    <t>Tip: empty rows in a list simply don't appear in the dropdowns.  Add options at the bottom of a column and they show up everywhere, instantly.</t>
  </si>
  <si>
    <t>▶ Setup</t>
  </si>
  <si>
    <t>🏠 Home</t>
  </si>
  <si>
    <t>Clients</t>
  </si>
  <si>
    <t>Quote</t>
  </si>
  <si>
    <t>Menu</t>
  </si>
  <si>
    <t>Stock</t>
  </si>
  <si>
    <t>Shop</t>
  </si>
  <si>
    <t>Expenses</t>
  </si>
  <si>
    <t>Payments</t>
  </si>
  <si>
    <t>Staff</t>
  </si>
  <si>
    <t>Equip</t>
  </si>
  <si>
    <t>Suppliers</t>
  </si>
  <si>
    <t>Calendar</t>
  </si>
  <si>
    <t>P&amp;L</t>
  </si>
  <si>
    <t>Tax</t>
  </si>
  <si>
    <t>Checks</t>
  </si>
  <si>
    <t>Invoice</t>
  </si>
  <si>
    <t>Help</t>
  </si>
  <si>
    <t>CASH IN</t>
  </si>
  <si>
    <t>CASH OUT</t>
  </si>
  <si>
    <t>NET PROFIT</t>
  </si>
  <si>
    <t>NET MARGIN</t>
  </si>
  <si>
    <t>EVENTS ON THE BOOKS</t>
  </si>
  <si>
    <t>CONFIRMED &amp; COMING UP</t>
  </si>
  <si>
    <t>OUTSTANDING</t>
  </si>
  <si>
    <t>OVERDUE INVOICES</t>
  </si>
  <si>
    <t>FOOD COST %</t>
  </si>
  <si>
    <t>LABOR %</t>
  </si>
  <si>
    <t>AVG ORDER VALUE</t>
  </si>
  <si>
    <t>GUESTS SERVED</t>
  </si>
  <si>
    <t>INVENTORY VALUE</t>
  </si>
  <si>
    <t>LOW STOCK</t>
  </si>
  <si>
    <t>SHOPPING TO BUY</t>
  </si>
  <si>
    <t>UNPAID SHIFTS</t>
  </si>
  <si>
    <t>How the season is going</t>
  </si>
  <si>
    <t>Collected vs invoiced</t>
  </si>
  <si>
    <t>Costs vs cash in</t>
  </si>
  <si>
    <t>The picture</t>
  </si>
  <si>
    <t>Every number on this page updates itself from the other tabs - nothing here is typed by hand.</t>
  </si>
  <si>
    <t>Setup</t>
  </si>
  <si>
    <t>▶ 🏠 Home</t>
  </si>
  <si>
    <t>Everyone you cook for - balances and history in one place</t>
  </si>
  <si>
    <t>#</t>
  </si>
  <si>
    <t>Client / company</t>
  </si>
  <si>
    <t>Phone</t>
  </si>
  <si>
    <t>Email</t>
  </si>
  <si>
    <t>Next event</t>
  </si>
  <si>
    <t>Guests</t>
  </si>
  <si>
    <t>Venue / address</t>
  </si>
  <si>
    <t>Package</t>
  </si>
  <si>
    <t>Quoted</t>
  </si>
  <si>
    <t>Deposit</t>
  </si>
  <si>
    <t>Balance due</t>
  </si>
  <si>
    <t>Payment status</t>
  </si>
  <si>
    <t>Notes</t>
  </si>
  <si>
    <t>TOTALS</t>
  </si>
  <si>
    <t>How this tab works</t>
  </si>
  <si>
    <t>The Balance due column calculates itself (quote minus deposit) - type over the white cells only.
Payment status drives the colours here and the receivables cards on the Dashboard.</t>
  </si>
  <si>
    <t>▶ Clients</t>
  </si>
  <si>
    <t>Every booking - costs, pricing and profit per event</t>
  </si>
  <si>
    <t>Event ID</t>
  </si>
  <si>
    <t>Date</t>
  </si>
  <si>
    <t>Type</t>
  </si>
  <si>
    <t>Menu / dishes</t>
  </si>
  <si>
    <t>Crew</t>
  </si>
  <si>
    <t>Equipment needed</t>
  </si>
  <si>
    <t>Cost</t>
  </si>
  <si>
    <t>Price</t>
  </si>
  <si>
    <t>Profit</t>
  </si>
  <si>
    <t>Margin</t>
  </si>
  <si>
    <t>Profit, Margin and Balance calculate themselves - never type in the tinted columns.
The Status pipeline feeds the Pipeline doughnut on the Dashboard; dates go amber inside your due-soon window and red once a live event has passed.</t>
  </si>
  <si>
    <t>▶ Events</t>
  </si>
  <si>
    <t>Quote Calculator</t>
  </si>
  <si>
    <t>Price an event in 30 seconds - margin, deposit and per-guest numbers included</t>
  </si>
  <si>
    <t>1 · Your inputs</t>
  </si>
  <si>
    <t>2 · The quote (automatic)</t>
  </si>
  <si>
    <t>Client / enquiry</t>
  </si>
  <si>
    <t>Event date</t>
  </si>
  <si>
    <t>Food cost per guest</t>
  </si>
  <si>
    <t>Kitchen &amp; service crew</t>
  </si>
  <si>
    <t>Equipment &amp; rentals</t>
  </si>
  <si>
    <t>Transport &amp; fuel</t>
  </si>
  <si>
    <t>Other costs</t>
  </si>
  <si>
    <t>Target margin</t>
  </si>
  <si>
    <t>Deposit %</t>
  </si>
  <si>
    <t>Food total</t>
  </si>
  <si>
    <t>Total cost</t>
  </si>
  <si>
    <t>RECOMMENDED PRICE</t>
  </si>
  <si>
    <t>Price per guest</t>
  </si>
  <si>
    <t>Profit on the job</t>
  </si>
  <si>
    <t>Balance after deposit</t>
  </si>
  <si>
    <t>Cost per guest</t>
  </si>
  <si>
    <t>How the math works</t>
  </si>
  <si>
    <t>•  Price = Total cost ÷ (1 - margin).  At a 35% target margin, $1,000 of costs prices at $1,538 - you keep $538.</t>
  </si>
  <si>
    <t>•  The margin and deposit start from your Setup defaults; type over them here for a one-off quote without changing the defaults.</t>
  </si>
  <si>
    <t>•  When they say yes: add the event on the Events tab, the deposit on the Payments tab, and the ingredients on the Shopping List.</t>
  </si>
  <si>
    <t>▶ Quote</t>
  </si>
  <si>
    <t>Menu Costing</t>
  </si>
  <si>
    <t>Cost every dish - margins that make the quotes honest</t>
  </si>
  <si>
    <t>Category</t>
  </si>
  <si>
    <t>Key ingredients</t>
  </si>
  <si>
    <t>Portion</t>
  </si>
  <si>
    <t>Cost / portion</t>
  </si>
  <si>
    <t>Menu price</t>
  </si>
  <si>
    <t>MENU TOTALS</t>
  </si>
  <si>
    <t>Cost per portion = everything on the plate: ingredients plus a share of packaging.  If the margin bar glows amber the dish is under your Setup target.
Use these numbers in the Quote Calculator (food cost per guest) so every quote is backed by real food costs.</t>
  </si>
  <si>
    <t>▶ Menu</t>
  </si>
  <si>
    <t>Inventory</t>
  </si>
  <si>
    <t>Know what's on the shelf - and what to reorder this week</t>
  </si>
  <si>
    <t>Ingredient</t>
  </si>
  <si>
    <t>Unit</t>
  </si>
  <si>
    <t>In stock</t>
  </si>
  <si>
    <t>Min level</t>
  </si>
  <si>
    <t>Unit cost</t>
  </si>
  <si>
    <t>Stock value</t>
  </si>
  <si>
    <t>Supplier</t>
  </si>
  <si>
    <t>TOTAL STOCK VALUE</t>
  </si>
  <si>
    <t>Status is automatic: below your minimum it turns red (Reorder), under 1.5x the minimum it glows amber (Low), otherwise green (OK).
The Shopping List checks these quantities before telling you what to buy - keep them honest after every shop.</t>
  </si>
  <si>
    <t>▶ Stock</t>
  </si>
  <si>
    <t>Shopping List</t>
  </si>
  <si>
    <t>Buy exactly what each event needs - nothing more, nothing less</t>
  </si>
  <si>
    <t>Event</t>
  </si>
  <si>
    <t>Needed</t>
  </si>
  <si>
    <t>To buy</t>
  </si>
  <si>
    <t>Est. cost</t>
  </si>
  <si>
    <t>Bought</t>
  </si>
  <si>
    <t>Bought on</t>
  </si>
  <si>
    <t>STILL TO BUY</t>
  </si>
  <si>
    <t>In stock and To buy are looked up from the Inventory tab automatically - type the event, ingredient and how much you need.
Estimated cost uses the unit cost on the Inventory tab; the total only counts lines you haven't ticked off yet.</t>
  </si>
  <si>
    <t>▶ Shop</t>
  </si>
  <si>
    <t>Every cost, categorised - the P&amp;L builds itself from here</t>
  </si>
  <si>
    <t>Vendor</t>
  </si>
  <si>
    <t>What / description</t>
  </si>
  <si>
    <t>Amount</t>
  </si>
  <si>
    <t>Paid by</t>
  </si>
  <si>
    <t>Receipt</t>
  </si>
  <si>
    <t>TOTAL SPEND</t>
  </si>
  <si>
    <t>Categorising is what makes the Dashboard doughnut, the food cost % and the P&amp;L work - pick from the dropdown rather than typing.
Ingredients + Packaging count as food cost; everything else is operating cost in the P&amp;L.</t>
  </si>
  <si>
    <t>▶ Expenses</t>
  </si>
  <si>
    <t>Deposits, installments and final balances - who owes what</t>
  </si>
  <si>
    <t>Invoice #</t>
  </si>
  <si>
    <t>Invoice total</t>
  </si>
  <si>
    <t>Payment 2</t>
  </si>
  <si>
    <t>Final payment</t>
  </si>
  <si>
    <t>Due date</t>
  </si>
  <si>
    <t>Received and Balance calculate themselves from the deposit and payment columns - only type in the white cells.
Due dates go amber inside your due-soon window and red once they pass with a balance left; the Dashboard overdue card counts them.</t>
  </si>
  <si>
    <t>▶ Payments</t>
  </si>
  <si>
    <t>Staff &amp; Labor</t>
  </si>
  <si>
    <t>Crew, shifts and the wage bill - overtime at 1.5x</t>
  </si>
  <si>
    <t>Team member</t>
  </si>
  <si>
    <t>Role</t>
  </si>
  <si>
    <t>Hours</t>
  </si>
  <si>
    <t>Rate</t>
  </si>
  <si>
    <t>OT hrs</t>
  </si>
  <si>
    <t>Shift cost</t>
  </si>
  <si>
    <t>Paid</t>
  </si>
  <si>
    <t>TOTAL WAGE BILL</t>
  </si>
  <si>
    <t>Shift cost = hours x rate + overtime x rate x 1.5.  It calculates itself; the totals feed the labor % on the Dashboard when you log wages on the Expenses tab.
Tick the Paid box when the shift is settled - unpaid shifts stay amber until you do.</t>
  </si>
  <si>
    <t>▶ Staff</t>
  </si>
  <si>
    <t>Chafers to trailers - availability, value and service dates</t>
  </si>
  <si>
    <t>Item</t>
  </si>
  <si>
    <t>Owned</t>
  </si>
  <si>
    <t>Reserved</t>
  </si>
  <si>
    <t>Damaged</t>
  </si>
  <si>
    <t>Available</t>
  </si>
  <si>
    <t>Value / unit</t>
  </si>
  <si>
    <t>Total value</t>
  </si>
  <si>
    <t>Next service</t>
  </si>
  <si>
    <t>FLEET TOTALS</t>
  </si>
  <si>
    <t>Available = owned - reserved - damaged.  Status turns 🔧 Service when something is damaged and 🟡 Soon within 30 days of the service date.
Use Reserved for what's already promised to upcoming events so you never double-book the trailer.</t>
  </si>
  <si>
    <t>▶ Equip</t>
  </si>
  <si>
    <t>Who sells what, at what price, on what terms</t>
  </si>
  <si>
    <t>Contact</t>
  </si>
  <si>
    <t>What they supply</t>
  </si>
  <si>
    <t>From price</t>
  </si>
  <si>
    <t>Min order</t>
  </si>
  <si>
    <t>Delivery</t>
  </si>
  <si>
    <t>Terms</t>
  </si>
  <si>
    <t>Adding a supplier here makes them selectable on the Inventory and Shopping List tabs.
From price is your reference price for comparisons - the actual cost per unit lives on the Inventory tab, where the shopping estimates read it.</t>
  </si>
  <si>
    <t>▶ Suppliers</t>
  </si>
  <si>
    <t>Event Calendar</t>
  </si>
  <si>
    <t>One glance at the month - events, deliveries and payment deadlines</t>
  </si>
  <si>
    <t>Mon</t>
  </si>
  <si>
    <t>Tue</t>
  </si>
  <si>
    <t>Wed</t>
  </si>
  <si>
    <t>Thu</t>
  </si>
  <si>
    <t>Fri</t>
  </si>
  <si>
    <t>Sat</t>
  </si>
  <si>
    <t>Sun</t>
  </si>
  <si>
    <t>This month's events</t>
  </si>
  <si>
    <t>Payments due</t>
  </si>
  <si>
    <t>calendar helpers</t>
  </si>
  <si>
    <t>Change the month and year in section 3 of the Setup tab - the grid, the marks and both lists follow.   ● upcoming events    ▲ payment deadlines</t>
  </si>
  <si>
    <t>▶ Calendar</t>
  </si>
  <si>
    <t>P&amp;L &amp; Reports</t>
  </si>
  <si>
    <t>The year in numbers - profit, cash and where it all went</t>
  </si>
  <si>
    <t>Profit &amp; loss - booked basis</t>
  </si>
  <si>
    <t>Event revenue (booked, not cancelled)</t>
  </si>
  <si>
    <t>Cost of goods - food &amp; packaging</t>
  </si>
  <si>
    <t>GROSS PROFIT</t>
  </si>
  <si>
    <t>Operating expenses (everything else)</t>
  </si>
  <si>
    <t>Gross margin</t>
  </si>
  <si>
    <t>Net margin</t>
  </si>
  <si>
    <t>Accrual view: bookings and spend inside the report year, regardless of when cash moved.</t>
  </si>
  <si>
    <t>The year in numbers</t>
  </si>
  <si>
    <t>EVENTS COMPLETED</t>
  </si>
  <si>
    <t>AVG PROFIT / EVENT</t>
  </si>
  <si>
    <t>BEST EARNING EVENT TYPE</t>
  </si>
  <si>
    <t>HIGHEST VALUE CLIENT</t>
  </si>
  <si>
    <t>Cash by month - what actually landed</t>
  </si>
  <si>
    <t>YEAR</t>
  </si>
  <si>
    <t>Booked vs cash: the P&amp;L counts bookings and spending in the report year; the monthly table counts money that actually moved.  Healthy businesses watch both.</t>
  </si>
  <si>
    <t>▶ P&amp;L</t>
  </si>
  <si>
    <t>Tax Tracker</t>
  </si>
  <si>
    <t>Sales tax estimated, filed and still due - the honest picture</t>
  </si>
  <si>
    <t>The estimate</t>
  </si>
  <si>
    <t>Sales subject to tax (invoiced, year)</t>
  </si>
  <si>
    <t>Your tax rate (from Setup)</t>
  </si>
  <si>
    <t>Tax collected on those sales</t>
  </si>
  <si>
    <t>Tax already filed &amp; paid</t>
  </si>
  <si>
    <t>ESTIMATED TAX STILL DUE</t>
  </si>
  <si>
    <t>Estimates only - rates and rules vary by country and state.  Share this sheet with your accountant, keep the filings log below up to date, and you'll never dread a quarter-end again.</t>
  </si>
  <si>
    <t>Filings &amp; payments log</t>
  </si>
  <si>
    <t>What was filed / paid</t>
  </si>
  <si>
    <t>Reference</t>
  </si>
  <si>
    <t>FILED &amp; PAID</t>
  </si>
  <si>
    <t>▶ Tax</t>
  </si>
  <si>
    <t>Checklists</t>
  </si>
  <si>
    <t>From “yes” to packed up - the four lists that keep an event on the rails</t>
  </si>
  <si>
    <t>1 · Event prep - the master list</t>
  </si>
  <si>
    <t>Confirm date, guest count and menu with the client</t>
  </si>
  <si>
    <t>Send the quote and get written approval</t>
  </si>
  <si>
    <t>Collect the deposit and log it on the Payments tab</t>
  </si>
  <si>
    <t>Book the venue walk-through and floor plan</t>
  </si>
  <si>
    <t>Finalise the menu and schedule a tasting if needed</t>
  </si>
  <si>
    <t>Confirm the crew and send the schedule (Staff tab)</t>
  </si>
  <si>
    <t>Reserve equipment and rentals (Equipment tab)</t>
  </si>
  <si>
    <t>Build the shopping list against inventory</t>
  </si>
  <si>
    <t>Order ingredients with long lead times</t>
  </si>
  <si>
    <t>Confirm delivery, setup and pack-down times</t>
  </si>
  <si>
    <t>2 · Shopping &amp; supplies</t>
  </si>
  <si>
    <t>Stock check against minimum levels (Inventory tab)</t>
  </si>
  <si>
    <t>Build the per-event shopping list</t>
  </si>
  <si>
    <t>Compare supplier prices before ordering</t>
  </si>
  <si>
    <t>Place bulk orders on account / net terms</t>
  </si>
  <si>
    <t>Buy dairy and proteins (2-3 days before)</t>
  </si>
  <si>
    <t>Buy fresh produce (1-2 days before)</t>
  </si>
  <si>
    <t>Confirm delivery slots with suppliers</t>
  </si>
  <si>
    <t>Receive, check, label and store everything</t>
  </si>
  <si>
    <t>Prepare anything that can be made ahead</t>
  </si>
  <si>
    <t>Stage crates per event so nothing walks off</t>
  </si>
  <si>
    <t>3 · On the day - the timeline</t>
  </si>
  <si>
    <t>Load the van the night before (use the packing order)</t>
  </si>
  <si>
    <t>Team briefing, uniforms and food-safety check</t>
  </si>
  <si>
    <t>Arrive, set up kitchen and service stations</t>
  </si>
  <si>
    <t>Start cooking on schedule</t>
  </si>
  <si>
    <t>Set tables, linen and garnishes</t>
  </si>
  <si>
    <t>Brief the service team on the run of play</t>
  </si>
  <si>
    <t>Service begins - plates land on time</t>
  </si>
  <si>
    <t>Clear and refresh between courses</t>
  </si>
  <si>
    <t>Pack down equipment and leftovers</t>
  </si>
  <si>
    <t>Final walk-through with the client before leaving</t>
  </si>
  <si>
    <t>4 · Wrap-up &amp; follow-up</t>
  </si>
  <si>
    <t>Send the final invoice and log the balance</t>
  </si>
  <si>
    <t>Record actual costs on the Expenses tab</t>
  </si>
  <si>
    <t>Update inventory quantities after the event</t>
  </si>
  <si>
    <t>Pay the crew and tick the shifts off</t>
  </si>
  <si>
    <t>Log mileage, fuel and any parking costs</t>
  </si>
  <si>
    <t>Note what worked and what to change next time</t>
  </si>
  <si>
    <t>Ask for a review or a referral</t>
  </si>
  <si>
    <t>File receipts, photos and the signed quote</t>
  </si>
  <si>
    <t>Update the client's notes for next time</t>
  </si>
  <si>
    <t>Celebrate - you earned it</t>
  </si>
  <si>
    <t>Tweak these until they match how you work - then never improvise at 6am again.</t>
  </si>
  <si>
    <t>▶ Checks</t>
  </si>
  <si>
    <t>INVOICE</t>
  </si>
  <si>
    <t>Valid until</t>
  </si>
  <si>
    <t>BILL TO</t>
  </si>
  <si>
    <t>PREPARED BY</t>
  </si>
  <si>
    <t>WHAT YOU'RE BUYING</t>
  </si>
  <si>
    <t>LINE TOTAL</t>
  </si>
  <si>
    <t>Subtotal</t>
  </si>
  <si>
    <t>Discount</t>
  </si>
  <si>
    <t>Taxable subtotal</t>
  </si>
  <si>
    <t>Tax ( rate from Setup)</t>
  </si>
  <si>
    <t>TOTAL DUE</t>
  </si>
  <si>
    <t>Deposit to confirm ( from Setup)</t>
  </si>
  <si>
    <t>Notes &amp; terms</t>
  </si>
  <si>
    <t>Signatures</t>
  </si>
  <si>
    <t>Deposit due to confirm the date.  Final balance due 3 days before the event.  Prices valid for 14 days.</t>
  </si>
  <si>
    <t>Client signature</t>
  </si>
  <si>
    <t>For the business</t>
  </si>
  <si>
    <t>Print this page (File &gt; Print) - it is set up to fit one portrait page.  Amounts use the currency symbol from your Setup tab.</t>
  </si>
  <si>
    <t>▶ Invoice</t>
  </si>
  <si>
    <t>Ultimate Catering Business Spreadsheet</t>
  </si>
  <si>
    <t>Events • Clients • Quotes • Food Cost • Profit  ·  by Novality Store  ·  v1.0</t>
  </si>
  <si>
    <t>Works in Microsoft Excel (2016 and newer) and Google Sheets - no macros, nothing to install.</t>
  </si>
  <si>
    <t>Welcome</t>
  </si>
  <si>
    <t>This is your whole catering operation in one file: clients, events, quotes, menu costs, inventory, shopping, staff, equipment, money and tax - with a dashboard that adds it all up for you.</t>
  </si>
  <si>
    <t>Start in three steps</t>
  </si>
  <si>
    <t>1</t>
  </si>
  <si>
    <t>Open the Setup tab: type your business name, pick your currency and set your target margin and deposit %.</t>
  </si>
  <si>
    <t>2</t>
  </si>
  <si>
    <t>Add your first event on the Events tab - cost, price, deposit, status.  The Dashboard, Calendar and P&amp;L update instantly.</t>
  </si>
  <si>
    <t>3</t>
  </si>
  <si>
    <t>Log the deposit on the Payments tab and the ingredients on the Shopping List.  That's the whole loop - repeat and grow.</t>
  </si>
  <si>
    <t>What each tab does</t>
  </si>
  <si>
    <t>📊 Dashboard</t>
  </si>
  <si>
    <t>Your live scorecards and charts - everything on this page updates itself.</t>
  </si>
  <si>
    <t>⚙️ Setup</t>
  </si>
  <si>
    <t>Your business name, currency, margins and every dropdown list.  Start here.</t>
  </si>
  <si>
    <t>👥 Clients</t>
  </si>
  <si>
    <t>Who you cook for - quotes, deposits and balances.</t>
  </si>
  <si>
    <t>📅 Events</t>
  </si>
  <si>
    <t>Every booking: costs, pricing, profit and the status pipeline.</t>
  </si>
  <si>
    <t>🧮 Quote Calculator</t>
  </si>
  <si>
    <t>Price an event in 30 seconds - margin and deposit included.</t>
  </si>
  <si>
    <t>🍽️ Menu Costing</t>
  </si>
  <si>
    <t>Cost each dish, set the price, watch the margin.</t>
  </si>
  <si>
    <t>📦 Inventory</t>
  </si>
  <si>
    <t>Stock levels, values and automatic reorder alerts.</t>
  </si>
  <si>
    <t>🛒 Shopping List</t>
  </si>
  <si>
    <t>What to buy per event, minus what you already have.</t>
  </si>
  <si>
    <t>💸 Expenses</t>
  </si>
  <si>
    <t>Every cost, categorised - feeds the P&amp;L and the doughnut chart.</t>
  </si>
  <si>
    <t>💰 Payments</t>
  </si>
  <si>
    <t>Invoices, deposits and who still owes what.</t>
  </si>
  <si>
    <t>👷 Staff &amp; Labor</t>
  </si>
  <si>
    <t>Shifts, rates, overtime and the wage bill.</t>
  </si>
  <si>
    <t>🍳 Equipment</t>
  </si>
  <si>
    <t>What you own, what's reserved, what needs a service.</t>
  </si>
  <si>
    <t>🚚 Suppliers</t>
  </si>
  <si>
    <t>Who sells what, at what price, on what terms.</t>
  </si>
  <si>
    <t>📆 Event Calendar</t>
  </si>
  <si>
    <t>The month at a glance - events and payment deadlines marked.</t>
  </si>
  <si>
    <t>📈 P&amp;L &amp; Reports</t>
  </si>
  <si>
    <t>Profit &amp; loss, cash by month, top clients and categories.</t>
  </si>
  <si>
    <t>🧾 Tax Tracker</t>
  </si>
  <si>
    <t>Sales tax estimated, filed and still due.</t>
  </si>
  <si>
    <t>✅ Checklists</t>
  </si>
  <si>
    <t>Prep, shopping, day-of and wrap-up lists with progress bars.</t>
  </si>
  <si>
    <t>🖨️ Invoice &amp; Proposal</t>
  </si>
  <si>
    <t>A print-ready one-page invoice / proposal.</t>
  </si>
  <si>
    <t>📖 Start Here</t>
  </si>
  <si>
    <t>This page.</t>
  </si>
  <si>
    <t>The house rules</t>
  </si>
  <si>
    <t>•  Type only in the white cells.  Tinted columns calculate themselves - if you type over one you'll get the number back on the next edit anyway.</t>
  </si>
  <si>
    <t>•  Every formula is protected, so a stray keystroke can't break the file.  All the input cells stay open; if you ever need to change a formula, use Review › Unprotect Sheet and it's yours.</t>
  </si>
  <si>
    <t>•  Dropdowns: click a cell and pick.  The lists live on the Setup tab - add your own options whenever you like and every dropdown updates.</t>
  </si>
  <si>
    <t>•  Dates: type them in almost any format (“15 Oct 2026” works) or double-click and pick from the calendar.</t>
  </si>
  <si>
    <t>•  Room to grow: Clients holds 40 rows, Events 40, Expenses 60, Payments 60, Menu 30.  Need more?  Right-click a row number inside a table and choose Insert.</t>
  </si>
  <si>
    <t>•  Google Sheets: upload the file to Google Drive and open it with Google Sheets - formulas, dropdowns, colours and charts all carry over.</t>
  </si>
  <si>
    <t>Licence &amp; support</t>
  </si>
  <si>
    <t>Personal licence: one purchase, use it for your own business forever, on as many of your own devices as you like.  Please don't resell or share the file.  Stuck, or spotted something odd?  Message us through the shop - we read and answer everything.  — Novality Store</t>
  </si>
  <si>
    <t>▶ Help</t>
  </si>
</sst>
</file>

<file path=xl/styles.xml><?xml version="1.0" encoding="utf-8"?>
<styleSheet xmlns="http://schemas.openxmlformats.org/spreadsheetml/2006/main">
  <numFmts count="10">
    <numFmt numFmtId="164" formatCode="0%"/>
    <numFmt numFmtId="165" formatCode="mmmm"/>
    <numFmt numFmtId="166" formatCode="#,##0"/>
    <numFmt numFmtId="167" formatCode="$#,##0"/>
    <numFmt numFmtId="168" formatCode="$#,##0.00"/>
    <numFmt numFmtId="169" formatCode="@"/>
    <numFmt numFmtId="170" formatCode="dd mmm yyyy"/>
    <numFmt numFmtId="171" formatCode="#,##0.00"/>
    <numFmt numFmtId="172" formatCode="#,##0.0"/>
    <numFmt numFmtId="173" formatCode="d"/>
  </numFmts>
  <fonts count="70">
    <font>
      <sz val="11"/>
      <color theme="1"/>
      <name val="Calibri"/>
      <family val="2"/>
      <scheme val="minor"/>
    </font>
    <font>
      <i/>
      <sz val="10"/>
      <color rgb="FF7C8A82"/>
      <name val="Calibri"/>
      <family val="2"/>
      <scheme val="minor"/>
    </font>
    <font>
      <b/>
      <sz val="10"/>
      <color rgb="FFFFFFFF"/>
      <name val="Calibri"/>
      <family val="2"/>
      <scheme val="minor"/>
    </font>
    <font>
      <b/>
      <sz val="20"/>
      <color rgb="FF2F5D46"/>
      <name val="Calibri Light"/>
      <family val="2"/>
    </font>
    <font>
      <i/>
      <sz val="10.5"/>
      <color rgb="FF7C8A82"/>
      <name val="Calibri"/>
      <family val="2"/>
      <scheme val="minor"/>
    </font>
    <font>
      <b/>
      <sz val="13"/>
      <color rgb="FFFFFFFF"/>
      <name val="Calibri Light"/>
      <family val="2"/>
    </font>
    <font>
      <b/>
      <sz val="10.5"/>
      <color rgb="FF22302A"/>
      <name val="Calibri"/>
      <family val="2"/>
      <scheme val="minor"/>
    </font>
    <font>
      <sz val="10.5"/>
      <color rgb="FF22302A"/>
      <name val="Calibri"/>
      <family val="2"/>
      <scheme val="minor"/>
    </font>
    <font>
      <b/>
      <sz val="13"/>
      <color rgb="FF22302A"/>
      <name val="Calibri Light"/>
      <family val="2"/>
    </font>
    <font>
      <b/>
      <sz val="12"/>
      <color rgb="FF2F5D46"/>
      <name val="Calibri Light"/>
      <family val="2"/>
    </font>
    <font>
      <b/>
      <sz val="11"/>
      <color rgb="FF3E6E8E"/>
      <name val="Calibri"/>
      <family val="2"/>
      <scheme val="minor"/>
    </font>
    <font>
      <b/>
      <sz val="11"/>
      <color rgb="FF6C5B94"/>
      <name val="Calibri"/>
      <family val="2"/>
      <scheme val="minor"/>
    </font>
    <font>
      <b/>
      <sz val="11"/>
      <color rgb="FFC07C12"/>
      <name val="Calibri"/>
      <family val="2"/>
      <scheme val="minor"/>
    </font>
    <font>
      <b/>
      <sz val="11"/>
      <color rgb="FF3E7C4F"/>
      <name val="Calibri"/>
      <family val="2"/>
      <scheme val="minor"/>
    </font>
    <font>
      <b/>
      <sz val="11"/>
      <color rgb="FFC99A18"/>
      <name val="Calibri"/>
      <family val="2"/>
      <scheme val="minor"/>
    </font>
    <font>
      <b/>
      <sz val="11"/>
      <color rgb="FFB23A3A"/>
      <name val="Calibri"/>
      <family val="2"/>
      <scheme val="minor"/>
    </font>
    <font>
      <b/>
      <sz val="10.5"/>
      <color rgb="FFFFFFFF"/>
      <name val="Calibri"/>
      <family val="2"/>
      <scheme val="minor"/>
    </font>
    <font>
      <b/>
      <sz val="26"/>
      <color rgb="FFFFFFFF"/>
      <name val="Calibri Light"/>
      <family val="2"/>
    </font>
    <font>
      <b/>
      <sz val="17"/>
      <color rgb="FFFAF1D6"/>
      <name val="Calibri Light"/>
      <family val="2"/>
    </font>
    <font>
      <i/>
      <sz val="10"/>
      <color rgb="FF22302A"/>
      <name val="Calibri"/>
      <family val="2"/>
      <scheme val="minor"/>
    </font>
    <font>
      <b/>
      <sz val="9.5"/>
      <color rgb="FFFFFFFF"/>
      <name val="Calibri"/>
      <family val="2"/>
      <scheme val="minor"/>
    </font>
    <font>
      <b/>
      <sz val="22"/>
      <color rgb="FF3E7C4F"/>
      <name val="Calibri Light"/>
      <family val="2"/>
    </font>
    <font>
      <b/>
      <sz val="22"/>
      <color rgb="FFB23A3A"/>
      <name val="Calibri Light"/>
      <family val="2"/>
    </font>
    <font>
      <b/>
      <sz val="22"/>
      <color rgb="FF2F5D46"/>
      <name val="Calibri Light"/>
      <family val="2"/>
    </font>
    <font>
      <b/>
      <sz val="22"/>
      <color rgb="FFC4482F"/>
      <name val="Calibri Light"/>
      <family val="2"/>
    </font>
    <font>
      <b/>
      <sz val="9"/>
      <color rgb="FFFFFFFF"/>
      <name val="Calibri"/>
      <family val="2"/>
      <scheme val="minor"/>
    </font>
    <font>
      <b/>
      <sz val="15"/>
      <color rgb="FF56806A"/>
      <name val="Calibri Light"/>
      <family val="2"/>
    </font>
    <font>
      <b/>
      <sz val="10"/>
      <color rgb="FF22302A"/>
      <name val="Calibri"/>
      <family val="2"/>
      <scheme val="minor"/>
    </font>
    <font>
      <b/>
      <sz val="13"/>
      <color rgb="FF56806A"/>
      <name val="Consolas"/>
      <family val="2"/>
    </font>
    <font>
      <b/>
      <sz val="13"/>
      <color rgb="FFC4482F"/>
      <name val="Consolas"/>
      <family val="2"/>
    </font>
    <font>
      <i/>
      <sz val="9"/>
      <color rgb="FF7C8A82"/>
      <name val="Calibri"/>
      <family val="2"/>
      <scheme val="minor"/>
    </font>
    <font>
      <b/>
      <sz val="10.5"/>
      <color rgb="FFC4482F"/>
      <name val="Calibri"/>
      <family val="2"/>
      <scheme val="minor"/>
    </font>
    <font>
      <b/>
      <sz val="10.5"/>
      <color rgb="FF6C5B94"/>
      <name val="Calibri"/>
      <family val="2"/>
      <scheme val="minor"/>
    </font>
    <font>
      <b/>
      <sz val="10.5"/>
      <color rgb="FF3E7C4F"/>
      <name val="Calibri"/>
      <family val="2"/>
      <scheme val="minor"/>
    </font>
    <font>
      <b/>
      <sz val="10.5"/>
      <color rgb="FFC07C12"/>
      <name val="Calibri"/>
      <family val="2"/>
      <scheme val="minor"/>
    </font>
    <font>
      <sz val="9"/>
      <color rgb="FF7C8A82"/>
      <name val="Calibri"/>
      <family val="2"/>
      <scheme val="minor"/>
    </font>
    <font>
      <sz val="10.5"/>
      <color rgb="FF2F5D46"/>
      <name val="Calibri"/>
      <family val="2"/>
      <scheme val="minor"/>
    </font>
    <font>
      <b/>
      <sz val="11"/>
      <color rgb="FFFFFFFF"/>
      <name val="Calibri"/>
      <family val="2"/>
      <scheme val="minor"/>
    </font>
    <font>
      <b/>
      <sz val="10.5"/>
      <color rgb="FF3E6E8E"/>
      <name val="Calibri"/>
      <family val="2"/>
      <scheme val="minor"/>
    </font>
    <font>
      <b/>
      <sz val="10.5"/>
      <color rgb="FFC99A18"/>
      <name val="Calibri"/>
      <family val="2"/>
      <scheme val="minor"/>
    </font>
    <font>
      <b/>
      <sz val="10.5"/>
      <color rgb="FF2F5D46"/>
      <name val="Calibri"/>
      <family val="2"/>
      <scheme val="minor"/>
    </font>
    <font>
      <b/>
      <sz val="13"/>
      <color rgb="FFFFFFFF"/>
      <name val="Calibri"/>
      <family val="2"/>
      <scheme val="minor"/>
    </font>
    <font>
      <b/>
      <sz val="16"/>
      <color rgb="FFC4482F"/>
      <name val="Calibri Light"/>
      <family val="2"/>
    </font>
    <font>
      <b/>
      <sz val="17"/>
      <color rgb="FFFFFFFF"/>
      <name val="Calibri Light"/>
      <family val="2"/>
    </font>
    <font>
      <b/>
      <sz val="10.5"/>
      <color rgb="FFB23A3A"/>
      <name val="Calibri"/>
      <family val="2"/>
      <scheme val="minor"/>
    </font>
    <font>
      <b/>
      <sz val="13"/>
      <color rgb="FF2F7D4F"/>
      <name val="Calibri"/>
      <family val="2"/>
      <scheme val="minor"/>
    </font>
    <font>
      <b/>
      <sz val="10"/>
      <color rgb="FF2F5D46"/>
      <name val="Calibri"/>
      <family val="2"/>
      <scheme val="minor"/>
    </font>
    <font>
      <sz val="9"/>
      <color rgb="FF22302A"/>
      <name val="Calibri"/>
      <family val="2"/>
      <scheme val="minor"/>
    </font>
    <font>
      <b/>
      <sz val="12"/>
      <color rgb="FFFFFFFF"/>
      <name val="Calibri"/>
      <family val="2"/>
      <scheme val="minor"/>
    </font>
    <font>
      <b/>
      <sz val="14"/>
      <color rgb="FF2F5D46"/>
      <name val="Calibri Light"/>
      <family val="2"/>
    </font>
    <font>
      <b/>
      <sz val="16"/>
      <color rgb="FF56806A"/>
      <name val="Calibri Light"/>
      <family val="2"/>
    </font>
    <font>
      <b/>
      <sz val="12"/>
      <color rgb="FF6C5B94"/>
      <name val="Calibri"/>
      <family val="2"/>
      <scheme val="minor"/>
    </font>
    <font>
      <b/>
      <sz val="11"/>
      <color rgb="FF2F5D46"/>
      <name val="Calibri Light"/>
      <family val="2"/>
    </font>
    <font>
      <b/>
      <sz val="30"/>
      <color rgb="FF2F5D46"/>
      <name val="Calibri Light"/>
      <family val="2"/>
    </font>
    <font>
      <sz val="12"/>
      <color rgb="FF22302A"/>
      <name val="Calibri"/>
      <family val="2"/>
      <scheme val="minor"/>
    </font>
    <font>
      <i/>
      <sz val="11"/>
      <color rgb="FF7C8A82"/>
      <name val="Calibri"/>
      <family val="2"/>
      <scheme val="minor"/>
    </font>
    <font>
      <sz val="10.5"/>
      <color rgb="FF22302A"/>
      <name val="Calibri"/>
      <family val="2"/>
      <scheme val="minor"/>
    </font>
    <font>
      <b/>
      <sz val="15"/>
      <color rgb="FFFFFFFF"/>
      <name val="Calibri Light"/>
      <family val="2"/>
    </font>
    <font>
      <b/>
      <u/>
      <sz val="10.5"/>
      <color rgb="FF2F5D46"/>
      <name val="Calibri"/>
      <family val="2"/>
      <scheme val="minor"/>
    </font>
    <font>
      <sz val="10"/>
      <color rgb="FF22302A"/>
      <name val="Calibri"/>
      <family val="2"/>
      <scheme val="minor"/>
    </font>
    <font>
      <b/>
      <u/>
      <sz val="10.5"/>
      <color rgb="FF56806A"/>
      <name val="Calibri"/>
      <family val="2"/>
      <scheme val="minor"/>
    </font>
    <font>
      <b/>
      <u/>
      <sz val="10.5"/>
      <color rgb="FFC4482F"/>
      <name val="Calibri"/>
      <family val="2"/>
      <scheme val="minor"/>
    </font>
    <font>
      <b/>
      <u/>
      <sz val="10.5"/>
      <color rgb="FFC99A18"/>
      <name val="Calibri"/>
      <family val="2"/>
      <scheme val="minor"/>
    </font>
    <font>
      <b/>
      <u/>
      <sz val="10.5"/>
      <color rgb="FF3E6E8E"/>
      <name val="Calibri"/>
      <family val="2"/>
      <scheme val="minor"/>
    </font>
    <font>
      <b/>
      <u/>
      <sz val="10.5"/>
      <color rgb="FFB23A3A"/>
      <name val="Calibri"/>
      <family val="2"/>
      <scheme val="minor"/>
    </font>
    <font>
      <b/>
      <u/>
      <sz val="10.5"/>
      <color rgb="FF3E7C4F"/>
      <name val="Calibri"/>
      <family val="2"/>
      <scheme val="minor"/>
    </font>
    <font>
      <b/>
      <u/>
      <sz val="10.5"/>
      <color rgb="FF6C9A58"/>
      <name val="Calibri"/>
      <family val="2"/>
      <scheme val="minor"/>
    </font>
    <font>
      <b/>
      <u/>
      <sz val="10.5"/>
      <color rgb="FF6C5B94"/>
      <name val="Calibri"/>
      <family val="2"/>
      <scheme val="minor"/>
    </font>
    <font>
      <b/>
      <u/>
      <sz val="10.5"/>
      <color rgb="FFC07C12"/>
      <name val="Calibri"/>
      <family val="2"/>
      <scheme val="minor"/>
    </font>
    <font>
      <b/>
      <u/>
      <sz val="10.5"/>
      <color rgb="FF7C8A82"/>
      <name val="Calibri"/>
      <family val="2"/>
      <scheme val="minor"/>
    </font>
  </fonts>
  <fills count="22">
    <fill>
      <patternFill patternType="none"/>
    </fill>
    <fill>
      <patternFill patternType="gray125"/>
    </fill>
    <fill>
      <patternFill patternType="solid">
        <fgColor rgb="FFFAFBF8"/>
        <bgColor indexed="64"/>
      </patternFill>
    </fill>
    <fill>
      <patternFill patternType="solid">
        <fgColor rgb="FF2F5D46"/>
        <bgColor indexed="64"/>
      </patternFill>
    </fill>
    <fill>
      <patternFill patternType="solid">
        <fgColor rgb="FFC4482F"/>
        <bgColor indexed="64"/>
      </patternFill>
    </fill>
    <fill>
      <patternFill patternType="solid">
        <fgColor rgb="FFFFFFFF"/>
        <bgColor indexed="64"/>
      </patternFill>
    </fill>
    <fill>
      <patternFill patternType="solid">
        <fgColor rgb="FFFAF1D6"/>
        <bgColor indexed="64"/>
      </patternFill>
    </fill>
    <fill>
      <patternFill patternType="solid">
        <fgColor rgb="FFF4F7F3"/>
        <bgColor indexed="64"/>
      </patternFill>
    </fill>
    <fill>
      <patternFill patternType="solid">
        <fgColor rgb="FFE6F0EA"/>
        <bgColor indexed="64"/>
      </patternFill>
    </fill>
    <fill>
      <patternFill patternType="solid">
        <fgColor rgb="FFE2EDF3"/>
        <bgColor indexed="64"/>
      </patternFill>
    </fill>
    <fill>
      <patternFill patternType="solid">
        <fgColor rgb="FFEBE7F3"/>
        <bgColor indexed="64"/>
      </patternFill>
    </fill>
    <fill>
      <patternFill patternType="solid">
        <fgColor rgb="FFFBF0D8"/>
        <bgColor indexed="64"/>
      </patternFill>
    </fill>
    <fill>
      <patternFill patternType="solid">
        <fgColor rgb="FFE0EFE4"/>
        <bgColor indexed="64"/>
      </patternFill>
    </fill>
    <fill>
      <patternFill patternType="solid">
        <fgColor rgb="FFF8E3E1"/>
        <bgColor indexed="64"/>
      </patternFill>
    </fill>
    <fill>
      <patternFill patternType="solid">
        <fgColor rgb="FFC99A18"/>
        <bgColor indexed="64"/>
      </patternFill>
    </fill>
    <fill>
      <patternFill patternType="solid">
        <fgColor rgb="FF3E6E8E"/>
        <bgColor indexed="64"/>
      </patternFill>
    </fill>
    <fill>
      <patternFill patternType="solid">
        <fgColor rgb="FF6C5B94"/>
        <bgColor indexed="64"/>
      </patternFill>
    </fill>
    <fill>
      <patternFill patternType="solid">
        <fgColor rgb="FF3E7C4F"/>
        <bgColor indexed="64"/>
      </patternFill>
    </fill>
    <fill>
      <patternFill patternType="solid">
        <fgColor rgb="FF56806A"/>
        <bgColor indexed="64"/>
      </patternFill>
    </fill>
    <fill>
      <patternFill patternType="solid">
        <fgColor rgb="FFC07C12"/>
        <bgColor indexed="64"/>
      </patternFill>
    </fill>
    <fill>
      <patternFill patternType="solid">
        <fgColor rgb="FFF9E4DE"/>
        <bgColor indexed="64"/>
      </patternFill>
    </fill>
    <fill>
      <patternFill patternType="solid">
        <fgColor rgb="FFB23A3A"/>
        <bgColor indexed="64"/>
      </patternFill>
    </fill>
  </fills>
  <borders count="20">
    <border>
      <left/>
      <right/>
      <top/>
      <bottom/>
      <diagonal/>
    </border>
    <border>
      <left style="thin">
        <color rgb="FF2F5D46"/>
      </left>
      <right style="thin">
        <color rgb="FF2F5D46"/>
      </right>
      <top style="thin">
        <color rgb="FF2F5D46"/>
      </top>
      <bottom style="thin">
        <color rgb="FF2F5D46"/>
      </bottom>
      <diagonal/>
    </border>
    <border>
      <left style="thin">
        <color rgb="FFC4482F"/>
      </left>
      <right style="thin">
        <color rgb="FFC4482F"/>
      </right>
      <top style="thin">
        <color rgb="FFC4482F"/>
      </top>
      <bottom style="thin">
        <color rgb="FFC4482F"/>
      </bottom>
      <diagonal/>
    </border>
    <border>
      <left style="thin">
        <color rgb="FFDCE4DA"/>
      </left>
      <right style="thin">
        <color rgb="FFDCE4DA"/>
      </right>
      <top style="thin">
        <color rgb="FFDCE4DA"/>
      </top>
      <bottom style="thin">
        <color rgb="FFDCE4DA"/>
      </bottom>
      <diagonal/>
    </border>
    <border>
      <left/>
      <right/>
      <top/>
      <bottom style="medium">
        <color rgb="FFC99A18"/>
      </bottom>
      <diagonal/>
    </border>
    <border>
      <left style="dotted">
        <color rgb="FFC99A18"/>
      </left>
      <right/>
      <top/>
      <bottom/>
      <diagonal/>
    </border>
    <border>
      <left style="thin">
        <color rgb="FFC99A18"/>
      </left>
      <right style="thin">
        <color rgb="FFC99A18"/>
      </right>
      <top style="thin">
        <color rgb="FFC99A18"/>
      </top>
      <bottom style="thin">
        <color rgb="FFC99A18"/>
      </bottom>
      <diagonal/>
    </border>
    <border>
      <left style="thin">
        <color rgb="FF3E6E8E"/>
      </left>
      <right style="thin">
        <color rgb="FF3E6E8E"/>
      </right>
      <top style="thin">
        <color rgb="FF3E6E8E"/>
      </top>
      <bottom style="thin">
        <color rgb="FF3E6E8E"/>
      </bottom>
      <diagonal/>
    </border>
    <border>
      <left style="thin">
        <color rgb="FF6C5B94"/>
      </left>
      <right style="thin">
        <color rgb="FF6C5B94"/>
      </right>
      <top style="thin">
        <color rgb="FF6C5B94"/>
      </top>
      <bottom style="thin">
        <color rgb="FF6C5B94"/>
      </bottom>
      <diagonal/>
    </border>
    <border>
      <left style="thin">
        <color rgb="FF3E7C4F"/>
      </left>
      <right style="thin">
        <color rgb="FF3E7C4F"/>
      </right>
      <top style="thin">
        <color rgb="FF3E7C4F"/>
      </top>
      <bottom style="thin">
        <color rgb="FF3E7C4F"/>
      </bottom>
      <diagonal/>
    </border>
    <border>
      <left style="thin">
        <color rgb="FF56806A"/>
      </left>
      <right style="thin">
        <color rgb="FF56806A"/>
      </right>
      <top style="thin">
        <color rgb="FF56806A"/>
      </top>
      <bottom style="thin">
        <color rgb="FF56806A"/>
      </bottom>
      <diagonal/>
    </border>
    <border>
      <left style="thin">
        <color rgb="FFC07C12"/>
      </left>
      <right style="thin">
        <color rgb="FFC07C12"/>
      </right>
      <top style="thin">
        <color rgb="FFC07C12"/>
      </top>
      <bottom style="thin">
        <color rgb="FFC07C12"/>
      </bottom>
      <diagonal/>
    </border>
    <border>
      <left style="thin">
        <color rgb="FFF9E4DE"/>
      </left>
      <right style="thin">
        <color rgb="FFF9E4DE"/>
      </right>
      <top style="thin">
        <color rgb="FFF9E4DE"/>
      </top>
      <bottom style="thin">
        <color rgb="FFF9E4DE"/>
      </bottom>
      <diagonal/>
    </border>
    <border>
      <left style="thin">
        <color rgb="FFEBE7F3"/>
      </left>
      <right style="thin">
        <color rgb="FFEBE7F3"/>
      </right>
      <top style="thin">
        <color rgb="FFEBE7F3"/>
      </top>
      <bottom style="thin">
        <color rgb="FFEBE7F3"/>
      </bottom>
      <diagonal/>
    </border>
    <border>
      <left style="thin">
        <color rgb="FFE0EFE4"/>
      </left>
      <right style="thin">
        <color rgb="FFE0EFE4"/>
      </right>
      <top style="thin">
        <color rgb="FFE0EFE4"/>
      </top>
      <bottom style="thin">
        <color rgb="FFE0EFE4"/>
      </bottom>
      <diagonal/>
    </border>
    <border>
      <left style="thin">
        <color rgb="FFFBF0D8"/>
      </left>
      <right style="thin">
        <color rgb="FFFBF0D8"/>
      </right>
      <top style="thin">
        <color rgb="FFFBF0D8"/>
      </top>
      <bottom style="thin">
        <color rgb="FFFBF0D8"/>
      </bottom>
      <diagonal/>
    </border>
    <border>
      <left style="thin">
        <color rgb="FFE2EDF3"/>
      </left>
      <right style="thin">
        <color rgb="FFE2EDF3"/>
      </right>
      <top style="thin">
        <color rgb="FFE2EDF3"/>
      </top>
      <bottom style="thin">
        <color rgb="FFE2EDF3"/>
      </bottom>
      <diagonal/>
    </border>
    <border>
      <left style="thin">
        <color rgb="FFFAF1D6"/>
      </left>
      <right style="thin">
        <color rgb="FFFAF1D6"/>
      </right>
      <top style="thin">
        <color rgb="FFFAF1D6"/>
      </top>
      <bottom style="thin">
        <color rgb="FFFAF1D6"/>
      </bottom>
      <diagonal/>
    </border>
    <border>
      <left style="thin">
        <color rgb="FFB23A3A"/>
      </left>
      <right style="thin">
        <color rgb="FFB23A3A"/>
      </right>
      <top style="thin">
        <color rgb="FFB23A3A"/>
      </top>
      <bottom style="thin">
        <color rgb="FFB23A3A"/>
      </bottom>
      <diagonal/>
    </border>
    <border>
      <left style="thin">
        <color rgb="FFF8E3E1"/>
      </left>
      <right style="thin">
        <color rgb="FFF8E3E1"/>
      </right>
      <top style="thin">
        <color rgb="FFF8E3E1"/>
      </top>
      <bottom style="thin">
        <color rgb="FFF8E3E1"/>
      </bottom>
      <diagonal/>
    </border>
  </borders>
  <cellStyleXfs count="1">
    <xf numFmtId="0" fontId="0" fillId="0" borderId="0"/>
  </cellStyleXfs>
  <cellXfs count="127">
    <xf numFmtId="0" fontId="0" fillId="0" borderId="0" xfId="0"/>
    <xf numFmtId="0" fontId="1" fillId="2" borderId="0" xfId="0" applyFont="1" applyFill="1" applyAlignment="1">
      <alignment horizontal="left" vertical="top" wrapText="1"/>
    </xf>
    <xf numFmtId="0" fontId="2" fillId="3" borderId="1" xfId="0" applyFont="1" applyFill="1" applyBorder="1" applyAlignment="1">
      <alignment horizontal="center" vertical="center" wrapText="1"/>
    </xf>
    <xf numFmtId="0" fontId="3" fillId="2" borderId="0" xfId="0" applyFont="1" applyFill="1" applyAlignment="1">
      <alignment horizontal="left" vertical="center" indent="1"/>
    </xf>
    <xf numFmtId="0" fontId="0" fillId="2" borderId="0" xfId="0" applyFill="1"/>
    <xf numFmtId="0" fontId="4" fillId="2" borderId="0" xfId="0" applyFont="1" applyFill="1" applyAlignment="1">
      <alignment horizontal="left" vertical="center" indent="1"/>
    </xf>
    <xf numFmtId="0" fontId="2" fillId="4" borderId="2" xfId="0" applyFont="1" applyFill="1" applyBorder="1" applyAlignment="1">
      <alignment horizontal="center" vertical="center"/>
    </xf>
    <xf numFmtId="0" fontId="5" fillId="3" borderId="0" xfId="0" applyFont="1" applyFill="1" applyAlignment="1">
      <alignment horizontal="left" vertical="center" indent="1"/>
    </xf>
    <xf numFmtId="0" fontId="6" fillId="5" borderId="3" xfId="0" applyFont="1" applyFill="1" applyBorder="1" applyAlignment="1">
      <alignment horizontal="left" vertical="center" indent="1"/>
    </xf>
    <xf numFmtId="0" fontId="7" fillId="5" borderId="3" xfId="0" applyFont="1" applyFill="1" applyBorder="1" applyAlignment="1" applyProtection="1">
      <alignment horizontal="left" vertical="center"/>
      <protection locked="0"/>
    </xf>
    <xf numFmtId="0" fontId="7" fillId="5" borderId="3" xfId="0" applyFont="1" applyFill="1" applyBorder="1" applyAlignment="1" applyProtection="1">
      <alignment horizontal="center" vertical="center"/>
      <protection locked="0"/>
    </xf>
    <xf numFmtId="164" fontId="7" fillId="5" borderId="3" xfId="0" applyNumberFormat="1" applyFont="1" applyFill="1" applyBorder="1" applyAlignment="1" applyProtection="1">
      <alignment horizontal="center" vertical="center"/>
      <protection locked="0"/>
    </xf>
    <xf numFmtId="165" fontId="7" fillId="5" borderId="3" xfId="0" applyNumberFormat="1" applyFont="1" applyFill="1" applyBorder="1" applyAlignment="1" applyProtection="1">
      <alignment horizontal="center" vertical="center"/>
      <protection locked="0"/>
    </xf>
    <xf numFmtId="0" fontId="8" fillId="6" borderId="4" xfId="0" applyFont="1" applyFill="1" applyBorder="1" applyAlignment="1">
      <alignment horizontal="left" vertical="center" indent="1"/>
    </xf>
    <xf numFmtId="0" fontId="7" fillId="7" borderId="3" xfId="0" applyFont="1" applyFill="1" applyBorder="1" applyAlignment="1" applyProtection="1">
      <alignment horizontal="left" vertical="center"/>
      <protection locked="0"/>
    </xf>
    <xf numFmtId="0" fontId="9" fillId="8" borderId="5" xfId="0" applyFont="1" applyFill="1" applyBorder="1" applyAlignment="1">
      <alignment horizontal="left" vertical="center" indent="1"/>
    </xf>
    <xf numFmtId="0" fontId="10" fillId="9" borderId="3" xfId="0" applyFont="1" applyFill="1" applyBorder="1"/>
    <xf numFmtId="0" fontId="11" fillId="10" borderId="3" xfId="0" applyFont="1" applyFill="1" applyBorder="1"/>
    <xf numFmtId="0" fontId="12" fillId="11" borderId="3" xfId="0" applyFont="1" applyFill="1" applyBorder="1"/>
    <xf numFmtId="0" fontId="13" fillId="12" borderId="3" xfId="0" applyFont="1" applyFill="1" applyBorder="1"/>
    <xf numFmtId="0" fontId="14" fillId="6" borderId="3" xfId="0" applyFont="1" applyFill="1" applyBorder="1"/>
    <xf numFmtId="0" fontId="15" fillId="13" borderId="3" xfId="0" applyFont="1" applyFill="1" applyBorder="1"/>
    <xf numFmtId="0" fontId="1" fillId="7" borderId="3" xfId="0" applyFont="1" applyFill="1" applyBorder="1" applyAlignment="1" applyProtection="1">
      <alignment horizontal="left" vertical="top" indent="1" wrapText="1"/>
      <protection locked="0"/>
    </xf>
    <xf numFmtId="0" fontId="16" fillId="3" borderId="1" xfId="0" applyFont="1" applyFill="1" applyBorder="1" applyAlignment="1">
      <alignment horizontal="center" vertical="center"/>
    </xf>
    <xf numFmtId="0" fontId="16" fillId="4" borderId="2" xfId="0" applyFont="1" applyFill="1" applyBorder="1" applyAlignment="1">
      <alignment horizontal="center" vertical="center"/>
    </xf>
    <xf numFmtId="0" fontId="16" fillId="14" borderId="6" xfId="0" applyFont="1" applyFill="1" applyBorder="1" applyAlignment="1">
      <alignment horizontal="center" vertical="center"/>
    </xf>
    <xf numFmtId="0" fontId="16" fillId="15" borderId="7" xfId="0" applyFont="1" applyFill="1" applyBorder="1" applyAlignment="1">
      <alignment horizontal="center" vertical="center"/>
    </xf>
    <xf numFmtId="0" fontId="16" fillId="16" borderId="8" xfId="0" applyFont="1" applyFill="1" applyBorder="1" applyAlignment="1">
      <alignment horizontal="center" vertical="center"/>
    </xf>
    <xf numFmtId="0" fontId="16" fillId="17" borderId="9" xfId="0" applyFont="1" applyFill="1" applyBorder="1" applyAlignment="1">
      <alignment horizontal="center" vertical="center"/>
    </xf>
    <xf numFmtId="0" fontId="16" fillId="18" borderId="10" xfId="0" applyFont="1" applyFill="1" applyBorder="1" applyAlignment="1">
      <alignment horizontal="center" vertical="center"/>
    </xf>
    <xf numFmtId="0" fontId="16" fillId="19" borderId="11" xfId="0" applyFont="1" applyFill="1" applyBorder="1" applyAlignment="1">
      <alignment horizontal="center" vertical="center"/>
    </xf>
    <xf numFmtId="0" fontId="17" fillId="3" borderId="0" xfId="0" applyFont="1" applyFill="1" applyAlignment="1">
      <alignment horizontal="left" vertical="center" indent="1"/>
    </xf>
    <xf numFmtId="0" fontId="18" fillId="4" borderId="0" xfId="0" applyFont="1" applyFill="1" applyAlignment="1">
      <alignment horizontal="left" vertical="center" indent="1"/>
    </xf>
    <xf numFmtId="0" fontId="19" fillId="6" borderId="0" xfId="0" applyFont="1" applyFill="1" applyAlignment="1">
      <alignment horizontal="left" vertical="center" indent="1"/>
    </xf>
    <xf numFmtId="0" fontId="20" fillId="3" borderId="1" xfId="0" applyFont="1" applyFill="1" applyBorder="1" applyAlignment="1">
      <alignment horizontal="left" vertical="center" indent="1"/>
    </xf>
    <xf numFmtId="166" fontId="21" fillId="5" borderId="3" xfId="0" applyNumberFormat="1" applyFont="1" applyFill="1" applyBorder="1" applyAlignment="1">
      <alignment horizontal="center" vertical="center"/>
    </xf>
    <xf numFmtId="166" fontId="22" fillId="5" borderId="3" xfId="0" applyNumberFormat="1" applyFont="1" applyFill="1" applyBorder="1" applyAlignment="1">
      <alignment horizontal="center" vertical="center"/>
    </xf>
    <xf numFmtId="166" fontId="23" fillId="5" borderId="3" xfId="0" applyNumberFormat="1" applyFont="1" applyFill="1" applyBorder="1" applyAlignment="1">
      <alignment horizontal="center" vertical="center"/>
    </xf>
    <xf numFmtId="164" fontId="24" fillId="5" borderId="3" xfId="0" applyNumberFormat="1" applyFont="1" applyFill="1" applyBorder="1" applyAlignment="1">
      <alignment horizontal="center" vertical="center"/>
    </xf>
    <xf numFmtId="0" fontId="25" fillId="18" borderId="10" xfId="0" applyFont="1" applyFill="1" applyBorder="1" applyAlignment="1">
      <alignment horizontal="left" vertical="center" indent="1"/>
    </xf>
    <xf numFmtId="1" fontId="26" fillId="5" borderId="3" xfId="0" applyNumberFormat="1" applyFont="1" applyFill="1" applyBorder="1" applyAlignment="1">
      <alignment horizontal="center" vertical="center"/>
    </xf>
    <xf numFmtId="167" fontId="26" fillId="5" borderId="3" xfId="0" applyNumberFormat="1" applyFont="1" applyFill="1" applyBorder="1" applyAlignment="1">
      <alignment horizontal="center" vertical="center"/>
    </xf>
    <xf numFmtId="164" fontId="26" fillId="5" borderId="3" xfId="0" applyNumberFormat="1" applyFont="1" applyFill="1" applyBorder="1" applyAlignment="1">
      <alignment horizontal="center" vertical="center"/>
    </xf>
    <xf numFmtId="166" fontId="26" fillId="5" borderId="3" xfId="0" applyNumberFormat="1" applyFont="1" applyFill="1" applyBorder="1" applyAlignment="1">
      <alignment horizontal="center" vertical="center"/>
    </xf>
    <xf numFmtId="168" fontId="26" fillId="5" borderId="3" xfId="0" applyNumberFormat="1" applyFont="1" applyFill="1" applyBorder="1" applyAlignment="1">
      <alignment horizontal="center" vertical="center"/>
    </xf>
    <xf numFmtId="169" fontId="26" fillId="5" borderId="3" xfId="0" applyNumberFormat="1" applyFont="1" applyFill="1" applyBorder="1" applyAlignment="1">
      <alignment horizontal="center" vertical="center"/>
    </xf>
    <xf numFmtId="0" fontId="27" fillId="5" borderId="3" xfId="0" applyFont="1" applyFill="1" applyBorder="1" applyAlignment="1">
      <alignment horizontal="left" vertical="center" indent="1"/>
    </xf>
    <xf numFmtId="0" fontId="28" fillId="5" borderId="3" xfId="0" applyFont="1" applyFill="1" applyBorder="1" applyAlignment="1">
      <alignment horizontal="left" vertical="center"/>
    </xf>
    <xf numFmtId="0" fontId="29" fillId="5" borderId="3" xfId="0" applyFont="1" applyFill="1" applyBorder="1" applyAlignment="1">
      <alignment horizontal="center" vertical="center"/>
    </xf>
    <xf numFmtId="0" fontId="30" fillId="2" borderId="0" xfId="0" applyFont="1" applyFill="1" applyAlignment="1">
      <alignment horizontal="left" vertical="center"/>
    </xf>
    <xf numFmtId="0" fontId="31" fillId="20" borderId="12" xfId="0" applyFont="1" applyFill="1" applyBorder="1" applyAlignment="1">
      <alignment horizontal="left" vertical="center"/>
    </xf>
    <xf numFmtId="0" fontId="32" fillId="10" borderId="13" xfId="0" applyFont="1" applyFill="1" applyBorder="1" applyAlignment="1">
      <alignment horizontal="left" vertical="center"/>
    </xf>
    <xf numFmtId="0" fontId="33" fillId="12" borderId="14" xfId="0" applyFont="1" applyFill="1" applyBorder="1" applyAlignment="1">
      <alignment horizontal="left" vertical="center"/>
    </xf>
    <xf numFmtId="0" fontId="34" fillId="11" borderId="15" xfId="0" applyFont="1" applyFill="1" applyBorder="1" applyAlignment="1">
      <alignment horizontal="left" vertical="center"/>
    </xf>
    <xf numFmtId="0" fontId="2" fillId="4" borderId="2" xfId="0" applyFont="1" applyFill="1" applyBorder="1" applyAlignment="1">
      <alignment horizontal="center" vertical="center" wrapText="1"/>
    </xf>
    <xf numFmtId="0" fontId="2" fillId="14" borderId="6" xfId="0" applyFont="1" applyFill="1" applyBorder="1" applyAlignment="1">
      <alignment horizontal="center" vertical="center" wrapText="1"/>
    </xf>
    <xf numFmtId="0" fontId="2" fillId="17" borderId="9" xfId="0" applyFont="1" applyFill="1" applyBorder="1" applyAlignment="1">
      <alignment horizontal="center" vertical="center" wrapText="1"/>
    </xf>
    <xf numFmtId="0" fontId="2" fillId="19" borderId="11" xfId="0" applyFont="1" applyFill="1" applyBorder="1" applyAlignment="1">
      <alignment horizontal="center" vertical="center" wrapText="1"/>
    </xf>
    <xf numFmtId="1" fontId="35" fillId="7" borderId="3" xfId="0" applyNumberFormat="1" applyFont="1" applyFill="1" applyBorder="1" applyAlignment="1">
      <alignment horizontal="center" vertical="center"/>
    </xf>
    <xf numFmtId="170" fontId="7" fillId="7" borderId="3" xfId="0" applyNumberFormat="1" applyFont="1" applyFill="1" applyBorder="1" applyAlignment="1" applyProtection="1">
      <alignment horizontal="center" vertical="center"/>
      <protection locked="0"/>
    </xf>
    <xf numFmtId="0" fontId="7" fillId="7" borderId="3" xfId="0" applyFont="1" applyFill="1" applyBorder="1" applyAlignment="1" applyProtection="1">
      <alignment horizontal="center" vertical="center"/>
      <protection locked="0"/>
    </xf>
    <xf numFmtId="166" fontId="7" fillId="7" borderId="3" xfId="0" applyNumberFormat="1" applyFont="1" applyFill="1" applyBorder="1" applyAlignment="1" applyProtection="1">
      <alignment horizontal="center" vertical="center"/>
      <protection locked="0"/>
    </xf>
    <xf numFmtId="171" fontId="7" fillId="7" borderId="3" xfId="0" applyNumberFormat="1" applyFont="1" applyFill="1" applyBorder="1" applyAlignment="1" applyProtection="1">
      <alignment horizontal="right" vertical="center"/>
      <protection locked="0"/>
    </xf>
    <xf numFmtId="171" fontId="36" fillId="7" borderId="3" xfId="0" applyNumberFormat="1" applyFont="1" applyFill="1" applyBorder="1" applyAlignment="1">
      <alignment horizontal="right" vertical="center"/>
    </xf>
    <xf numFmtId="0" fontId="7" fillId="7" borderId="3" xfId="0" applyFont="1" applyFill="1" applyBorder="1" applyAlignment="1" applyProtection="1">
      <alignment horizontal="left" vertical="top" wrapText="1"/>
      <protection locked="0"/>
    </xf>
    <xf numFmtId="1" fontId="35" fillId="5" borderId="3" xfId="0" applyNumberFormat="1" applyFont="1" applyFill="1" applyBorder="1" applyAlignment="1">
      <alignment horizontal="center" vertical="center"/>
    </xf>
    <xf numFmtId="170" fontId="7" fillId="5" borderId="3" xfId="0" applyNumberFormat="1" applyFont="1" applyFill="1" applyBorder="1" applyAlignment="1" applyProtection="1">
      <alignment horizontal="center" vertical="center"/>
      <protection locked="0"/>
    </xf>
    <xf numFmtId="166" fontId="7" fillId="5" borderId="3" xfId="0" applyNumberFormat="1" applyFont="1" applyFill="1" applyBorder="1" applyAlignment="1" applyProtection="1">
      <alignment horizontal="center" vertical="center"/>
      <protection locked="0"/>
    </xf>
    <xf numFmtId="171" fontId="7" fillId="5" borderId="3" xfId="0" applyNumberFormat="1" applyFont="1" applyFill="1" applyBorder="1" applyAlignment="1" applyProtection="1">
      <alignment horizontal="right" vertical="center"/>
      <protection locked="0"/>
    </xf>
    <xf numFmtId="0" fontId="7" fillId="5" borderId="3" xfId="0" applyFont="1" applyFill="1" applyBorder="1" applyAlignment="1" applyProtection="1">
      <alignment horizontal="left" vertical="top" wrapText="1"/>
      <protection locked="0"/>
    </xf>
    <xf numFmtId="0" fontId="37" fillId="3" borderId="1" xfId="0" applyFont="1" applyFill="1" applyBorder="1" applyAlignment="1">
      <alignment horizontal="right" vertical="center" indent="1"/>
    </xf>
    <xf numFmtId="0" fontId="7" fillId="3" borderId="1" xfId="0" applyFont="1" applyFill="1" applyBorder="1" applyAlignment="1">
      <alignment vertical="center"/>
    </xf>
    <xf numFmtId="166" fontId="37" fillId="3" borderId="1" xfId="0" applyNumberFormat="1" applyFont="1" applyFill="1" applyBorder="1" applyAlignment="1">
      <alignment horizontal="right" vertical="center"/>
    </xf>
    <xf numFmtId="0" fontId="38" fillId="9" borderId="16" xfId="0" applyFont="1" applyFill="1" applyBorder="1" applyAlignment="1">
      <alignment horizontal="left" vertical="center"/>
    </xf>
    <xf numFmtId="0" fontId="39" fillId="6" borderId="17" xfId="0" applyFont="1" applyFill="1" applyBorder="1" applyAlignment="1">
      <alignment horizontal="left" vertical="center"/>
    </xf>
    <xf numFmtId="0" fontId="2" fillId="21" borderId="18" xfId="0" applyFont="1" applyFill="1" applyBorder="1" applyAlignment="1">
      <alignment horizontal="center" vertical="center" wrapText="1"/>
    </xf>
    <xf numFmtId="164" fontId="36" fillId="7" borderId="3" xfId="0" applyNumberFormat="1" applyFont="1" applyFill="1" applyBorder="1" applyAlignment="1">
      <alignment horizontal="center" vertical="center"/>
    </xf>
    <xf numFmtId="0" fontId="5" fillId="4" borderId="0" xfId="0" applyFont="1" applyFill="1" applyAlignment="1">
      <alignment horizontal="left" vertical="center" indent="1"/>
    </xf>
    <xf numFmtId="0" fontId="40" fillId="7" borderId="3" xfId="0" applyFont="1" applyFill="1" applyBorder="1" applyAlignment="1">
      <alignment horizontal="left" vertical="center" indent="1"/>
    </xf>
    <xf numFmtId="171" fontId="9" fillId="5" borderId="3" xfId="0" applyNumberFormat="1" applyFont="1" applyFill="1" applyBorder="1" applyAlignment="1">
      <alignment horizontal="right" vertical="center"/>
    </xf>
    <xf numFmtId="0" fontId="41" fillId="4" borderId="2" xfId="0" applyFont="1" applyFill="1" applyBorder="1" applyAlignment="1">
      <alignment horizontal="left" vertical="center" indent="1"/>
    </xf>
    <xf numFmtId="171" fontId="42" fillId="5" borderId="3" xfId="0" applyNumberFormat="1" applyFont="1" applyFill="1" applyBorder="1" applyAlignment="1">
      <alignment horizontal="right" vertical="center"/>
    </xf>
    <xf numFmtId="0" fontId="43" fillId="3" borderId="0" xfId="0" applyFont="1" applyFill="1" applyAlignment="1">
      <alignment horizontal="center" vertical="center" wrapText="1"/>
    </xf>
    <xf numFmtId="0" fontId="44" fillId="13" borderId="19" xfId="0" applyFont="1" applyFill="1" applyBorder="1" applyAlignment="1">
      <alignment horizontal="left" vertical="center"/>
    </xf>
    <xf numFmtId="171" fontId="37" fillId="3" borderId="1" xfId="0" applyNumberFormat="1" applyFont="1" applyFill="1" applyBorder="1" applyAlignment="1">
      <alignment horizontal="right" vertical="center"/>
    </xf>
    <xf numFmtId="172" fontId="7" fillId="7" borderId="3" xfId="0" applyNumberFormat="1" applyFont="1" applyFill="1" applyBorder="1" applyAlignment="1" applyProtection="1">
      <alignment horizontal="center" vertical="center"/>
      <protection locked="0"/>
    </xf>
    <xf numFmtId="0" fontId="7" fillId="7" borderId="3" xfId="0" applyFont="1" applyFill="1" applyBorder="1" applyAlignment="1">
      <alignment horizontal="center" vertical="center"/>
    </xf>
    <xf numFmtId="172" fontId="7" fillId="5" borderId="3" xfId="0" applyNumberFormat="1" applyFont="1" applyFill="1" applyBorder="1" applyAlignment="1" applyProtection="1">
      <alignment horizontal="center" vertical="center"/>
      <protection locked="0"/>
    </xf>
    <xf numFmtId="172" fontId="7" fillId="7" borderId="3" xfId="0" applyNumberFormat="1" applyFont="1" applyFill="1" applyBorder="1" applyAlignment="1">
      <alignment horizontal="center" vertical="center"/>
    </xf>
    <xf numFmtId="0" fontId="45" fillId="7" borderId="3" xfId="0" applyFont="1" applyFill="1" applyBorder="1" applyAlignment="1" applyProtection="1">
      <alignment horizontal="center" vertical="center"/>
      <protection locked="0"/>
    </xf>
    <xf numFmtId="0" fontId="45" fillId="5" borderId="3" xfId="0" applyFont="1" applyFill="1" applyBorder="1" applyAlignment="1" applyProtection="1">
      <alignment horizontal="center" vertical="center"/>
      <protection locked="0"/>
    </xf>
    <xf numFmtId="166" fontId="7" fillId="7" borderId="3" xfId="0" applyNumberFormat="1" applyFont="1" applyFill="1" applyBorder="1" applyAlignment="1">
      <alignment horizontal="center" vertical="center"/>
    </xf>
    <xf numFmtId="166" fontId="7" fillId="7" borderId="3" xfId="0" applyNumberFormat="1" applyFont="1" applyFill="1" applyBorder="1" applyAlignment="1" applyProtection="1">
      <alignment horizontal="right" vertical="center"/>
      <protection locked="0"/>
    </xf>
    <xf numFmtId="166" fontId="7" fillId="5" borderId="3" xfId="0" applyNumberFormat="1" applyFont="1" applyFill="1" applyBorder="1" applyAlignment="1" applyProtection="1">
      <alignment horizontal="right" vertical="center"/>
      <protection locked="0"/>
    </xf>
    <xf numFmtId="173" fontId="46" fillId="5" borderId="3" xfId="0" applyNumberFormat="1" applyFont="1" applyFill="1" applyBorder="1" applyAlignment="1">
      <alignment horizontal="right" vertical="top" indent="1"/>
    </xf>
    <xf numFmtId="0" fontId="47" fillId="7" borderId="3" xfId="0" applyFont="1" applyFill="1" applyBorder="1" applyAlignment="1">
      <alignment horizontal="left" vertical="top" indent="1" wrapText="1"/>
    </xf>
    <xf numFmtId="0" fontId="48" fillId="3" borderId="1" xfId="0" applyFont="1" applyFill="1" applyBorder="1" applyAlignment="1">
      <alignment horizontal="left" vertical="center" indent="1"/>
    </xf>
    <xf numFmtId="171" fontId="49" fillId="5" borderId="3" xfId="0" applyNumberFormat="1" applyFont="1" applyFill="1" applyBorder="1" applyAlignment="1">
      <alignment horizontal="right" vertical="center"/>
    </xf>
    <xf numFmtId="1" fontId="50" fillId="5" borderId="3" xfId="0" applyNumberFormat="1" applyFont="1" applyFill="1" applyBorder="1" applyAlignment="1">
      <alignment horizontal="center" vertical="center"/>
    </xf>
    <xf numFmtId="166" fontId="50" fillId="5" borderId="3" xfId="0" applyNumberFormat="1" applyFont="1" applyFill="1" applyBorder="1" applyAlignment="1">
      <alignment horizontal="center" vertical="center"/>
    </xf>
    <xf numFmtId="164" fontId="9" fillId="5" borderId="3" xfId="0" applyNumberFormat="1" applyFont="1" applyFill="1" applyBorder="1" applyAlignment="1">
      <alignment horizontal="right" vertical="center"/>
    </xf>
    <xf numFmtId="0" fontId="25" fillId="16" borderId="8" xfId="0" applyFont="1" applyFill="1" applyBorder="1" applyAlignment="1">
      <alignment horizontal="left" vertical="center" indent="1"/>
    </xf>
    <xf numFmtId="0" fontId="51" fillId="5" borderId="3" xfId="0" applyFont="1" applyFill="1" applyBorder="1" applyAlignment="1">
      <alignment horizontal="left" vertical="center" indent="1"/>
    </xf>
    <xf numFmtId="1" fontId="37" fillId="3" borderId="1" xfId="0" applyNumberFormat="1" applyFont="1" applyFill="1" applyBorder="1" applyAlignment="1">
      <alignment horizontal="center" vertical="center"/>
    </xf>
    <xf numFmtId="0" fontId="25" fillId="17" borderId="9" xfId="0" applyFont="1" applyFill="1" applyBorder="1" applyAlignment="1">
      <alignment horizontal="left" vertical="center" indent="1"/>
    </xf>
    <xf numFmtId="0" fontId="6" fillId="5" borderId="3" xfId="0" applyFont="1" applyFill="1" applyBorder="1" applyAlignment="1">
      <alignment horizontal="right" vertical="center" indent="1"/>
    </xf>
    <xf numFmtId="0" fontId="6" fillId="7" borderId="3" xfId="0" applyFont="1" applyFill="1" applyBorder="1" applyAlignment="1">
      <alignment horizontal="right" vertical="center" indent="1"/>
    </xf>
    <xf numFmtId="171" fontId="52" fillId="5" borderId="3" xfId="0" applyNumberFormat="1" applyFont="1" applyFill="1" applyBorder="1" applyAlignment="1">
      <alignment horizontal="right" vertical="center"/>
    </xf>
    <xf numFmtId="0" fontId="41" fillId="3" borderId="1" xfId="0" applyFont="1" applyFill="1" applyBorder="1" applyAlignment="1">
      <alignment horizontal="right" vertical="center" indent="1"/>
    </xf>
    <xf numFmtId="0" fontId="53" fillId="2" borderId="0" xfId="0" applyFont="1" applyFill="1" applyAlignment="1">
      <alignment horizontal="left" vertical="center"/>
    </xf>
    <xf numFmtId="0" fontId="54" fillId="2" borderId="0" xfId="0" applyFont="1" applyFill="1" applyAlignment="1">
      <alignment horizontal="left" vertical="center"/>
    </xf>
    <xf numFmtId="0" fontId="55" fillId="2" borderId="0" xfId="0" applyFont="1" applyFill="1" applyAlignment="1">
      <alignment horizontal="left" vertical="center"/>
    </xf>
    <xf numFmtId="0" fontId="56" fillId="5" borderId="3" xfId="0" applyFont="1" applyFill="1" applyBorder="1" applyAlignment="1" applyProtection="1">
      <alignment horizontal="left" vertical="top" wrapText="1"/>
      <protection locked="0"/>
    </xf>
    <xf numFmtId="0" fontId="57" fillId="4" borderId="2" xfId="0" applyFont="1" applyFill="1" applyBorder="1" applyAlignment="1">
      <alignment horizontal="center" vertical="center"/>
    </xf>
    <xf numFmtId="0" fontId="58" fillId="5" borderId="3" xfId="0" applyFont="1" applyFill="1" applyBorder="1" applyAlignment="1">
      <alignment horizontal="left" vertical="center" indent="1"/>
    </xf>
    <xf numFmtId="0" fontId="59" fillId="5" borderId="3" xfId="0" applyFont="1" applyFill="1" applyBorder="1" applyAlignment="1">
      <alignment horizontal="left" vertical="center" indent="1" wrapText="1"/>
    </xf>
    <xf numFmtId="0" fontId="60" fillId="5" borderId="3" xfId="0" applyFont="1" applyFill="1" applyBorder="1" applyAlignment="1">
      <alignment horizontal="left" vertical="center" indent="1"/>
    </xf>
    <xf numFmtId="0" fontId="61" fillId="5" borderId="3" xfId="0" applyFont="1" applyFill="1" applyBorder="1" applyAlignment="1">
      <alignment horizontal="left" vertical="center" indent="1"/>
    </xf>
    <xf numFmtId="0" fontId="62" fillId="5" borderId="3" xfId="0" applyFont="1" applyFill="1" applyBorder="1" applyAlignment="1">
      <alignment horizontal="left" vertical="center" indent="1"/>
    </xf>
    <xf numFmtId="0" fontId="63" fillId="5" borderId="3" xfId="0" applyFont="1" applyFill="1" applyBorder="1" applyAlignment="1">
      <alignment horizontal="left" vertical="center" indent="1"/>
    </xf>
    <xf numFmtId="0" fontId="64" fillId="5" borderId="3" xfId="0" applyFont="1" applyFill="1" applyBorder="1" applyAlignment="1">
      <alignment horizontal="left" vertical="center" indent="1"/>
    </xf>
    <xf numFmtId="0" fontId="65" fillId="5" borderId="3" xfId="0" applyFont="1" applyFill="1" applyBorder="1" applyAlignment="1">
      <alignment horizontal="left" vertical="center" indent="1"/>
    </xf>
    <xf numFmtId="0" fontId="66" fillId="5" borderId="3" xfId="0" applyFont="1" applyFill="1" applyBorder="1" applyAlignment="1">
      <alignment horizontal="left" vertical="center" indent="1"/>
    </xf>
    <xf numFmtId="0" fontId="67" fillId="5" borderId="3" xfId="0" applyFont="1" applyFill="1" applyBorder="1" applyAlignment="1">
      <alignment horizontal="left" vertical="center" indent="1"/>
    </xf>
    <xf numFmtId="0" fontId="68" fillId="5" borderId="3" xfId="0" applyFont="1" applyFill="1" applyBorder="1" applyAlignment="1">
      <alignment horizontal="left" vertical="center" indent="1"/>
    </xf>
    <xf numFmtId="0" fontId="69" fillId="5" borderId="3" xfId="0" applyFont="1" applyFill="1" applyBorder="1" applyAlignment="1">
      <alignment horizontal="left" vertical="center" indent="1"/>
    </xf>
    <xf numFmtId="0" fontId="7" fillId="5" borderId="3" xfId="0" applyFont="1" applyFill="1" applyBorder="1" applyAlignment="1">
      <alignment vertical="center"/>
    </xf>
  </cellXfs>
  <cellStyles count="1">
    <cellStyle name="Normal" xfId="0" builtinId="0"/>
  </cellStyles>
  <dxfs count="13">
    <dxf>
      <font>
        <b/>
        <color rgb="FFB23A3A"/>
      </font>
      <fill>
        <patternFill>
          <bgColor rgb="FFF8E3E1"/>
        </patternFill>
      </fill>
      <border>
        <left style="thin">
          <color rgb="FFDCE4DA"/>
        </left>
        <right style="thin">
          <color rgb="FFDCE4DA"/>
        </right>
        <top style="thin">
          <color rgb="FFDCE4DA"/>
        </top>
        <bottom style="thin">
          <color rgb="FFDCE4DA"/>
        </bottom>
        <vertical/>
        <horizontal/>
      </border>
    </dxf>
    <dxf>
      <font>
        <b/>
        <color rgb="FFC07C12"/>
      </font>
      <fill>
        <patternFill>
          <bgColor rgb="FFFBF0D8"/>
        </patternFill>
      </fill>
      <border>
        <left style="thin">
          <color rgb="FFDCE4DA"/>
        </left>
        <right style="thin">
          <color rgb="FFDCE4DA"/>
        </right>
        <top style="thin">
          <color rgb="FFDCE4DA"/>
        </top>
        <bottom style="thin">
          <color rgb="FFDCE4DA"/>
        </bottom>
        <vertical/>
        <horizontal/>
      </border>
    </dxf>
    <dxf>
      <font>
        <b/>
        <color rgb="FF3E7C4F"/>
      </font>
      <fill>
        <patternFill>
          <bgColor rgb="FFE0EFE4"/>
        </patternFill>
      </fill>
      <border>
        <left style="thin">
          <color rgb="FFDCE4DA"/>
        </left>
        <right style="thin">
          <color rgb="FFDCE4DA"/>
        </right>
        <top style="thin">
          <color rgb="FFDCE4DA"/>
        </top>
        <bottom style="thin">
          <color rgb="FFDCE4DA"/>
        </bottom>
        <vertical/>
        <horizontal/>
      </border>
    </dxf>
    <dxf>
      <font>
        <b/>
        <color rgb="FF3E6E8E"/>
      </font>
      <fill>
        <patternFill>
          <bgColor rgb="FFE2EDF3"/>
        </patternFill>
      </fill>
    </dxf>
    <dxf>
      <font>
        <b/>
        <color rgb="FF3E6E8E"/>
      </font>
      <fill>
        <patternFill>
          <bgColor rgb="FFE2EDF3"/>
        </patternFill>
      </fill>
      <border>
        <left style="thin">
          <color rgb="FFDCE4DA"/>
        </left>
        <right style="thin">
          <color rgb="FFDCE4DA"/>
        </right>
        <top style="thin">
          <color rgb="FFDCE4DA"/>
        </top>
        <bottom style="thin">
          <color rgb="FFDCE4DA"/>
        </bottom>
        <vertical/>
        <horizontal/>
      </border>
    </dxf>
    <dxf>
      <font>
        <b/>
        <color rgb="FF6C5B94"/>
      </font>
      <fill>
        <patternFill>
          <bgColor rgb="FFEBE7F3"/>
        </patternFill>
      </fill>
      <border>
        <left style="thin">
          <color rgb="FFDCE4DA"/>
        </left>
        <right style="thin">
          <color rgb="FFDCE4DA"/>
        </right>
        <top style="thin">
          <color rgb="FFDCE4DA"/>
        </top>
        <bottom style="thin">
          <color rgb="FFDCE4DA"/>
        </bottom>
        <vertical/>
        <horizontal/>
      </border>
    </dxf>
    <dxf>
      <font>
        <b/>
        <color rgb="FFC99A18"/>
      </font>
      <fill>
        <patternFill>
          <bgColor rgb="FFFAF1D6"/>
        </patternFill>
      </fill>
      <border>
        <left style="thin">
          <color rgb="FFDCE4DA"/>
        </left>
        <right style="thin">
          <color rgb="FFDCE4DA"/>
        </right>
        <top style="thin">
          <color rgb="FFDCE4DA"/>
        </top>
        <bottom style="thin">
          <color rgb="FFDCE4DA"/>
        </bottom>
        <vertical/>
        <horizontal/>
      </border>
    </dxf>
    <dxf>
      <font>
        <b/>
        <color rgb="FFB23A3A"/>
      </font>
      <fill>
        <patternFill>
          <bgColor rgb="FFF8E3E1"/>
        </patternFill>
      </fill>
    </dxf>
    <dxf>
      <font>
        <b/>
        <color rgb="FFC07C12"/>
      </font>
      <fill>
        <patternFill>
          <bgColor rgb="FFFBF0D8"/>
        </patternFill>
      </fill>
    </dxf>
    <dxf>
      <font>
        <b/>
        <color rgb="FF3E7C4F"/>
      </font>
      <fill>
        <patternFill>
          <bgColor rgb="FFE0EFE4"/>
        </patternFill>
      </fill>
    </dxf>
    <dxf>
      <font>
        <b/>
        <color rgb="FF3E7C4F"/>
      </font>
      <fill>
        <patternFill>
          <bgColor rgb="FFE0EFE4"/>
        </patternFill>
      </fill>
      <border>
        <left style="thin">
          <color rgb="FFDCE4DA"/>
        </left>
        <right style="thin">
          <color rgb="FFDCE4DA"/>
        </right>
        <top style="thin">
          <color rgb="FFDCE4DA"/>
        </top>
        <bottom style="thin">
          <color rgb="FFDCE4DA"/>
        </bottom>
        <vertical/>
        <horizontal/>
      </border>
    </dxf>
    <dxf>
      <font>
        <b/>
        <color rgb="FFC99A18"/>
      </font>
      <fill>
        <patternFill>
          <bgColor rgb="FFFAF1D6"/>
        </patternFill>
      </fill>
    </dxf>
    <dxf>
      <font>
        <b/>
        <color rgb="FF3E7C4F"/>
      </font>
      <fill>
        <patternFill>
          <bgColor rgb="FFE0EFE4"/>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theme" Target="theme/theme1.xml"/><Relationship Id="rId22" Type="http://schemas.openxmlformats.org/officeDocument/2006/relationships/styles" Target="styles.xml"/><Relationship Id="rId2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22302A"/>
                </a:solidFill>
                <a:latin typeface="Calibri Light"/>
              </a:defRPr>
            </a:pPr>
            <a:r>
              <a:rPr lang="en-US" sz="1100" b="1" baseline="0">
                <a:solidFill>
                  <a:srgbClr val="22302A"/>
                </a:solidFill>
                <a:latin typeface="Calibri Light"/>
              </a:rPr>
              <a:t>Cash in vs cash out, by month</a:t>
            </a:r>
          </a:p>
        </c:rich>
      </c:tx>
      <c:layout/>
    </c:title>
    <c:plotArea>
      <c:layout/>
      <c:barChart>
        <c:barDir val="col"/>
        <c:grouping val="clustered"/>
        <c:ser>
          <c:idx val="0"/>
          <c:order val="0"/>
          <c:tx>
            <c:v>Cash in</c:v>
          </c:tx>
          <c:spPr>
            <a:solidFill>
              <a:srgbClr val="3E7C4F"/>
            </a:solidFill>
            <a:ln>
              <a:noFill/>
            </a:ln>
          </c:spPr>
          <c:cat>
            <c:strRef>
              <c:f>'_Data'!$H$2:$H$13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'_Data'!$I$2:$I$13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v>Cash out</c:v>
          </c:tx>
          <c:spPr>
            <a:solidFill>
              <a:srgbClr val="B23A3A"/>
            </a:solidFill>
            <a:ln>
              <a:noFill/>
            </a:ln>
          </c:spPr>
          <c:cat>
            <c:strRef>
              <c:f>'_Data'!$H$2:$H$13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'_Data'!$J$2:$J$13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axId val="50010001"/>
        <c:axId val="50010002"/>
      </c:barChart>
      <c:lineChart>
        <c:grouping val="standard"/>
        <c:ser>
          <c:idx val="2"/>
          <c:order val="2"/>
          <c:tx>
            <c:v>Net</c:v>
          </c:tx>
          <c:spPr>
            <a:ln w="31750">
              <a:solidFill>
                <a:srgbClr val="2F5D46"/>
              </a:solidFill>
            </a:ln>
          </c:spPr>
          <c:marker>
            <c:symbol val="circle"/>
            <c:size val="5"/>
            <c:spPr>
              <a:solidFill>
                <a:srgbClr val="2F5D46"/>
              </a:solidFill>
              <a:ln>
                <a:solidFill>
                  <a:srgbClr val="2F5D46"/>
                </a:solidFill>
              </a:ln>
            </c:spPr>
          </c:marker>
          <c:cat>
            <c:strRef>
              <c:f>'_Data'!$H$2:$H$13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'_Data'!$K$2:$K$13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marker val="1"/>
        <c:axId val="50010001"/>
        <c:axId val="50010002"/>
      </c:lineChart>
      <c:catAx>
        <c:axId val="50010001"/>
        <c:scaling>
          <c:orientation val="minMax"/>
        </c:scaling>
        <c:axPos val="b"/>
        <c:tickLblPos val="nextTo"/>
        <c:txPr>
          <a:bodyPr/>
          <a:lstStyle/>
          <a:p>
            <a:pPr>
              <a:defRPr sz="900" baseline="0">
                <a:solidFill>
                  <a:srgbClr val="7C8A82"/>
                </a:solidFill>
              </a:defRPr>
            </a:pPr>
            <a:endParaRPr lang="en-US"/>
          </a:p>
        </c:txPr>
        <c:crossAx val="50010002"/>
        <c:crosses val="autoZero"/>
        <c:auto val="1"/>
        <c:lblAlgn val="ctr"/>
        <c:lblOffset val="100"/>
      </c:catAx>
      <c:valAx>
        <c:axId val="50010002"/>
        <c:scaling>
          <c:orientation val="minMax"/>
        </c:scaling>
        <c:axPos val="l"/>
        <c:majorGridlines>
          <c:spPr>
            <a:ln w="9525">
              <a:solidFill>
                <a:srgbClr val="DCE4DA"/>
              </a:solidFill>
            </a:ln>
          </c:spPr>
        </c:majorGridlines>
        <c:numFmt formatCode="#,##0" sourceLinked="0"/>
        <c:tickLblPos val="nextTo"/>
        <c:txPr>
          <a:bodyPr/>
          <a:lstStyle/>
          <a:p>
            <a:pPr>
              <a:defRPr sz="900" baseline="0">
                <a:solidFill>
                  <a:srgbClr val="7C8A82"/>
                </a:solidFill>
              </a:defRPr>
            </a:pPr>
            <a:endParaRPr lang="en-US"/>
          </a:p>
        </c:txPr>
        <c:crossAx val="50010001"/>
        <c:crosses val="autoZero"/>
        <c:crossBetween val="between"/>
      </c:valAx>
      <c:spPr>
        <a:solidFill>
          <a:srgbClr val="FFFFFF"/>
        </a:solidFill>
      </c:spPr>
    </c:plotArea>
    <c:legend>
      <c:legendPos val="b"/>
      <c:layout/>
    </c:legend>
  </c:chart>
  <c:spPr>
    <a:solidFill>
      <a:srgbClr val="FFFFFF"/>
    </a:solidFill>
    <a:ln>
      <a:solidFill>
        <a:srgbClr val="DCE4DA"/>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22302A"/>
                </a:solidFill>
                <a:latin typeface="Calibri Light"/>
              </a:defRPr>
            </a:pPr>
            <a:r>
              <a:rPr lang="en-US" sz="1100" b="1" baseline="0">
                <a:solidFill>
                  <a:srgbClr val="22302A"/>
                </a:solidFill>
                <a:latin typeface="Calibri Light"/>
              </a:rPr>
              <a:t>Where the money goes</a:t>
            </a:r>
          </a:p>
        </c:rich>
      </c:tx>
      <c:layout/>
    </c:title>
    <c:plotArea>
      <c:layout/>
      <c:doughnutChart>
        <c:varyColors val="1"/>
        <c:ser>
          <c:idx val="0"/>
          <c:order val="0"/>
          <c:tx>
            <c:v>Where the money goes</c:v>
          </c:tx>
          <c:dPt>
            <c:idx val="0"/>
            <c:spPr>
              <a:solidFill>
                <a:srgbClr val="2F5D46"/>
              </a:solidFill>
              <a:ln>
                <a:solidFill>
                  <a:srgbClr val="FFFFFF"/>
                </a:solidFill>
              </a:ln>
            </c:spPr>
          </c:dPt>
          <c:dPt>
            <c:idx val="1"/>
            <c:spPr>
              <a:solidFill>
                <a:srgbClr val="C4482F"/>
              </a:solidFill>
              <a:ln>
                <a:solidFill>
                  <a:srgbClr val="FFFFFF"/>
                </a:solidFill>
              </a:ln>
            </c:spPr>
          </c:dPt>
          <c:dPt>
            <c:idx val="2"/>
            <c:spPr>
              <a:solidFill>
                <a:srgbClr val="C99A18"/>
              </a:solidFill>
              <a:ln>
                <a:solidFill>
                  <a:srgbClr val="FFFFFF"/>
                </a:solidFill>
              </a:ln>
            </c:spPr>
          </c:dPt>
          <c:dPt>
            <c:idx val="3"/>
            <c:spPr>
              <a:solidFill>
                <a:srgbClr val="3E6E8E"/>
              </a:solidFill>
              <a:ln>
                <a:solidFill>
                  <a:srgbClr val="FFFFFF"/>
                </a:solidFill>
              </a:ln>
            </c:spPr>
          </c:dPt>
          <c:dPt>
            <c:idx val="4"/>
            <c:spPr>
              <a:solidFill>
                <a:srgbClr val="6C5B94"/>
              </a:solidFill>
              <a:ln>
                <a:solidFill>
                  <a:srgbClr val="FFFFFF"/>
                </a:solidFill>
              </a:ln>
            </c:spPr>
          </c:dPt>
          <c:dPt>
            <c:idx val="5"/>
            <c:spPr>
              <a:solidFill>
                <a:srgbClr val="C07C12"/>
              </a:solidFill>
              <a:ln>
                <a:solidFill>
                  <a:srgbClr val="FFFFFF"/>
                </a:solidFill>
              </a:ln>
            </c:spPr>
          </c:dPt>
          <c:dPt>
            <c:idx val="6"/>
            <c:spPr>
              <a:solidFill>
                <a:srgbClr val="3E7C4F"/>
              </a:solidFill>
              <a:ln>
                <a:solidFill>
                  <a:srgbClr val="FFFFFF"/>
                </a:solidFill>
              </a:ln>
            </c:spPr>
          </c:dPt>
          <c:dPt>
            <c:idx val="7"/>
            <c:spPr>
              <a:solidFill>
                <a:srgbClr val="56806A"/>
              </a:solidFill>
              <a:ln>
                <a:solidFill>
                  <a:srgbClr val="FFFFFF"/>
                </a:solidFill>
              </a:ln>
            </c:spPr>
          </c:dPt>
          <c:dPt>
            <c:idx val="8"/>
            <c:spPr>
              <a:solidFill>
                <a:srgbClr val="B23A3A"/>
              </a:solidFill>
              <a:ln>
                <a:solidFill>
                  <a:srgbClr val="FFFFFF"/>
                </a:solidFill>
              </a:ln>
            </c:spPr>
          </c:dPt>
          <c:dPt>
            <c:idx val="9"/>
            <c:spPr>
              <a:solidFill>
                <a:srgbClr val="999999"/>
              </a:solidFill>
              <a:ln>
                <a:solidFill>
                  <a:srgbClr val="FFFFFF"/>
                </a:solidFill>
              </a:ln>
            </c:spPr>
          </c:dPt>
          <c:dPt>
            <c:idx val="10"/>
            <c:spPr>
              <a:solidFill>
                <a:srgbClr val="BBBBBB"/>
              </a:solidFill>
              <a:ln>
                <a:solidFill>
                  <a:srgbClr val="FFFFFF"/>
                </a:solidFill>
              </a:ln>
            </c:spPr>
          </c:dPt>
          <c:dLbls>
            <c:txPr>
              <a:bodyPr/>
              <a:lstStyle/>
              <a:p>
                <a:pPr>
                  <a:defRPr sz="800" baseline="0">
                    <a:solidFill>
                      <a:srgbClr val="FFFFFF"/>
                    </a:solidFill>
                  </a:defRPr>
                </a:pPr>
                <a:endParaRPr lang="en-US"/>
              </a:p>
            </c:txPr>
            <c:showPercent val="1"/>
          </c:dLbls>
          <c:cat>
            <c:strRef>
              <c:f>'_Data'!$N$2:$N$12</c:f>
              <c:strCache>
                <c:ptCount val="11"/>
                <c:pt idx="0">
                  <c:v>Ingredients</c:v>
                </c:pt>
                <c:pt idx="1">
                  <c:v>Packaging</c:v>
                </c:pt>
                <c:pt idx="2">
                  <c:v>Staff / Labor</c:v>
                </c:pt>
                <c:pt idx="3">
                  <c:v>Transportation</c:v>
                </c:pt>
                <c:pt idx="4">
                  <c:v>Equipment</c:v>
                </c:pt>
                <c:pt idx="5">
                  <c:v>Kitchen Rental</c:v>
                </c:pt>
                <c:pt idx="6">
                  <c:v>Marketing</c:v>
                </c:pt>
                <c:pt idx="7">
                  <c:v>Insurance</c:v>
                </c:pt>
                <c:pt idx="8">
                  <c:v>Utilities</c:v>
                </c:pt>
                <c:pt idx="9">
                  <c:v>Software</c:v>
                </c:pt>
                <c:pt idx="10">
                  <c:v>Miscellaneous</c:v>
                </c:pt>
              </c:strCache>
            </c:strRef>
          </c:cat>
          <c:val>
            <c:numRef>
              <c:f>'_Data'!$O$2:$O$12</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ser>
        <c:firstSliceAng val="0"/>
        <c:holeSize val="52"/>
      </c:doughnutChart>
    </c:plotArea>
    <c:legend>
      <c:legendPos val="r"/>
      <c:layout/>
      <c:txPr>
        <a:bodyPr/>
        <a:lstStyle/>
        <a:p>
          <a:pPr rtl="0">
            <a:defRPr sz="800" baseline="0"/>
          </a:pPr>
          <a:endParaRPr lang="en-US"/>
        </a:p>
      </c:txPr>
    </c:legend>
  </c:chart>
  <c:spPr>
    <a:solidFill>
      <a:srgbClr val="FFFFFF"/>
    </a:solidFill>
    <a:ln>
      <a:solidFill>
        <a:srgbClr val="DCE4DA"/>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22302A"/>
                </a:solidFill>
                <a:latin typeface="Calibri Light"/>
              </a:defRPr>
            </a:pPr>
            <a:r>
              <a:rPr lang="en-US" sz="1100" b="1" baseline="0">
                <a:solidFill>
                  <a:srgbClr val="22302A"/>
                </a:solidFill>
                <a:latin typeface="Calibri Light"/>
              </a:rPr>
              <a:t>Pipeline status</a:t>
            </a:r>
          </a:p>
        </c:rich>
      </c:tx>
      <c:layout/>
    </c:title>
    <c:plotArea>
      <c:layout/>
      <c:doughnutChart>
        <c:varyColors val="1"/>
        <c:ser>
          <c:idx val="0"/>
          <c:order val="0"/>
          <c:tx>
            <c:v>Pipeline status</c:v>
          </c:tx>
          <c:dPt>
            <c:idx val="0"/>
            <c:spPr>
              <a:solidFill>
                <a:srgbClr val="3E6E8E"/>
              </a:solidFill>
              <a:ln>
                <a:solidFill>
                  <a:srgbClr val="FFFFFF"/>
                </a:solidFill>
              </a:ln>
            </c:spPr>
          </c:dPt>
          <c:dPt>
            <c:idx val="1"/>
            <c:spPr>
              <a:solidFill>
                <a:srgbClr val="6C5B94"/>
              </a:solidFill>
              <a:ln>
                <a:solidFill>
                  <a:srgbClr val="FFFFFF"/>
                </a:solidFill>
              </a:ln>
            </c:spPr>
          </c:dPt>
          <c:dPt>
            <c:idx val="2"/>
            <c:spPr>
              <a:solidFill>
                <a:srgbClr val="C07C12"/>
              </a:solidFill>
              <a:ln>
                <a:solidFill>
                  <a:srgbClr val="FFFFFF"/>
                </a:solidFill>
              </a:ln>
            </c:spPr>
          </c:dPt>
          <c:dPt>
            <c:idx val="3"/>
            <c:spPr>
              <a:solidFill>
                <a:srgbClr val="3E7C4F"/>
              </a:solidFill>
              <a:ln>
                <a:solidFill>
                  <a:srgbClr val="FFFFFF"/>
                </a:solidFill>
              </a:ln>
            </c:spPr>
          </c:dPt>
          <c:dPt>
            <c:idx val="4"/>
            <c:spPr>
              <a:solidFill>
                <a:srgbClr val="C99A18"/>
              </a:solidFill>
              <a:ln>
                <a:solidFill>
                  <a:srgbClr val="FFFFFF"/>
                </a:solidFill>
              </a:ln>
            </c:spPr>
          </c:dPt>
          <c:dPt>
            <c:idx val="5"/>
            <c:spPr>
              <a:solidFill>
                <a:srgbClr val="B23A3A"/>
              </a:solidFill>
              <a:ln>
                <a:solidFill>
                  <a:srgbClr val="FFFFFF"/>
                </a:solidFill>
              </a:ln>
            </c:spPr>
          </c:dPt>
          <c:dLbls>
            <c:txPr>
              <a:bodyPr/>
              <a:lstStyle/>
              <a:p>
                <a:pPr>
                  <a:defRPr sz="800" baseline="0">
                    <a:solidFill>
                      <a:srgbClr val="FFFFFF"/>
                    </a:solidFill>
                  </a:defRPr>
                </a:pPr>
                <a:endParaRPr lang="en-US"/>
              </a:p>
            </c:txPr>
            <c:showPercent val="1"/>
          </c:dLbls>
          <c:cat>
            <c:strRef>
              <c:f>'_Data'!$N$28:$N$33</c:f>
              <c:strCache>
                <c:ptCount val="6"/>
                <c:pt idx="0">
                  <c:v>💬 Inquiry</c:v>
                </c:pt>
                <c:pt idx="1">
                  <c:v>📝 Quote Sent</c:v>
                </c:pt>
                <c:pt idx="2">
                  <c:v>💰 Deposit Paid</c:v>
                </c:pt>
                <c:pt idx="3">
                  <c:v>✅ Confirmed</c:v>
                </c:pt>
                <c:pt idx="4">
                  <c:v>🎉 Completed</c:v>
                </c:pt>
                <c:pt idx="5">
                  <c:v>❌ Cancelled</c:v>
                </c:pt>
              </c:strCache>
            </c:strRef>
          </c:cat>
          <c:val>
            <c:numRef>
              <c:f>'_Data'!$O$28:$O$33</c:f>
              <c:numCache>
                <c:formatCode>General</c:formatCode>
                <c:ptCount val="6"/>
                <c:pt idx="0">
                  <c:v>0</c:v>
                </c:pt>
                <c:pt idx="1">
                  <c:v>0</c:v>
                </c:pt>
                <c:pt idx="2">
                  <c:v>0</c:v>
                </c:pt>
                <c:pt idx="3">
                  <c:v>0</c:v>
                </c:pt>
                <c:pt idx="4">
                  <c:v>0</c:v>
                </c:pt>
                <c:pt idx="5">
                  <c:v>0</c:v>
                </c:pt>
              </c:numCache>
            </c:numRef>
          </c:val>
        </c:ser>
        <c:firstSliceAng val="0"/>
        <c:holeSize val="52"/>
      </c:doughnutChart>
    </c:plotArea>
    <c:legend>
      <c:legendPos val="r"/>
      <c:layout/>
      <c:txPr>
        <a:bodyPr/>
        <a:lstStyle/>
        <a:p>
          <a:pPr rtl="0">
            <a:defRPr sz="800" baseline="0"/>
          </a:pPr>
          <a:endParaRPr lang="en-US"/>
        </a:p>
      </c:txPr>
    </c:legend>
  </c:chart>
  <c:spPr>
    <a:solidFill>
      <a:srgbClr val="FFFFFF"/>
    </a:solidFill>
    <a:ln>
      <a:solidFill>
        <a:srgbClr val="DCE4DA"/>
      </a:solid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22302A"/>
                </a:solidFill>
                <a:latin typeface="Calibri Light"/>
              </a:defRPr>
            </a:pPr>
            <a:r>
              <a:rPr lang="en-US" sz="1100" b="1" baseline="0">
                <a:solidFill>
                  <a:srgbClr val="22302A"/>
                </a:solidFill>
                <a:latin typeface="Calibri Light"/>
              </a:rPr>
              <a:t>Revenue by event type</a:t>
            </a:r>
          </a:p>
        </c:rich>
      </c:tx>
      <c:layout/>
    </c:title>
    <c:plotArea>
      <c:layout/>
      <c:barChart>
        <c:barDir val="bar"/>
        <c:grouping val="clustered"/>
        <c:ser>
          <c:idx val="0"/>
          <c:order val="0"/>
          <c:tx>
            <c:v>Revenue</c:v>
          </c:tx>
          <c:spPr>
            <a:solidFill>
              <a:srgbClr val="C4482F"/>
            </a:solidFill>
            <a:ln>
              <a:noFill/>
            </a:ln>
          </c:spPr>
          <c:cat>
            <c:strRef>
              <c:f>'_Data'!$N$16:$N$24</c:f>
              <c:strCache>
                <c:ptCount val="9"/>
                <c:pt idx="0">
                  <c:v>Wedding</c:v>
                </c:pt>
                <c:pt idx="1">
                  <c:v>Corporate</c:v>
                </c:pt>
                <c:pt idx="2">
                  <c:v>Birthday</c:v>
                </c:pt>
                <c:pt idx="3">
                  <c:v>Private Party</c:v>
                </c:pt>
                <c:pt idx="4">
                  <c:v>Buffet</c:v>
                </c:pt>
                <c:pt idx="5">
                  <c:v>Cocktail</c:v>
                </c:pt>
                <c:pt idx="6">
                  <c:v>Conference</c:v>
                </c:pt>
                <c:pt idx="7">
                  <c:v>Festival</c:v>
                </c:pt>
                <c:pt idx="8">
                  <c:v>Other</c:v>
                </c:pt>
              </c:strCache>
            </c:strRef>
          </c:cat>
          <c:val>
            <c:numRef>
              <c:f>'_Data'!$O$16:$O$24</c:f>
              <c:numCache>
                <c:formatCode>General</c:formatCode>
                <c:ptCount val="9"/>
                <c:pt idx="0">
                  <c:v>0</c:v>
                </c:pt>
                <c:pt idx="1">
                  <c:v>0</c:v>
                </c:pt>
                <c:pt idx="2">
                  <c:v>0</c:v>
                </c:pt>
                <c:pt idx="3">
                  <c:v>0</c:v>
                </c:pt>
                <c:pt idx="4">
                  <c:v>0</c:v>
                </c:pt>
                <c:pt idx="5">
                  <c:v>0</c:v>
                </c:pt>
                <c:pt idx="6">
                  <c:v>0</c:v>
                </c:pt>
                <c:pt idx="7">
                  <c:v>0</c:v>
                </c:pt>
                <c:pt idx="8">
                  <c:v>0</c:v>
                </c:pt>
              </c:numCache>
            </c:numRef>
          </c:val>
        </c:ser>
        <c:axId val="50040001"/>
        <c:axId val="50040002"/>
      </c:barChart>
      <c:catAx>
        <c:axId val="50040001"/>
        <c:scaling>
          <c:orientation val="maxMin"/>
        </c:scaling>
        <c:axPos val="l"/>
        <c:tickLblPos val="nextTo"/>
        <c:txPr>
          <a:bodyPr/>
          <a:lstStyle/>
          <a:p>
            <a:pPr>
              <a:defRPr sz="900" baseline="0">
                <a:solidFill>
                  <a:srgbClr val="7C8A82"/>
                </a:solidFill>
              </a:defRPr>
            </a:pPr>
            <a:endParaRPr lang="en-US"/>
          </a:p>
        </c:txPr>
        <c:crossAx val="50040002"/>
        <c:crosses val="autoZero"/>
        <c:auto val="1"/>
        <c:lblAlgn val="ctr"/>
        <c:lblOffset val="100"/>
      </c:catAx>
      <c:valAx>
        <c:axId val="50040002"/>
        <c:scaling>
          <c:orientation val="minMax"/>
        </c:scaling>
        <c:axPos val="t"/>
        <c:majorGridlines/>
        <c:numFmt formatCode="#,##0" sourceLinked="0"/>
        <c:tickLblPos val="nextTo"/>
        <c:txPr>
          <a:bodyPr/>
          <a:lstStyle/>
          <a:p>
            <a:pPr>
              <a:defRPr sz="900" baseline="0">
                <a:solidFill>
                  <a:srgbClr val="7C8A82"/>
                </a:solidFill>
              </a:defRPr>
            </a:pPr>
            <a:endParaRPr lang="en-US"/>
          </a:p>
        </c:txPr>
        <c:crossAx val="50040001"/>
        <c:crosses val="autoZero"/>
        <c:crossBetween val="between"/>
      </c:valAx>
    </c:plotArea>
  </c:chart>
  <c:spPr>
    <a:solidFill>
      <a:srgbClr val="FFFFFF"/>
    </a:solidFill>
    <a:ln>
      <a:solidFill>
        <a:srgbClr val="DCE4DA"/>
      </a:solid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22302A"/>
                </a:solidFill>
                <a:latin typeface="Calibri Light"/>
              </a:defRPr>
            </a:pPr>
            <a:r>
              <a:rPr lang="en-US" sz="1100" b="1" baseline="0">
                <a:solidFill>
                  <a:srgbClr val="22302A"/>
                </a:solidFill>
                <a:latin typeface="Calibri Light"/>
              </a:rPr>
              <a:t>Cost vs price, dish by dish</a:t>
            </a:r>
          </a:p>
        </c:rich>
      </c:tx>
      <c:layout/>
    </c:title>
    <c:plotArea>
      <c:layout/>
      <c:barChart>
        <c:barDir val="col"/>
        <c:grouping val="clustered"/>
        <c:ser>
          <c:idx val="0"/>
          <c:order val="0"/>
          <c:tx>
            <c:v>Cost / portion</c:v>
          </c:tx>
          <c:spPr>
            <a:solidFill>
              <a:srgbClr val="B23A3A"/>
            </a:solidFill>
            <a:ln>
              <a:noFill/>
            </a:ln>
          </c:spPr>
          <c:cat>
            <c:strRef>
              <c:f>'🍽️ Menu Costing'!$C$8:$C$37</c:f>
              <c:strCache>
                <c:ptCount val="30"/>
                <c:pt idx="0">
                  <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
                </c:pt>
                <c:pt idx="25">
                  <c:v/>
                </c:pt>
                <c:pt idx="26">
                  <c:v/>
                </c:pt>
                <c:pt idx="27">
                  <c:v/>
                </c:pt>
                <c:pt idx="28">
                  <c:v/>
                </c:pt>
                <c:pt idx="29">
                  <c:v/>
                </c:pt>
              </c:strCache>
            </c:strRef>
          </c:cat>
          <c:val>
            <c:numRef>
              <c:f>'🍽️ Menu Costing'!$G$8:$G$37</c:f>
              <c:numCache>
                <c:formatCode>General</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er>
        <c:ser>
          <c:idx val="1"/>
          <c:order val="1"/>
          <c:tx>
            <c:v>Menu price</c:v>
          </c:tx>
          <c:spPr>
            <a:solidFill>
              <a:srgbClr val="3E7C4F"/>
            </a:solidFill>
            <a:ln>
              <a:noFill/>
            </a:ln>
          </c:spPr>
          <c:cat>
            <c:strRef>
              <c:f>'🍽️ Menu Costing'!$C$8:$C$37</c:f>
              <c:strCache>
                <c:ptCount val="30"/>
                <c:pt idx="0">
                  <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
                </c:pt>
                <c:pt idx="25">
                  <c:v/>
                </c:pt>
                <c:pt idx="26">
                  <c:v/>
                </c:pt>
                <c:pt idx="27">
                  <c:v/>
                </c:pt>
                <c:pt idx="28">
                  <c:v/>
                </c:pt>
                <c:pt idx="29">
                  <c:v/>
                </c:pt>
              </c:strCache>
            </c:strRef>
          </c:cat>
          <c:val>
            <c:numRef>
              <c:f>'🍽️ Menu Costing'!$H$8:$H$37</c:f>
              <c:numCache>
                <c:formatCode>General</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er>
        <c:axId val="50050001"/>
        <c:axId val="50050002"/>
      </c:barChart>
      <c:catAx>
        <c:axId val="50050001"/>
        <c:scaling>
          <c:orientation val="minMax"/>
        </c:scaling>
        <c:axPos val="b"/>
        <c:tickLblPos val="nextTo"/>
        <c:txPr>
          <a:bodyPr rot="-2700000" vert="horz"/>
          <a:lstStyle/>
          <a:p>
            <a:pPr>
              <a:defRPr sz="800" baseline="0">
                <a:solidFill>
                  <a:srgbClr val="7C8A82"/>
                </a:solidFill>
              </a:defRPr>
            </a:pPr>
            <a:endParaRPr lang="en-US"/>
          </a:p>
        </c:txPr>
        <c:crossAx val="50050002"/>
        <c:crosses val="autoZero"/>
        <c:auto val="1"/>
        <c:lblAlgn val="ctr"/>
        <c:lblOffset val="100"/>
      </c:catAx>
      <c:valAx>
        <c:axId val="50050002"/>
        <c:scaling>
          <c:orientation val="minMax"/>
        </c:scaling>
        <c:axPos val="l"/>
        <c:majorGridlines>
          <c:spPr>
            <a:ln w="9525">
              <a:solidFill>
                <a:srgbClr val="DCE4DA"/>
              </a:solidFill>
            </a:ln>
          </c:spPr>
        </c:majorGridlines>
        <c:numFmt formatCode="0.00" sourceLinked="0"/>
        <c:tickLblPos val="nextTo"/>
        <c:txPr>
          <a:bodyPr/>
          <a:lstStyle/>
          <a:p>
            <a:pPr>
              <a:defRPr sz="900" baseline="0">
                <a:solidFill>
                  <a:srgbClr val="7C8A82"/>
                </a:solidFill>
              </a:defRPr>
            </a:pPr>
            <a:endParaRPr lang="en-US"/>
          </a:p>
        </c:txPr>
        <c:crossAx val="50050001"/>
        <c:crosses val="autoZero"/>
        <c:crossBetween val="between"/>
      </c:valAx>
    </c:plotArea>
    <c:legend>
      <c:legendPos val="b"/>
      <c:layout/>
    </c:legend>
  </c:chart>
  <c:spPr>
    <a:solidFill>
      <a:srgbClr val="FFFFFF"/>
    </a:solidFill>
    <a:ln>
      <a:solidFill>
        <a:srgbClr val="DCE4DA"/>
      </a:solid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22302A"/>
                </a:solidFill>
                <a:latin typeface="Calibri Light"/>
              </a:defRPr>
            </a:pPr>
            <a:r>
              <a:rPr lang="en-US" sz="1100" b="1" baseline="0">
                <a:solidFill>
                  <a:srgbClr val="22302A"/>
                </a:solidFill>
                <a:latin typeface="Calibri Light"/>
              </a:rPr>
              <a:t>Cash received, by month</a:t>
            </a:r>
          </a:p>
        </c:rich>
      </c:tx>
      <c:layout/>
    </c:title>
    <c:plotArea>
      <c:layout/>
      <c:barChart>
        <c:barDir val="col"/>
        <c:grouping val="clustered"/>
        <c:ser>
          <c:idx val="0"/>
          <c:order val="0"/>
          <c:tx>
            <c:v>Cash received</c:v>
          </c:tx>
          <c:spPr>
            <a:solidFill>
              <a:srgbClr val="3E7C4F"/>
            </a:solidFill>
            <a:ln>
              <a:noFill/>
            </a:ln>
          </c:spPr>
          <c:cat>
            <c:strRef>
              <c:f>'_Data'!$H$2:$H$13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'_Data'!$I$2:$I$13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axId val="50060001"/>
        <c:axId val="50060002"/>
      </c:barChart>
      <c:catAx>
        <c:axId val="50060001"/>
        <c:scaling>
          <c:orientation val="minMax"/>
        </c:scaling>
        <c:axPos val="b"/>
        <c:tickLblPos val="nextTo"/>
        <c:txPr>
          <a:bodyPr/>
          <a:lstStyle/>
          <a:p>
            <a:pPr>
              <a:defRPr sz="900" baseline="0">
                <a:solidFill>
                  <a:srgbClr val="7C8A82"/>
                </a:solidFill>
              </a:defRPr>
            </a:pPr>
            <a:endParaRPr lang="en-US"/>
          </a:p>
        </c:txPr>
        <c:crossAx val="50060002"/>
        <c:crosses val="autoZero"/>
        <c:auto val="1"/>
        <c:lblAlgn val="ctr"/>
        <c:lblOffset val="100"/>
      </c:catAx>
      <c:valAx>
        <c:axId val="50060002"/>
        <c:scaling>
          <c:orientation val="minMax"/>
        </c:scaling>
        <c:axPos val="l"/>
        <c:majorGridlines>
          <c:spPr>
            <a:ln w="9525">
              <a:solidFill>
                <a:srgbClr val="DCE4DA"/>
              </a:solidFill>
            </a:ln>
          </c:spPr>
        </c:majorGridlines>
        <c:numFmt formatCode="#,##0" sourceLinked="0"/>
        <c:tickLblPos val="nextTo"/>
        <c:txPr>
          <a:bodyPr/>
          <a:lstStyle/>
          <a:p>
            <a:pPr>
              <a:defRPr sz="900" baseline="0">
                <a:solidFill>
                  <a:srgbClr val="7C8A82"/>
                </a:solidFill>
              </a:defRPr>
            </a:pPr>
            <a:endParaRPr lang="en-US"/>
          </a:p>
        </c:txPr>
        <c:crossAx val="50060001"/>
        <c:crosses val="autoZero"/>
        <c:crossBetween val="between"/>
      </c:valAx>
    </c:plotArea>
  </c:chart>
  <c:spPr>
    <a:solidFill>
      <a:srgbClr val="FFFFFF"/>
    </a:solidFill>
    <a:ln>
      <a:solidFill>
        <a:srgbClr val="DCE4DA"/>
      </a:solid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22302A"/>
                </a:solidFill>
                <a:latin typeface="Calibri Light"/>
              </a:defRPr>
            </a:pPr>
            <a:r>
              <a:rPr lang="en-US" sz="1100" b="1" baseline="0">
                <a:solidFill>
                  <a:srgbClr val="22302A"/>
                </a:solidFill>
                <a:latin typeface="Calibri Light"/>
              </a:rPr>
              <a:t>Cash in vs cash out</a:t>
            </a:r>
          </a:p>
        </c:rich>
      </c:tx>
      <c:layout/>
    </c:title>
    <c:plotArea>
      <c:layout/>
      <c:barChart>
        <c:barDir val="col"/>
        <c:grouping val="clustered"/>
        <c:ser>
          <c:idx val="0"/>
          <c:order val="0"/>
          <c:tx>
            <c:v>Cash in</c:v>
          </c:tx>
          <c:spPr>
            <a:solidFill>
              <a:srgbClr val="3E7C4F"/>
            </a:solidFill>
            <a:ln>
              <a:noFill/>
            </a:ln>
          </c:spPr>
          <c:cat>
            <c:strRef>
              <c:f>'_Data'!$H$2:$H$13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'_Data'!$I$2:$I$13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v>Cash out</c:v>
          </c:tx>
          <c:spPr>
            <a:solidFill>
              <a:srgbClr val="B23A3A"/>
            </a:solidFill>
            <a:ln>
              <a:noFill/>
            </a:ln>
          </c:spPr>
          <c:cat>
            <c:strRef>
              <c:f>'_Data'!$H$2:$H$13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'_Data'!$J$2:$J$13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axId val="50070001"/>
        <c:axId val="50070002"/>
      </c:barChart>
      <c:lineChart>
        <c:grouping val="standard"/>
        <c:ser>
          <c:idx val="2"/>
          <c:order val="2"/>
          <c:tx>
            <c:v>Net</c:v>
          </c:tx>
          <c:spPr>
            <a:ln w="31750">
              <a:solidFill>
                <a:srgbClr val="2F5D46"/>
              </a:solidFill>
            </a:ln>
          </c:spPr>
          <c:marker>
            <c:symbol val="circle"/>
            <c:size val="5"/>
            <c:spPr>
              <a:solidFill>
                <a:srgbClr val="2F5D46"/>
              </a:solidFill>
              <a:ln>
                <a:solidFill>
                  <a:srgbClr val="2F5D46"/>
                </a:solidFill>
              </a:ln>
            </c:spPr>
          </c:marker>
          <c:cat>
            <c:strRef>
              <c:f>'_Data'!$H$2:$H$13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'_Data'!$K$2:$K$13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marker val="1"/>
        <c:axId val="50070001"/>
        <c:axId val="50070002"/>
      </c:lineChart>
      <c:catAx>
        <c:axId val="50070001"/>
        <c:scaling>
          <c:orientation val="minMax"/>
        </c:scaling>
        <c:axPos val="b"/>
        <c:tickLblPos val="nextTo"/>
        <c:txPr>
          <a:bodyPr/>
          <a:lstStyle/>
          <a:p>
            <a:pPr>
              <a:defRPr sz="900" baseline="0">
                <a:solidFill>
                  <a:srgbClr val="7C8A82"/>
                </a:solidFill>
              </a:defRPr>
            </a:pPr>
            <a:endParaRPr lang="en-US"/>
          </a:p>
        </c:txPr>
        <c:crossAx val="50070002"/>
        <c:crosses val="autoZero"/>
        <c:auto val="1"/>
        <c:lblAlgn val="ctr"/>
        <c:lblOffset val="100"/>
      </c:catAx>
      <c:valAx>
        <c:axId val="50070002"/>
        <c:scaling>
          <c:orientation val="minMax"/>
        </c:scaling>
        <c:axPos val="l"/>
        <c:majorGridlines>
          <c:spPr>
            <a:ln w="9525">
              <a:solidFill>
                <a:srgbClr val="DCE4DA"/>
              </a:solidFill>
            </a:ln>
          </c:spPr>
        </c:majorGridlines>
        <c:numFmt formatCode="#,##0" sourceLinked="0"/>
        <c:tickLblPos val="nextTo"/>
        <c:txPr>
          <a:bodyPr/>
          <a:lstStyle/>
          <a:p>
            <a:pPr>
              <a:defRPr sz="900" baseline="0">
                <a:solidFill>
                  <a:srgbClr val="7C8A82"/>
                </a:solidFill>
              </a:defRPr>
            </a:pPr>
            <a:endParaRPr lang="en-US"/>
          </a:p>
        </c:txPr>
        <c:crossAx val="50070001"/>
        <c:crosses val="autoZero"/>
        <c:crossBetween val="between"/>
      </c:valAx>
    </c:plotArea>
    <c:legend>
      <c:legendPos val="b"/>
      <c:layout/>
    </c:legend>
  </c:chart>
  <c:spPr>
    <a:solidFill>
      <a:srgbClr val="FFFFFF"/>
    </a:solidFill>
    <a:ln>
      <a:solidFill>
        <a:srgbClr val="DCE4DA"/>
      </a:solid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22302A"/>
                </a:solidFill>
                <a:latin typeface="Calibri Light"/>
              </a:defRPr>
            </a:pPr>
            <a:r>
              <a:rPr lang="en-US" sz="1100" b="1" baseline="0">
                <a:solidFill>
                  <a:srgbClr val="22302A"/>
                </a:solidFill>
                <a:latin typeface="Calibri Light"/>
              </a:rPr>
              <a:t>Top clients by cash received</a:t>
            </a:r>
          </a:p>
        </c:rich>
      </c:tx>
      <c:layout/>
    </c:title>
    <c:plotArea>
      <c:layout/>
      <c:barChart>
        <c:barDir val="bar"/>
        <c:grouping val="clustered"/>
        <c:ser>
          <c:idx val="0"/>
          <c:order val="0"/>
          <c:tx>
            <c:v>Cash received</c:v>
          </c:tx>
          <c:spPr>
            <a:solidFill>
              <a:srgbClr val="6C5B94"/>
            </a:solidFill>
            <a:ln>
              <a:noFill/>
            </a:ln>
          </c:spPr>
          <c:cat>
            <c:strRef>
              <c:f>'_Data'!$Q$26:$Q$40</c:f>
              <c:strCache>
                <c:ptCount val="15"/>
                <c:pt idx="0">
                  <c:v/>
                </c:pt>
                <c:pt idx="1">
                  <c:v/>
                </c:pt>
                <c:pt idx="2">
                  <c:v/>
                </c:pt>
                <c:pt idx="3">
                  <c:v/>
                </c:pt>
                <c:pt idx="4">
                  <c:v/>
                </c:pt>
                <c:pt idx="5">
                  <c:v/>
                </c:pt>
                <c:pt idx="6">
                  <c:v/>
                </c:pt>
                <c:pt idx="7">
                  <c:v/>
                </c:pt>
                <c:pt idx="8">
                  <c:v/>
                </c:pt>
                <c:pt idx="9">
                  <c:v/>
                </c:pt>
                <c:pt idx="10">
                  <c:v/>
                </c:pt>
                <c:pt idx="11">
                  <c:v/>
                </c:pt>
                <c:pt idx="12">
                  <c:v/>
                </c:pt>
                <c:pt idx="13">
                  <c:v/>
                </c:pt>
                <c:pt idx="14">
                  <c:v/>
                </c:pt>
              </c:strCache>
            </c:strRef>
          </c:cat>
          <c:val>
            <c:numRef>
              <c:f>'_Data'!$R$26:$R$40</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ser>
        <c:axId val="50080001"/>
        <c:axId val="50080002"/>
      </c:barChart>
      <c:catAx>
        <c:axId val="50080001"/>
        <c:scaling>
          <c:orientation val="minMax"/>
        </c:scaling>
        <c:axPos val="r"/>
        <c:numFmt formatCode="#,##0" sourceLinked="0"/>
        <c:tickLblPos val="nextTo"/>
        <c:txPr>
          <a:bodyPr/>
          <a:lstStyle/>
          <a:p>
            <a:pPr>
              <a:defRPr sz="900" baseline="0">
                <a:solidFill>
                  <a:srgbClr val="7C8A82"/>
                </a:solidFill>
              </a:defRPr>
            </a:pPr>
            <a:endParaRPr lang="en-US"/>
          </a:p>
        </c:txPr>
        <c:crossAx val="50080002"/>
        <c:crosses val="autoZero"/>
        <c:auto val="1"/>
        <c:lblAlgn val="ctr"/>
        <c:lblOffset val="100"/>
      </c:catAx>
      <c:valAx>
        <c:axId val="50080002"/>
        <c:scaling>
          <c:orientation val="maxMin"/>
        </c:scaling>
        <c:axPos val="b"/>
        <c:majorGridlines/>
        <c:numFmt formatCode="General" sourceLinked="1"/>
        <c:tickLblPos val="nextTo"/>
        <c:txPr>
          <a:bodyPr/>
          <a:lstStyle/>
          <a:p>
            <a:pPr>
              <a:defRPr sz="900" baseline="0">
                <a:solidFill>
                  <a:srgbClr val="7C8A82"/>
                </a:solidFill>
              </a:defRPr>
            </a:pPr>
            <a:endParaRPr lang="en-US"/>
          </a:p>
        </c:txPr>
        <c:crossAx val="50080001"/>
        <c:crosses val="autoZero"/>
        <c:crossBetween val="between"/>
      </c:valAx>
    </c:plotArea>
  </c:chart>
  <c:spPr>
    <a:solidFill>
      <a:srgbClr val="FFFFFF"/>
    </a:solidFill>
    <a:ln>
      <a:solidFill>
        <a:srgbClr val="DCE4DA"/>
      </a:solid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22302A"/>
                </a:solidFill>
                <a:latin typeface="Calibri Light"/>
              </a:defRPr>
            </a:pPr>
            <a:r>
              <a:rPr lang="en-US" sz="1100" b="1" baseline="0">
                <a:solidFill>
                  <a:srgbClr val="22302A"/>
                </a:solidFill>
                <a:latin typeface="Calibri Light"/>
              </a:rPr>
              <a:t>Where the money goes (by category)</a:t>
            </a:r>
          </a:p>
        </c:rich>
      </c:tx>
      <c:layout/>
    </c:title>
    <c:plotArea>
      <c:layout/>
      <c:barChart>
        <c:barDir val="bar"/>
        <c:grouping val="clustered"/>
        <c:ser>
          <c:idx val="0"/>
          <c:order val="0"/>
          <c:tx>
            <c:v>Spend</c:v>
          </c:tx>
          <c:spPr>
            <a:solidFill>
              <a:srgbClr val="C99A18"/>
            </a:solidFill>
            <a:ln>
              <a:noFill/>
            </a:ln>
          </c:spPr>
          <c:cat>
            <c:strRef>
              <c:f>'_Data'!$N$2:$N$12</c:f>
              <c:strCache>
                <c:ptCount val="11"/>
                <c:pt idx="0">
                  <c:v>Ingredients</c:v>
                </c:pt>
                <c:pt idx="1">
                  <c:v>Packaging</c:v>
                </c:pt>
                <c:pt idx="2">
                  <c:v>Staff / Labor</c:v>
                </c:pt>
                <c:pt idx="3">
                  <c:v>Transportation</c:v>
                </c:pt>
                <c:pt idx="4">
                  <c:v>Equipment</c:v>
                </c:pt>
                <c:pt idx="5">
                  <c:v>Kitchen Rental</c:v>
                </c:pt>
                <c:pt idx="6">
                  <c:v>Marketing</c:v>
                </c:pt>
                <c:pt idx="7">
                  <c:v>Insurance</c:v>
                </c:pt>
                <c:pt idx="8">
                  <c:v>Utilities</c:v>
                </c:pt>
                <c:pt idx="9">
                  <c:v>Software</c:v>
                </c:pt>
                <c:pt idx="10">
                  <c:v>Miscellaneous</c:v>
                </c:pt>
              </c:strCache>
            </c:strRef>
          </c:cat>
          <c:val>
            <c:numRef>
              <c:f>'_Data'!$O$2:$O$12</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ser>
        <c:axId val="50090001"/>
        <c:axId val="50090002"/>
      </c:barChart>
      <c:catAx>
        <c:axId val="50090001"/>
        <c:scaling>
          <c:orientation val="minMax"/>
        </c:scaling>
        <c:axPos val="r"/>
        <c:numFmt formatCode="#,##0" sourceLinked="0"/>
        <c:tickLblPos val="nextTo"/>
        <c:txPr>
          <a:bodyPr/>
          <a:lstStyle/>
          <a:p>
            <a:pPr>
              <a:defRPr sz="900" baseline="0">
                <a:solidFill>
                  <a:srgbClr val="7C8A82"/>
                </a:solidFill>
              </a:defRPr>
            </a:pPr>
            <a:endParaRPr lang="en-US"/>
          </a:p>
        </c:txPr>
        <c:crossAx val="50090002"/>
        <c:crosses val="autoZero"/>
        <c:auto val="1"/>
        <c:lblAlgn val="ctr"/>
        <c:lblOffset val="100"/>
      </c:catAx>
      <c:valAx>
        <c:axId val="50090002"/>
        <c:scaling>
          <c:orientation val="maxMin"/>
        </c:scaling>
        <c:axPos val="b"/>
        <c:majorGridlines/>
        <c:numFmt formatCode="General" sourceLinked="1"/>
        <c:tickLblPos val="nextTo"/>
        <c:txPr>
          <a:bodyPr/>
          <a:lstStyle/>
          <a:p>
            <a:pPr>
              <a:defRPr sz="900" baseline="0">
                <a:solidFill>
                  <a:srgbClr val="7C8A82"/>
                </a:solidFill>
              </a:defRPr>
            </a:pPr>
            <a:endParaRPr lang="en-US"/>
          </a:p>
        </c:txPr>
        <c:crossAx val="50090001"/>
        <c:crosses val="autoZero"/>
        <c:crossBetween val="between"/>
      </c:valAx>
    </c:plotArea>
  </c:chart>
  <c:spPr>
    <a:solidFill>
      <a:srgbClr val="FFFFFF"/>
    </a:solidFill>
    <a:ln>
      <a:solidFill>
        <a:srgbClr val="DCE4DA"/>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 Id="rId3"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38100</xdr:colOff>
      <xdr:row>23</xdr:row>
      <xdr:rowOff>38100</xdr:rowOff>
    </xdr:from>
    <xdr:to>
      <xdr:col>7</xdr:col>
      <xdr:colOff>552450</xdr:colOff>
      <xdr:row>35</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38100</xdr:colOff>
      <xdr:row>23</xdr:row>
      <xdr:rowOff>38100</xdr:rowOff>
    </xdr:from>
    <xdr:to>
      <xdr:col>14</xdr:col>
      <xdr:colOff>514350</xdr:colOff>
      <xdr:row>35</xdr:row>
      <xdr:rowOff>152400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38100</xdr:colOff>
      <xdr:row>44</xdr:row>
      <xdr:rowOff>38100</xdr:rowOff>
    </xdr:from>
    <xdr:to>
      <xdr:col>6</xdr:col>
      <xdr:colOff>514350</xdr:colOff>
      <xdr:row>56</xdr:row>
      <xdr:rowOff>152400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38100</xdr:colOff>
      <xdr:row>44</xdr:row>
      <xdr:rowOff>38100</xdr:rowOff>
    </xdr:from>
    <xdr:to>
      <xdr:col>14</xdr:col>
      <xdr:colOff>514350</xdr:colOff>
      <xdr:row>56</xdr:row>
      <xdr:rowOff>152400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38100</xdr:colOff>
      <xdr:row>40</xdr:row>
      <xdr:rowOff>38100</xdr:rowOff>
    </xdr:from>
    <xdr:to>
      <xdr:col>8</xdr:col>
      <xdr:colOff>400050</xdr:colOff>
      <xdr:row>56</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38100</xdr:colOff>
      <xdr:row>70</xdr:row>
      <xdr:rowOff>38100</xdr:rowOff>
    </xdr:from>
    <xdr:to>
      <xdr:col>10</xdr:col>
      <xdr:colOff>571500</xdr:colOff>
      <xdr:row>85</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38100</xdr:colOff>
      <xdr:row>35</xdr:row>
      <xdr:rowOff>38100</xdr:rowOff>
    </xdr:from>
    <xdr:to>
      <xdr:col>7</xdr:col>
      <xdr:colOff>752475</xdr:colOff>
      <xdr:row>48</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38100</xdr:colOff>
      <xdr:row>35</xdr:row>
      <xdr:rowOff>38100</xdr:rowOff>
    </xdr:from>
    <xdr:to>
      <xdr:col>14</xdr:col>
      <xdr:colOff>171450</xdr:colOff>
      <xdr:row>48</xdr:row>
      <xdr:rowOff>19050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38100</xdr:colOff>
      <xdr:row>57</xdr:row>
      <xdr:rowOff>38100</xdr:rowOff>
    </xdr:from>
    <xdr:to>
      <xdr:col>7</xdr:col>
      <xdr:colOff>752475</xdr:colOff>
      <xdr:row>70</xdr:row>
      <xdr:rowOff>209550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180975</xdr:colOff>
      <xdr:row>11</xdr:row>
      <xdr:rowOff>217170</xdr:rowOff>
    </xdr:to>
    <xdr:pic>
      <xdr:nvPicPr>
        <xdr:cNvPr id="2" name="Picture 1" descr="banner_fresh.png"/>
        <xdr:cNvPicPr>
          <a:picLocks noChangeAspect="1"/>
        </xdr:cNvPicPr>
      </xdr:nvPicPr>
      <xdr:blipFill>
        <a:blip xmlns:r="http://schemas.openxmlformats.org/officeDocument/2006/relationships" r:embed="rId1"/>
        <a:stretch>
          <a:fillRect/>
        </a:stretch>
      </xdr:blipFill>
      <xdr:spPr>
        <a:xfrm>
          <a:off x="0" y="0"/>
          <a:ext cx="9448800" cy="37795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sheetPr>
    <tabColor rgb="FF7C8A82"/>
  </sheetPr>
  <dimension ref="A1:AF101"/>
  <sheetViews>
    <sheetView showGridLines="0" zoomScale="90" zoomScaleNormal="90" workbookViewId="0"/>
  </sheetViews>
  <sheetFormatPr defaultRowHeight="15"/>
  <cols>
    <col min="1" max="1" width="60.7109375" customWidth="1"/>
    <col min="8" max="12" width="12.7109375" customWidth="1"/>
    <col min="14" max="21" width="22.7109375" customWidth="1"/>
    <col min="27" max="29" width="24.7109375" customWidth="1"/>
    <col min="31" max="32" width="46.7109375" customWidth="1"/>
  </cols>
  <sheetData>
    <row r="1" spans="1:32">
      <c r="A1" s="1" t="s">
        <v>0</v>
      </c>
      <c r="H1" s="2" t="s">
        <v>13</v>
      </c>
      <c r="I1" s="2" t="s">
        <v>14</v>
      </c>
      <c r="J1" s="2" t="s">
        <v>15</v>
      </c>
      <c r="K1" s="2" t="s">
        <v>16</v>
      </c>
      <c r="L1" s="2" t="s">
        <v>17</v>
      </c>
      <c r="N1" s="2" t="s">
        <v>18</v>
      </c>
      <c r="O1" s="2" t="s">
        <v>19</v>
      </c>
      <c r="AA1" s="2" t="s">
        <v>53</v>
      </c>
      <c r="AB1" s="2" t="s">
        <v>54</v>
      </c>
      <c r="AC1" s="2" t="s">
        <v>42</v>
      </c>
      <c r="AE1" s="2" t="s">
        <v>58</v>
      </c>
      <c r="AF1" s="2" t="s">
        <v>59</v>
      </c>
    </row>
    <row r="2" spans="1:32">
      <c r="H2" s="1" t="s">
        <v>1</v>
      </c>
      <c r="I2" s="1">
        <f>SUMPRODUCT(--(('💰 Payments'!$E$8:$E$67&lt;&gt;"")*(MONTH('💰 Payments'!$E$8:$E$67)=1)),'💰 Payments'!$J$8:$J$67)</f>
        <v>0</v>
      </c>
      <c r="J2" s="1">
        <f>SUMPRODUCT(--(('💸 Expenses'!$C$8:$C$67&lt;&gt;"")*(MONTH('💸 Expenses'!$C$8:$C$67)=1)),'💸 Expenses'!$G$8:$G$67)</f>
        <v>0</v>
      </c>
      <c r="K2" s="1">
        <f>I2-J2</f>
        <v>0</v>
      </c>
      <c r="L2" s="1">
        <f>SUMPRODUCT(('📅 Events'!$E$8:$E$47&lt;&gt;"")*(MONTH('📅 Events'!$E$8:$E$47)=1)*1)</f>
        <v>0</v>
      </c>
      <c r="N2" s="1" t="s">
        <v>20</v>
      </c>
      <c r="O2" s="1">
        <f>SUMIF('💸 Expenses'!$E$8:$E$67,$N2,'💸 Expenses'!$G$8:$G$67)</f>
        <v>0</v>
      </c>
      <c r="AA2" s="1">
        <f>IFERROR(AGGREGATE(15,6,'📅 Events'!$E$8:$E$47/('📅 Events'!$E$8:$E$47&gt;=TODAY())*('📅 Events'!$Q$8:$Q$47&lt;&gt;"❌ Cancelled")*('📅 Events'!$Q$8:$Q$47&lt;&gt;"🎉 Completed"),1),"")</f>
        <v/>
      </c>
      <c r="AB2" s="1">
        <f>IF($AA2="","",INDEX('📅 Events'!$D$8:$D$47,MATCH($AA2,'📅 Events'!$E$8:$E$47,0))&amp;" - "&amp;INDEX('📅 Events'!$F$8:$F$47,MATCH($AA2,'📅 Events'!$E$8:$E$47,0)))</f>
        <v/>
      </c>
      <c r="AC2" s="1">
        <f>IF($AA2="","",INDEX('📅 Events'!$Q$8:$Q$47,MATCH($AA2,'📅 Events'!$E$8:$E$47,0)))</f>
        <v/>
      </c>
      <c r="AE2" s="1" t="s">
        <v>60</v>
      </c>
      <c r="AF2" s="1">
        <f>SUM('💰 Payments'!$J$8:$J$67)</f>
        <v>0</v>
      </c>
    </row>
    <row r="3" spans="1:32">
      <c r="H3" s="1" t="s">
        <v>2</v>
      </c>
      <c r="I3" s="1">
        <f>SUMPRODUCT(--(('💰 Payments'!$E$8:$E$67&lt;&gt;"")*(MONTH('💰 Payments'!$E$8:$E$67)=2)),'💰 Payments'!$J$8:$J$67)</f>
        <v>0</v>
      </c>
      <c r="J3" s="1">
        <f>SUMPRODUCT(--(('💸 Expenses'!$C$8:$C$67&lt;&gt;"")*(MONTH('💸 Expenses'!$C$8:$C$67)=2)),'💸 Expenses'!$G$8:$G$67)</f>
        <v>0</v>
      </c>
      <c r="K3" s="1">
        <f>I3-J3</f>
        <v>0</v>
      </c>
      <c r="L3" s="1">
        <f>SUMPRODUCT(('📅 Events'!$E$8:$E$47&lt;&gt;"")*(MONTH('📅 Events'!$E$8:$E$47)=2)*1)</f>
        <v>0</v>
      </c>
      <c r="N3" s="1" t="s">
        <v>21</v>
      </c>
      <c r="O3" s="1">
        <f>SUMIF('💸 Expenses'!$E$8:$E$67,$N3,'💸 Expenses'!$G$8:$G$67)</f>
        <v>0</v>
      </c>
      <c r="AA3" s="1">
        <f>IFERROR(AGGREGATE(15,6,'📅 Events'!$E$8:$E$47/('📅 Events'!$E$8:$E$47&gt;=TODAY())*('📅 Events'!$Q$8:$Q$47&lt;&gt;"❌ Cancelled")*('📅 Events'!$Q$8:$Q$47&lt;&gt;"🎉 Completed"),2),"")</f>
        <v/>
      </c>
      <c r="AB3" s="1">
        <f>IF($AA3="","",INDEX('📅 Events'!$D$8:$D$47,MATCH($AA3,'📅 Events'!$E$8:$E$47,0))&amp;" - "&amp;INDEX('📅 Events'!$F$8:$F$47,MATCH($AA3,'📅 Events'!$E$8:$E$47,0)))</f>
        <v/>
      </c>
      <c r="AC3" s="1">
        <f>IF($AA3="","",INDEX('📅 Events'!$Q$8:$Q$47,MATCH($AA3,'📅 Events'!$E$8:$E$47,0)))</f>
        <v/>
      </c>
      <c r="AE3" s="1" t="s">
        <v>61</v>
      </c>
      <c r="AF3" s="1">
        <f>SUM('💸 Expenses'!$G$8:$G$67)</f>
        <v>0</v>
      </c>
    </row>
    <row r="4" spans="1:32">
      <c r="H4" s="1" t="s">
        <v>3</v>
      </c>
      <c r="I4" s="1">
        <f>SUMPRODUCT(--(('💰 Payments'!$E$8:$E$67&lt;&gt;"")*(MONTH('💰 Payments'!$E$8:$E$67)=3)),'💰 Payments'!$J$8:$J$67)</f>
        <v>0</v>
      </c>
      <c r="J4" s="1">
        <f>SUMPRODUCT(--(('💸 Expenses'!$C$8:$C$67&lt;&gt;"")*(MONTH('💸 Expenses'!$C$8:$C$67)=3)),'💸 Expenses'!$G$8:$G$67)</f>
        <v>0</v>
      </c>
      <c r="K4" s="1">
        <f>I4-J4</f>
        <v>0</v>
      </c>
      <c r="L4" s="1">
        <f>SUMPRODUCT(('📅 Events'!$E$8:$E$47&lt;&gt;"")*(MONTH('📅 Events'!$E$8:$E$47)=3)*1)</f>
        <v>0</v>
      </c>
      <c r="N4" s="1" t="s">
        <v>22</v>
      </c>
      <c r="O4" s="1">
        <f>SUMIF('💸 Expenses'!$E$8:$E$67,$N4,'💸 Expenses'!$G$8:$G$67)</f>
        <v>0</v>
      </c>
      <c r="AA4" s="1">
        <f>IFERROR(AGGREGATE(15,6,'📅 Events'!$E$8:$E$47/('📅 Events'!$E$8:$E$47&gt;=TODAY())*('📅 Events'!$Q$8:$Q$47&lt;&gt;"❌ Cancelled")*('📅 Events'!$Q$8:$Q$47&lt;&gt;"🎉 Completed"),3),"")</f>
        <v/>
      </c>
      <c r="AB4" s="1">
        <f>IF($AA4="","",INDEX('📅 Events'!$D$8:$D$47,MATCH($AA4,'📅 Events'!$E$8:$E$47,0))&amp;" - "&amp;INDEX('📅 Events'!$F$8:$F$47,MATCH($AA4,'📅 Events'!$E$8:$E$47,0)))</f>
        <v/>
      </c>
      <c r="AC4" s="1">
        <f>IF($AA4="","",INDEX('📅 Events'!$Q$8:$Q$47,MATCH($AA4,'📅 Events'!$E$8:$E$47,0)))</f>
        <v/>
      </c>
      <c r="AE4" s="1" t="s">
        <v>62</v>
      </c>
      <c r="AF4" s="1">
        <f>$AF$2-$AF$3</f>
        <v>0</v>
      </c>
    </row>
    <row r="5" spans="1:32">
      <c r="H5" s="1" t="s">
        <v>4</v>
      </c>
      <c r="I5" s="1">
        <f>SUMPRODUCT(--(('💰 Payments'!$E$8:$E$67&lt;&gt;"")*(MONTH('💰 Payments'!$E$8:$E$67)=4)),'💰 Payments'!$J$8:$J$67)</f>
        <v>0</v>
      </c>
      <c r="J5" s="1">
        <f>SUMPRODUCT(--(('💸 Expenses'!$C$8:$C$67&lt;&gt;"")*(MONTH('💸 Expenses'!$C$8:$C$67)=4)),'💸 Expenses'!$G$8:$G$67)</f>
        <v>0</v>
      </c>
      <c r="K5" s="1">
        <f>I5-J5</f>
        <v>0</v>
      </c>
      <c r="L5" s="1">
        <f>SUMPRODUCT(('📅 Events'!$E$8:$E$47&lt;&gt;"")*(MONTH('📅 Events'!$E$8:$E$47)=4)*1)</f>
        <v>0</v>
      </c>
      <c r="N5" s="1" t="s">
        <v>23</v>
      </c>
      <c r="O5" s="1">
        <f>SUMIF('💸 Expenses'!$E$8:$E$67,$N5,'💸 Expenses'!$G$8:$G$67)</f>
        <v>0</v>
      </c>
      <c r="AA5" s="1">
        <f>IFERROR(AGGREGATE(15,6,'📅 Events'!$E$8:$E$47/('📅 Events'!$E$8:$E$47&gt;=TODAY())*('📅 Events'!$Q$8:$Q$47&lt;&gt;"❌ Cancelled")*('📅 Events'!$Q$8:$Q$47&lt;&gt;"🎉 Completed"),4),"")</f>
        <v/>
      </c>
      <c r="AB5" s="1">
        <f>IF($AA5="","",INDEX('📅 Events'!$D$8:$D$47,MATCH($AA5,'📅 Events'!$E$8:$E$47,0))&amp;" - "&amp;INDEX('📅 Events'!$F$8:$F$47,MATCH($AA5,'📅 Events'!$E$8:$E$47,0)))</f>
        <v/>
      </c>
      <c r="AC5" s="1">
        <f>IF($AA5="","",INDEX('📅 Events'!$Q$8:$Q$47,MATCH($AA5,'📅 Events'!$E$8:$E$47,0)))</f>
        <v/>
      </c>
      <c r="AE5" s="1" t="s">
        <v>63</v>
      </c>
      <c r="AF5" s="1">
        <f>IFERROR($AF$4/$AF$2,0)</f>
        <v>0</v>
      </c>
    </row>
    <row r="6" spans="1:32">
      <c r="H6" s="1" t="s">
        <v>5</v>
      </c>
      <c r="I6" s="1">
        <f>SUMPRODUCT(--(('💰 Payments'!$E$8:$E$67&lt;&gt;"")*(MONTH('💰 Payments'!$E$8:$E$67)=5)),'💰 Payments'!$J$8:$J$67)</f>
        <v>0</v>
      </c>
      <c r="J6" s="1">
        <f>SUMPRODUCT(--(('💸 Expenses'!$C$8:$C$67&lt;&gt;"")*(MONTH('💸 Expenses'!$C$8:$C$67)=5)),'💸 Expenses'!$G$8:$G$67)</f>
        <v>0</v>
      </c>
      <c r="K6" s="1">
        <f>I6-J6</f>
        <v>0</v>
      </c>
      <c r="L6" s="1">
        <f>SUMPRODUCT(('📅 Events'!$E$8:$E$47&lt;&gt;"")*(MONTH('📅 Events'!$E$8:$E$47)=5)*1)</f>
        <v>0</v>
      </c>
      <c r="N6" s="1" t="s">
        <v>24</v>
      </c>
      <c r="O6" s="1">
        <f>SUMIF('💸 Expenses'!$E$8:$E$67,$N6,'💸 Expenses'!$G$8:$G$67)</f>
        <v>0</v>
      </c>
      <c r="AA6" s="1">
        <f>IFERROR(AGGREGATE(15,6,'📅 Events'!$E$8:$E$47/('📅 Events'!$E$8:$E$47&gt;=TODAY())*('📅 Events'!$Q$8:$Q$47&lt;&gt;"❌ Cancelled")*('📅 Events'!$Q$8:$Q$47&lt;&gt;"🎉 Completed"),5),"")</f>
        <v/>
      </c>
      <c r="AB6" s="1">
        <f>IF($AA6="","",INDEX('📅 Events'!$D$8:$D$47,MATCH($AA6,'📅 Events'!$E$8:$E$47,0))&amp;" - "&amp;INDEX('📅 Events'!$F$8:$F$47,MATCH($AA6,'📅 Events'!$E$8:$E$47,0)))</f>
        <v/>
      </c>
      <c r="AC6" s="1">
        <f>IF($AA6="","",INDEX('📅 Events'!$Q$8:$Q$47,MATCH($AA6,'📅 Events'!$E$8:$E$47,0)))</f>
        <v/>
      </c>
      <c r="AE6" s="1" t="s">
        <v>64</v>
      </c>
      <c r="AF6" s="1">
        <f>COUNTA('📅 Events'!$C$8:$C$47)</f>
        <v>0</v>
      </c>
    </row>
    <row r="7" spans="1:32">
      <c r="H7" s="1" t="s">
        <v>6</v>
      </c>
      <c r="I7" s="1">
        <f>SUMPRODUCT(--(('💰 Payments'!$E$8:$E$67&lt;&gt;"")*(MONTH('💰 Payments'!$E$8:$E$67)=6)),'💰 Payments'!$J$8:$J$67)</f>
        <v>0</v>
      </c>
      <c r="J7" s="1">
        <f>SUMPRODUCT(--(('💸 Expenses'!$C$8:$C$67&lt;&gt;"")*(MONTH('💸 Expenses'!$C$8:$C$67)=6)),'💸 Expenses'!$G$8:$G$67)</f>
        <v>0</v>
      </c>
      <c r="K7" s="1">
        <f>I7-J7</f>
        <v>0</v>
      </c>
      <c r="L7" s="1">
        <f>SUMPRODUCT(('📅 Events'!$E$8:$E$47&lt;&gt;"")*(MONTH('📅 Events'!$E$8:$E$47)=6)*1)</f>
        <v>0</v>
      </c>
      <c r="N7" s="1" t="s">
        <v>25</v>
      </c>
      <c r="O7" s="1">
        <f>SUMIF('💸 Expenses'!$E$8:$E$67,$N7,'💸 Expenses'!$G$8:$G$67)</f>
        <v>0</v>
      </c>
      <c r="AA7" s="1">
        <f>IFERROR(AGGREGATE(15,6,'📅 Events'!$E$8:$E$47/('📅 Events'!$E$8:$E$47&gt;=TODAY())*('📅 Events'!$Q$8:$Q$47&lt;&gt;"❌ Cancelled")*('📅 Events'!$Q$8:$Q$47&lt;&gt;"🎉 Completed"),6),"")</f>
        <v/>
      </c>
      <c r="AB7" s="1">
        <f>IF($AA7="","",INDEX('📅 Events'!$D$8:$D$47,MATCH($AA7,'📅 Events'!$E$8:$E$47,0))&amp;" - "&amp;INDEX('📅 Events'!$F$8:$F$47,MATCH($AA7,'📅 Events'!$E$8:$E$47,0)))</f>
        <v/>
      </c>
      <c r="AC7" s="1">
        <f>IF($AA7="","",INDEX('📅 Events'!$Q$8:$Q$47,MATCH($AA7,'📅 Events'!$E$8:$E$47,0)))</f>
        <v/>
      </c>
      <c r="AE7" s="1" t="s">
        <v>65</v>
      </c>
      <c r="AF7" s="1">
        <f>COUNTIF('📅 Events'!$Q$8:$Q$47,"🎉 Completed")</f>
        <v>0</v>
      </c>
    </row>
    <row r="8" spans="1:32">
      <c r="H8" s="1" t="s">
        <v>7</v>
      </c>
      <c r="I8" s="1">
        <f>SUMPRODUCT(--(('💰 Payments'!$E$8:$E$67&lt;&gt;"")*(MONTH('💰 Payments'!$E$8:$E$67)=7)),'💰 Payments'!$J$8:$J$67)</f>
        <v>0</v>
      </c>
      <c r="J8" s="1">
        <f>SUMPRODUCT(--(('💸 Expenses'!$C$8:$C$67&lt;&gt;"")*(MONTH('💸 Expenses'!$C$8:$C$67)=7)),'💸 Expenses'!$G$8:$G$67)</f>
        <v>0</v>
      </c>
      <c r="K8" s="1">
        <f>I8-J8</f>
        <v>0</v>
      </c>
      <c r="L8" s="1">
        <f>SUMPRODUCT(('📅 Events'!$E$8:$E$47&lt;&gt;"")*(MONTH('📅 Events'!$E$8:$E$47)=7)*1)</f>
        <v>0</v>
      </c>
      <c r="N8" s="1" t="s">
        <v>26</v>
      </c>
      <c r="O8" s="1">
        <f>SUMIF('💸 Expenses'!$E$8:$E$67,$N8,'💸 Expenses'!$G$8:$G$67)</f>
        <v>0</v>
      </c>
      <c r="AA8" s="1">
        <f>IFERROR(AGGREGATE(15,6,'📅 Events'!$E$8:$E$47/('📅 Events'!$E$8:$E$47&gt;=TODAY())*('📅 Events'!$Q$8:$Q$47&lt;&gt;"❌ Cancelled")*('📅 Events'!$Q$8:$Q$47&lt;&gt;"🎉 Completed"),7),"")</f>
        <v/>
      </c>
      <c r="AB8" s="1">
        <f>IF($AA8="","",INDEX('📅 Events'!$D$8:$D$47,MATCH($AA8,'📅 Events'!$E$8:$E$47,0))&amp;" - "&amp;INDEX('📅 Events'!$F$8:$F$47,MATCH($AA8,'📅 Events'!$E$8:$E$47,0)))</f>
        <v/>
      </c>
      <c r="AC8" s="1">
        <f>IF($AA8="","",INDEX('📅 Events'!$Q$8:$Q$47,MATCH($AA8,'📅 Events'!$E$8:$E$47,0)))</f>
        <v/>
      </c>
      <c r="AE8" s="1" t="s">
        <v>66</v>
      </c>
      <c r="AF8" s="1">
        <f>COUNTIF('📅 Events'!$Q$8:$Q$47,"💰 Deposit Paid")+COUNTIF('📅 Events'!$Q$8:$Q$47,"✅ Confirmed")</f>
        <v>0</v>
      </c>
    </row>
    <row r="9" spans="1:32">
      <c r="H9" s="1" t="s">
        <v>8</v>
      </c>
      <c r="I9" s="1">
        <f>SUMPRODUCT(--(('💰 Payments'!$E$8:$E$67&lt;&gt;"")*(MONTH('💰 Payments'!$E$8:$E$67)=8)),'💰 Payments'!$J$8:$J$67)</f>
        <v>0</v>
      </c>
      <c r="J9" s="1">
        <f>SUMPRODUCT(--(('💸 Expenses'!$C$8:$C$67&lt;&gt;"")*(MONTH('💸 Expenses'!$C$8:$C$67)=8)),'💸 Expenses'!$G$8:$G$67)</f>
        <v>0</v>
      </c>
      <c r="K9" s="1">
        <f>I9-J9</f>
        <v>0</v>
      </c>
      <c r="L9" s="1">
        <f>SUMPRODUCT(('📅 Events'!$E$8:$E$47&lt;&gt;"")*(MONTH('📅 Events'!$E$8:$E$47)=8)*1)</f>
        <v>0</v>
      </c>
      <c r="N9" s="1" t="s">
        <v>27</v>
      </c>
      <c r="O9" s="1">
        <f>SUMIF('💸 Expenses'!$E$8:$E$67,$N9,'💸 Expenses'!$G$8:$G$67)</f>
        <v>0</v>
      </c>
      <c r="AA9" s="1">
        <f>IFERROR(AGGREGATE(15,6,'📅 Events'!$E$8:$E$47/('📅 Events'!$E$8:$E$47&gt;=TODAY())*('📅 Events'!$Q$8:$Q$47&lt;&gt;"❌ Cancelled")*('📅 Events'!$Q$8:$Q$47&lt;&gt;"🎉 Completed"),8),"")</f>
        <v/>
      </c>
      <c r="AB9" s="1">
        <f>IF($AA9="","",INDEX('📅 Events'!$D$8:$D$47,MATCH($AA9,'📅 Events'!$E$8:$E$47,0))&amp;" - "&amp;INDEX('📅 Events'!$F$8:$F$47,MATCH($AA9,'📅 Events'!$E$8:$E$47,0)))</f>
        <v/>
      </c>
      <c r="AC9" s="1">
        <f>IF($AA9="","",INDEX('📅 Events'!$Q$8:$Q$47,MATCH($AA9,'📅 Events'!$E$8:$E$47,0)))</f>
        <v/>
      </c>
      <c r="AE9" s="1" t="s">
        <v>67</v>
      </c>
      <c r="AF9" s="1">
        <f>COUNTIF('📅 Events'!$Q$8:$Q$47,"❌ Cancelled")</f>
        <v>0</v>
      </c>
    </row>
    <row r="10" spans="1:32">
      <c r="H10" s="1" t="s">
        <v>9</v>
      </c>
      <c r="I10" s="1">
        <f>SUMPRODUCT(--(('💰 Payments'!$E$8:$E$67&lt;&gt;"")*(MONTH('💰 Payments'!$E$8:$E$67)=9)),'💰 Payments'!$J$8:$J$67)</f>
        <v>0</v>
      </c>
      <c r="J10" s="1">
        <f>SUMPRODUCT(--(('💸 Expenses'!$C$8:$C$67&lt;&gt;"")*(MONTH('💸 Expenses'!$C$8:$C$67)=9)),'💸 Expenses'!$G$8:$G$67)</f>
        <v>0</v>
      </c>
      <c r="K10" s="1">
        <f>I10-J10</f>
        <v>0</v>
      </c>
      <c r="L10" s="1">
        <f>SUMPRODUCT(('📅 Events'!$E$8:$E$47&lt;&gt;"")*(MONTH('📅 Events'!$E$8:$E$47)=9)*1)</f>
        <v>0</v>
      </c>
      <c r="N10" s="1" t="s">
        <v>28</v>
      </c>
      <c r="O10" s="1">
        <f>SUMIF('💸 Expenses'!$E$8:$E$67,$N10,'💸 Expenses'!$G$8:$G$67)</f>
        <v>0</v>
      </c>
      <c r="AA10" s="1">
        <f>IFERROR(AGGREGATE(15,6,'📅 Events'!$E$8:$E$47/('📅 Events'!$E$8:$E$47&gt;=TODAY())*('📅 Events'!$Q$8:$Q$47&lt;&gt;"❌ Cancelled")*('📅 Events'!$Q$8:$Q$47&lt;&gt;"🎉 Completed"),9),"")</f>
        <v/>
      </c>
      <c r="AB10" s="1">
        <f>IF($AA10="","",INDEX('📅 Events'!$D$8:$D$47,MATCH($AA10,'📅 Events'!$E$8:$E$47,0))&amp;" - "&amp;INDEX('📅 Events'!$F$8:$F$47,MATCH($AA10,'📅 Events'!$E$8:$E$47,0)))</f>
        <v/>
      </c>
      <c r="AC10" s="1">
        <f>IF($AA10="","",INDEX('📅 Events'!$Q$8:$Q$47,MATCH($AA10,'📅 Events'!$E$8:$E$47,0)))</f>
        <v/>
      </c>
      <c r="AE10" s="1" t="s">
        <v>68</v>
      </c>
      <c r="AF10" s="1">
        <f>IFERROR(AVERAGEIF('📅 Events'!$Q$8:$Q$47,"&lt;&gt;❌ Cancelled",'📅 Events'!$L$8:$L$47),0)</f>
        <v>0</v>
      </c>
    </row>
    <row r="11" spans="1:32">
      <c r="H11" s="1" t="s">
        <v>10</v>
      </c>
      <c r="I11" s="1">
        <f>SUMPRODUCT(--(('💰 Payments'!$E$8:$E$67&lt;&gt;"")*(MONTH('💰 Payments'!$E$8:$E$67)=10)),'💰 Payments'!$J$8:$J$67)</f>
        <v>0</v>
      </c>
      <c r="J11" s="1">
        <f>SUMPRODUCT(--(('💸 Expenses'!$C$8:$C$67&lt;&gt;"")*(MONTH('💸 Expenses'!$C$8:$C$67)=10)),'💸 Expenses'!$G$8:$G$67)</f>
        <v>0</v>
      </c>
      <c r="K11" s="1">
        <f>I11-J11</f>
        <v>0</v>
      </c>
      <c r="L11" s="1">
        <f>SUMPRODUCT(('📅 Events'!$E$8:$E$47&lt;&gt;"")*(MONTH('📅 Events'!$E$8:$E$47)=10)*1)</f>
        <v>0</v>
      </c>
      <c r="N11" s="1" t="s">
        <v>29</v>
      </c>
      <c r="O11" s="1">
        <f>SUMIF('💸 Expenses'!$E$8:$E$67,$N11,'💸 Expenses'!$G$8:$G$67)</f>
        <v>0</v>
      </c>
      <c r="AA11" s="1">
        <f>IFERROR(AGGREGATE(15,6,'📅 Events'!$E$8:$E$47/('📅 Events'!$E$8:$E$47&gt;=TODAY())*('📅 Events'!$Q$8:$Q$47&lt;&gt;"❌ Cancelled")*('📅 Events'!$Q$8:$Q$47&lt;&gt;"🎉 Completed"),10),"")</f>
        <v/>
      </c>
      <c r="AB11" s="1">
        <f>IF($AA11="","",INDEX('📅 Events'!$D$8:$D$47,MATCH($AA11,'📅 Events'!$E$8:$E$47,0))&amp;" - "&amp;INDEX('📅 Events'!$F$8:$F$47,MATCH($AA11,'📅 Events'!$E$8:$E$47,0)))</f>
        <v/>
      </c>
      <c r="AC11" s="1">
        <f>IF($AA11="","",INDEX('📅 Events'!$Q$8:$Q$47,MATCH($AA11,'📅 Events'!$E$8:$E$47,0)))</f>
        <v/>
      </c>
      <c r="AE11" s="1" t="s">
        <v>69</v>
      </c>
      <c r="AF11" s="1">
        <f>IFERROR(AVERAGEIF('📅 Events'!$Q$8:$Q$47,"&lt;&gt;❌ Cancelled",'📅 Events'!$G$8:$G$47),0)</f>
        <v>0</v>
      </c>
    </row>
    <row r="12" spans="1:32">
      <c r="H12" s="1" t="s">
        <v>11</v>
      </c>
      <c r="I12" s="1">
        <f>SUMPRODUCT(--(('💰 Payments'!$E$8:$E$67&lt;&gt;"")*(MONTH('💰 Payments'!$E$8:$E$67)=11)),'💰 Payments'!$J$8:$J$67)</f>
        <v>0</v>
      </c>
      <c r="J12" s="1">
        <f>SUMPRODUCT(--(('💸 Expenses'!$C$8:$C$67&lt;&gt;"")*(MONTH('💸 Expenses'!$C$8:$C$67)=11)),'💸 Expenses'!$G$8:$G$67)</f>
        <v>0</v>
      </c>
      <c r="K12" s="1">
        <f>I12-J12</f>
        <v>0</v>
      </c>
      <c r="L12" s="1">
        <f>SUMPRODUCT(('📅 Events'!$E$8:$E$47&lt;&gt;"")*(MONTH('📅 Events'!$E$8:$E$47)=11)*1)</f>
        <v>0</v>
      </c>
      <c r="N12" s="1" t="s">
        <v>30</v>
      </c>
      <c r="O12" s="1">
        <f>SUMIF('💸 Expenses'!$E$8:$E$67,$N12,'💸 Expenses'!$G$8:$G$67)</f>
        <v>0</v>
      </c>
      <c r="AA12" s="1">
        <f>IFERROR(AGGREGATE(15,6,'📅 Events'!$E$8:$E$47/('📅 Events'!$E$8:$E$47&gt;=TODAY())*('📅 Events'!$Q$8:$Q$47&lt;&gt;"❌ Cancelled")*('📅 Events'!$Q$8:$Q$47&lt;&gt;"🎉 Completed"),11),"")</f>
        <v/>
      </c>
      <c r="AB12" s="1">
        <f>IF($AA12="","",INDEX('📅 Events'!$D$8:$D$47,MATCH($AA12,'📅 Events'!$E$8:$E$47,0))&amp;" - "&amp;INDEX('📅 Events'!$F$8:$F$47,MATCH($AA12,'📅 Events'!$E$8:$E$47,0)))</f>
        <v/>
      </c>
      <c r="AC12" s="1">
        <f>IF($AA12="","",INDEX('📅 Events'!$Q$8:$Q$47,MATCH($AA12,'📅 Events'!$E$8:$E$47,0)))</f>
        <v/>
      </c>
      <c r="AE12" s="1" t="s">
        <v>70</v>
      </c>
      <c r="AF12" s="1">
        <f>IFERROR(AVERAGEIF('📅 Events'!$Q$8:$Q$47,"&lt;&gt;❌ Cancelled",'📅 Events'!$M$8:$M$47),0)</f>
        <v>0</v>
      </c>
    </row>
    <row r="13" spans="1:32">
      <c r="H13" s="1" t="s">
        <v>12</v>
      </c>
      <c r="I13" s="1">
        <f>SUMPRODUCT(--(('💰 Payments'!$E$8:$E$67&lt;&gt;"")*(MONTH('💰 Payments'!$E$8:$E$67)=12)),'💰 Payments'!$J$8:$J$67)</f>
        <v>0</v>
      </c>
      <c r="J13" s="1">
        <f>SUMPRODUCT(--(('💸 Expenses'!$C$8:$C$67&lt;&gt;"")*(MONTH('💸 Expenses'!$C$8:$C$67)=12)),'💸 Expenses'!$G$8:$G$67)</f>
        <v>0</v>
      </c>
      <c r="K13" s="1">
        <f>I13-J13</f>
        <v>0</v>
      </c>
      <c r="L13" s="1">
        <f>SUMPRODUCT(('📅 Events'!$E$8:$E$47&lt;&gt;"")*(MONTH('📅 Events'!$E$8:$E$47)=12)*1)</f>
        <v>0</v>
      </c>
      <c r="AA13" s="1">
        <f>IFERROR(AGGREGATE(15,6,'📅 Events'!$E$8:$E$47/('📅 Events'!$E$8:$E$47&gt;=TODAY())*('📅 Events'!$Q$8:$Q$47&lt;&gt;"❌ Cancelled")*('📅 Events'!$Q$8:$Q$47&lt;&gt;"🎉 Completed"),12),"")</f>
        <v/>
      </c>
      <c r="AB13" s="1">
        <f>IF($AA13="","",INDEX('📅 Events'!$D$8:$D$47,MATCH($AA13,'📅 Events'!$E$8:$E$47,0))&amp;" - "&amp;INDEX('📅 Events'!$F$8:$F$47,MATCH($AA13,'📅 Events'!$E$8:$E$47,0)))</f>
        <v/>
      </c>
      <c r="AC13" s="1">
        <f>IF($AA13="","",INDEX('📅 Events'!$Q$8:$Q$47,MATCH($AA13,'📅 Events'!$E$8:$E$47,0)))</f>
        <v/>
      </c>
      <c r="AE13" s="1" t="s">
        <v>71</v>
      </c>
      <c r="AF13" s="1">
        <f>SUMIF('📅 Events'!$Q$8:$Q$47,"🎉 Completed",'📅 Events'!$G$8:$G$47)</f>
        <v>0</v>
      </c>
    </row>
    <row r="14" spans="1:32">
      <c r="AA14" s="1">
        <f>IFERROR(AGGREGATE(15,6,'📅 Events'!$E$8:$E$47/('📅 Events'!$E$8:$E$47&gt;=TODAY())*('📅 Events'!$Q$8:$Q$47&lt;&gt;"❌ Cancelled")*('📅 Events'!$Q$8:$Q$47&lt;&gt;"🎉 Completed"),13),"")</f>
        <v/>
      </c>
      <c r="AB14" s="1">
        <f>IF($AA14="","",INDEX('📅 Events'!$D$8:$D$47,MATCH($AA14,'📅 Events'!$E$8:$E$47,0))&amp;" - "&amp;INDEX('📅 Events'!$F$8:$F$47,MATCH($AA14,'📅 Events'!$E$8:$E$47,0)))</f>
        <v/>
      </c>
      <c r="AC14" s="1">
        <f>IF($AA14="","",INDEX('📅 Events'!$Q$8:$Q$47,MATCH($AA14,'📅 Events'!$E$8:$E$47,0)))</f>
        <v/>
      </c>
      <c r="AE14" s="1" t="s">
        <v>72</v>
      </c>
      <c r="AF14" s="1">
        <f>SUM('💰 Payments'!$K$8:$K$67)</f>
        <v>0</v>
      </c>
    </row>
    <row r="15" spans="1:32">
      <c r="N15" s="2" t="s">
        <v>31</v>
      </c>
      <c r="O15" s="2" t="s">
        <v>32</v>
      </c>
      <c r="AA15" s="1">
        <f>IFERROR(AGGREGATE(15,6,'📅 Events'!$E$8:$E$47/('📅 Events'!$E$8:$E$47&gt;=TODAY())*('📅 Events'!$Q$8:$Q$47&lt;&gt;"❌ Cancelled")*('📅 Events'!$Q$8:$Q$47&lt;&gt;"🎉 Completed"),14),"")</f>
        <v/>
      </c>
      <c r="AB15" s="1">
        <f>IF($AA15="","",INDEX('📅 Events'!$D$8:$D$47,MATCH($AA15,'📅 Events'!$E$8:$E$47,0))&amp;" - "&amp;INDEX('📅 Events'!$F$8:$F$47,MATCH($AA15,'📅 Events'!$E$8:$E$47,0)))</f>
        <v/>
      </c>
      <c r="AC15" s="1">
        <f>IF($AA15="","",INDEX('📅 Events'!$Q$8:$Q$47,MATCH($AA15,'📅 Events'!$E$8:$E$47,0)))</f>
        <v/>
      </c>
      <c r="AE15" s="1" t="s">
        <v>73</v>
      </c>
      <c r="AF15" s="1">
        <f>SUMPRODUCT(('💰 Payments'!$K$8:$K$67&gt;0)*('💰 Payments'!$L$8:$L$67&lt;&gt;"")*('💰 Payments'!$L$8:$L$67&lt;TODAY()))</f>
        <v>0</v>
      </c>
    </row>
    <row r="16" spans="1:32">
      <c r="N16" s="1" t="s">
        <v>33</v>
      </c>
      <c r="O16" s="1">
        <f>SUMIFS('📅 Events'!$L$8:$L$47,'📅 Events'!$F$8:$F$47,$N16,'📅 Events'!$Q$8:$Q$47,"&lt;&gt;❌ Cancelled")</f>
        <v>0</v>
      </c>
      <c r="AA16" s="1">
        <f>IFERROR(AGGREGATE(15,6,'📅 Events'!$E$8:$E$47/('📅 Events'!$E$8:$E$47&gt;=TODAY())*('📅 Events'!$Q$8:$Q$47&lt;&gt;"❌ Cancelled")*('📅 Events'!$Q$8:$Q$47&lt;&gt;"🎉 Completed"),15),"")</f>
        <v/>
      </c>
      <c r="AB16" s="1">
        <f>IF($AA16="","",INDEX('📅 Events'!$D$8:$D$47,MATCH($AA16,'📅 Events'!$E$8:$E$47,0))&amp;" - "&amp;INDEX('📅 Events'!$F$8:$F$47,MATCH($AA16,'📅 Events'!$E$8:$E$47,0)))</f>
        <v/>
      </c>
      <c r="AC16" s="1">
        <f>IF($AA16="","",INDEX('📅 Events'!$Q$8:$Q$47,MATCH($AA16,'📅 Events'!$E$8:$E$47,0)))</f>
        <v/>
      </c>
      <c r="AE16" s="1" t="s">
        <v>74</v>
      </c>
      <c r="AF16" s="1">
        <f>COUNTIF('💰 Payments'!$K$8:$K$67,"&gt;0")</f>
        <v>0</v>
      </c>
    </row>
    <row r="17" spans="14:32">
      <c r="N17" s="1" t="s">
        <v>34</v>
      </c>
      <c r="O17" s="1">
        <f>SUMIFS('📅 Events'!$L$8:$L$47,'📅 Events'!$F$8:$F$47,$N17,'📅 Events'!$Q$8:$Q$47,"&lt;&gt;❌ Cancelled")</f>
        <v>0</v>
      </c>
      <c r="AA17" s="1">
        <f>IFERROR(AGGREGATE(15,6,'📅 Events'!$E$8:$E$47/('📅 Events'!$E$8:$E$47&gt;=TODAY())*('📅 Events'!$Q$8:$Q$47&lt;&gt;"❌ Cancelled")*('📅 Events'!$Q$8:$Q$47&lt;&gt;"🎉 Completed"),16),"")</f>
        <v/>
      </c>
      <c r="AB17" s="1">
        <f>IF($AA17="","",INDEX('📅 Events'!$D$8:$D$47,MATCH($AA17,'📅 Events'!$E$8:$E$47,0))&amp;" - "&amp;INDEX('📅 Events'!$F$8:$F$47,MATCH($AA17,'📅 Events'!$E$8:$E$47,0)))</f>
        <v/>
      </c>
      <c r="AC17" s="1">
        <f>IF($AA17="","",INDEX('📅 Events'!$Q$8:$Q$47,MATCH($AA17,'📅 Events'!$E$8:$E$47,0)))</f>
        <v/>
      </c>
      <c r="AE17" s="1" t="s">
        <v>75</v>
      </c>
      <c r="AF17" s="1">
        <f>SUMIF('💸 Expenses'!$E$8:$E$67,"Ingredients",'💸 Expenses'!$G$8:$G$67)+SUMIF('💸 Expenses'!$E$8:$E$67,"Packaging",'💸 Expenses'!$G$8:$G$67)</f>
        <v>0</v>
      </c>
    </row>
    <row r="18" spans="14:32">
      <c r="N18" s="1" t="s">
        <v>35</v>
      </c>
      <c r="O18" s="1">
        <f>SUMIFS('📅 Events'!$L$8:$L$47,'📅 Events'!$F$8:$F$47,$N18,'📅 Events'!$Q$8:$Q$47,"&lt;&gt;❌ Cancelled")</f>
        <v>0</v>
      </c>
      <c r="AA18" s="1">
        <f>IFERROR(AGGREGATE(15,6,'📅 Events'!$E$8:$E$47/('📅 Events'!$E$8:$E$47&gt;=TODAY())*('📅 Events'!$Q$8:$Q$47&lt;&gt;"❌ Cancelled")*('📅 Events'!$Q$8:$Q$47&lt;&gt;"🎉 Completed"),17),"")</f>
        <v/>
      </c>
      <c r="AB18" s="1">
        <f>IF($AA18="","",INDEX('📅 Events'!$D$8:$D$47,MATCH($AA18,'📅 Events'!$E$8:$E$47,0))&amp;" - "&amp;INDEX('📅 Events'!$F$8:$F$47,MATCH($AA18,'📅 Events'!$E$8:$E$47,0)))</f>
        <v/>
      </c>
      <c r="AC18" s="1">
        <f>IF($AA18="","",INDEX('📅 Events'!$Q$8:$Q$47,MATCH($AA18,'📅 Events'!$E$8:$E$47,0)))</f>
        <v/>
      </c>
      <c r="AE18" s="1" t="s">
        <v>76</v>
      </c>
      <c r="AF18" s="1">
        <f>SUMIF('💸 Expenses'!$E$8:$E$67,"Staff / Labor",'💸 Expenses'!$G$8:$G$67)</f>
        <v>0</v>
      </c>
    </row>
    <row r="19" spans="14:32">
      <c r="N19" s="1" t="s">
        <v>36</v>
      </c>
      <c r="O19" s="1">
        <f>SUMIFS('📅 Events'!$L$8:$L$47,'📅 Events'!$F$8:$F$47,$N19,'📅 Events'!$Q$8:$Q$47,"&lt;&gt;❌ Cancelled")</f>
        <v>0</v>
      </c>
      <c r="AA19" s="1">
        <f>IFERROR(AGGREGATE(15,6,'📅 Events'!$E$8:$E$47/('📅 Events'!$E$8:$E$47&gt;=TODAY())*('📅 Events'!$Q$8:$Q$47&lt;&gt;"❌ Cancelled")*('📅 Events'!$Q$8:$Q$47&lt;&gt;"🎉 Completed"),18),"")</f>
        <v/>
      </c>
      <c r="AB19" s="1">
        <f>IF($AA19="","",INDEX('📅 Events'!$D$8:$D$47,MATCH($AA19,'📅 Events'!$E$8:$E$47,0))&amp;" - "&amp;INDEX('📅 Events'!$F$8:$F$47,MATCH($AA19,'📅 Events'!$E$8:$E$47,0)))</f>
        <v/>
      </c>
      <c r="AC19" s="1">
        <f>IF($AA19="","",INDEX('📅 Events'!$Q$8:$Q$47,MATCH($AA19,'📅 Events'!$E$8:$E$47,0)))</f>
        <v/>
      </c>
      <c r="AE19" s="1" t="s">
        <v>77</v>
      </c>
      <c r="AF19" s="1">
        <f>IFERROR($AF$17/$AF$2,0)</f>
        <v>0</v>
      </c>
    </row>
    <row r="20" spans="14:32">
      <c r="N20" s="1" t="s">
        <v>37</v>
      </c>
      <c r="O20" s="1">
        <f>SUMIFS('📅 Events'!$L$8:$L$47,'📅 Events'!$F$8:$F$47,$N20,'📅 Events'!$Q$8:$Q$47,"&lt;&gt;❌ Cancelled")</f>
        <v>0</v>
      </c>
      <c r="AA20" s="1">
        <f>IFERROR(AGGREGATE(15,6,'📅 Events'!$E$8:$E$47/('📅 Events'!$E$8:$E$47&gt;=TODAY())*('📅 Events'!$Q$8:$Q$47&lt;&gt;"❌ Cancelled")*('📅 Events'!$Q$8:$Q$47&lt;&gt;"🎉 Completed"),19),"")</f>
        <v/>
      </c>
      <c r="AB20" s="1">
        <f>IF($AA20="","",INDEX('📅 Events'!$D$8:$D$47,MATCH($AA20,'📅 Events'!$E$8:$E$47,0))&amp;" - "&amp;INDEX('📅 Events'!$F$8:$F$47,MATCH($AA20,'📅 Events'!$E$8:$E$47,0)))</f>
        <v/>
      </c>
      <c r="AC20" s="1">
        <f>IF($AA20="","",INDEX('📅 Events'!$Q$8:$Q$47,MATCH($AA20,'📅 Events'!$E$8:$E$47,0)))</f>
        <v/>
      </c>
      <c r="AE20" s="1" t="s">
        <v>78</v>
      </c>
      <c r="AF20" s="1">
        <f>IFERROR($AF$18/$AF$2,0)</f>
        <v>0</v>
      </c>
    </row>
    <row r="21" spans="14:32">
      <c r="N21" s="1" t="s">
        <v>38</v>
      </c>
      <c r="O21" s="1">
        <f>SUMIFS('📅 Events'!$L$8:$L$47,'📅 Events'!$F$8:$F$47,$N21,'📅 Events'!$Q$8:$Q$47,"&lt;&gt;❌ Cancelled")</f>
        <v>0</v>
      </c>
      <c r="AA21" s="1">
        <f>IFERROR(AGGREGATE(15,6,'📅 Events'!$E$8:$E$47/('📅 Events'!$E$8:$E$47&gt;=TODAY())*('📅 Events'!$Q$8:$Q$47&lt;&gt;"❌ Cancelled")*('📅 Events'!$Q$8:$Q$47&lt;&gt;"🎉 Completed"),20),"")</f>
        <v/>
      </c>
      <c r="AB21" s="1">
        <f>IF($AA21="","",INDEX('📅 Events'!$D$8:$D$47,MATCH($AA21,'📅 Events'!$E$8:$E$47,0))&amp;" - "&amp;INDEX('📅 Events'!$F$8:$F$47,MATCH($AA21,'📅 Events'!$E$8:$E$47,0)))</f>
        <v/>
      </c>
      <c r="AC21" s="1">
        <f>IF($AA21="","",INDEX('📅 Events'!$Q$8:$Q$47,MATCH($AA21,'📅 Events'!$E$8:$E$47,0)))</f>
        <v/>
      </c>
      <c r="AE21" s="1" t="s">
        <v>79</v>
      </c>
      <c r="AF21" s="1">
        <f>IFERROR(SUMPRODUCT((COUNTIF('👥 Clients'!$C$8:$C$47,'👥 Clients'!$C$8:$C$47&amp;"")&gt;1)*(('👥 Clients'!$C$8:$C$47&amp;"")&lt;&gt;"")*1)/COUNTA('👥 Clients'!$C$8:$C$47),0)</f>
        <v>0</v>
      </c>
    </row>
    <row r="22" spans="14:32">
      <c r="N22" s="1" t="s">
        <v>39</v>
      </c>
      <c r="O22" s="1">
        <f>SUMIFS('📅 Events'!$L$8:$L$47,'📅 Events'!$F$8:$F$47,$N22,'📅 Events'!$Q$8:$Q$47,"&lt;&gt;❌ Cancelled")</f>
        <v>0</v>
      </c>
      <c r="AA22" s="1">
        <f>IFERROR(AGGREGATE(15,6,'📅 Events'!$E$8:$E$47/('📅 Events'!$E$8:$E$47&gt;=TODAY())*('📅 Events'!$Q$8:$Q$47&lt;&gt;"❌ Cancelled")*('📅 Events'!$Q$8:$Q$47&lt;&gt;"🎉 Completed"),21),"")</f>
        <v/>
      </c>
      <c r="AB22" s="1">
        <f>IF($AA22="","",INDEX('📅 Events'!$D$8:$D$47,MATCH($AA22,'📅 Events'!$E$8:$E$47,0))&amp;" - "&amp;INDEX('📅 Events'!$F$8:$F$47,MATCH($AA22,'📅 Events'!$E$8:$E$47,0)))</f>
        <v/>
      </c>
      <c r="AC22" s="1">
        <f>IF($AA22="","",INDEX('📅 Events'!$Q$8:$Q$47,MATCH($AA22,'📅 Events'!$E$8:$E$47,0)))</f>
        <v/>
      </c>
      <c r="AE22" s="1" t="s">
        <v>80</v>
      </c>
      <c r="AF22" s="1">
        <f>SUM('📦 Inventory'!$I$8:$I$47)</f>
        <v>0</v>
      </c>
    </row>
    <row r="23" spans="14:32">
      <c r="N23" s="1" t="s">
        <v>40</v>
      </c>
      <c r="O23" s="1">
        <f>SUMIFS('📅 Events'!$L$8:$L$47,'📅 Events'!$F$8:$F$47,$N23,'📅 Events'!$Q$8:$Q$47,"&lt;&gt;❌ Cancelled")</f>
        <v>0</v>
      </c>
      <c r="AA23" s="1">
        <f>IFERROR(AGGREGATE(15,6,'📅 Events'!$E$8:$E$47/('📅 Events'!$E$8:$E$47&gt;=TODAY())*('📅 Events'!$Q$8:$Q$47&lt;&gt;"❌ Cancelled")*('📅 Events'!$Q$8:$Q$47&lt;&gt;"🎉 Completed"),22),"")</f>
        <v/>
      </c>
      <c r="AB23" s="1">
        <f>IF($AA23="","",INDEX('📅 Events'!$D$8:$D$47,MATCH($AA23,'📅 Events'!$E$8:$E$47,0))&amp;" - "&amp;INDEX('📅 Events'!$F$8:$F$47,MATCH($AA23,'📅 Events'!$E$8:$E$47,0)))</f>
        <v/>
      </c>
      <c r="AC23" s="1">
        <f>IF($AA23="","",INDEX('📅 Events'!$Q$8:$Q$47,MATCH($AA23,'📅 Events'!$E$8:$E$47,0)))</f>
        <v/>
      </c>
      <c r="AE23" s="1" t="s">
        <v>81</v>
      </c>
      <c r="AF23" s="1">
        <f>COUNTIF('📦 Inventory'!$K$8:$K$47,"🔴 Reorder")</f>
        <v>0</v>
      </c>
    </row>
    <row r="24" spans="14:32">
      <c r="N24" s="1" t="s">
        <v>41</v>
      </c>
      <c r="O24" s="1">
        <f>SUMIFS('📅 Events'!$L$8:$L$47,'📅 Events'!$F$8:$F$47,$N24,'📅 Events'!$Q$8:$Q$47,"&lt;&gt;❌ Cancelled")</f>
        <v>0</v>
      </c>
      <c r="AA24" s="1">
        <f>IFERROR(AGGREGATE(15,6,'📅 Events'!$E$8:$E$47/('📅 Events'!$E$8:$E$47&gt;=TODAY())*('📅 Events'!$Q$8:$Q$47&lt;&gt;"❌ Cancelled")*('📅 Events'!$Q$8:$Q$47&lt;&gt;"🎉 Completed"),23),"")</f>
        <v/>
      </c>
      <c r="AB24" s="1">
        <f>IF($AA24="","",INDEX('📅 Events'!$D$8:$D$47,MATCH($AA24,'📅 Events'!$E$8:$E$47,0))&amp;" - "&amp;INDEX('📅 Events'!$F$8:$F$47,MATCH($AA24,'📅 Events'!$E$8:$E$47,0)))</f>
        <v/>
      </c>
      <c r="AC24" s="1">
        <f>IF($AA24="","",INDEX('📅 Events'!$Q$8:$Q$47,MATCH($AA24,'📅 Events'!$E$8:$E$47,0)))</f>
        <v/>
      </c>
      <c r="AE24" s="1" t="s">
        <v>82</v>
      </c>
      <c r="AF24" s="1">
        <f>SUMPRODUCT(ISNUMBER('🛒 Shopping List'!$G$8:$G$47)*('🛒 Shopping List'!$G$8:$G$47&gt;0)*('🛒 Shopping List'!$J$8:$J$47&lt;&gt;"✓"))</f>
        <v>0</v>
      </c>
    </row>
    <row r="25" spans="14:32">
      <c r="Q25" s="2" t="s">
        <v>49</v>
      </c>
      <c r="R25" s="2" t="s">
        <v>50</v>
      </c>
      <c r="T25" s="2" t="s">
        <v>51</v>
      </c>
      <c r="U25" s="2" t="s">
        <v>52</v>
      </c>
      <c r="AA25" s="1">
        <f>IFERROR(AGGREGATE(15,6,'📅 Events'!$E$8:$E$47/('📅 Events'!$E$8:$E$47&gt;=TODAY())*('📅 Events'!$Q$8:$Q$47&lt;&gt;"❌ Cancelled")*('📅 Events'!$Q$8:$Q$47&lt;&gt;"🎉 Completed"),24),"")</f>
        <v/>
      </c>
      <c r="AB25" s="1">
        <f>IF($AA25="","",INDEX('📅 Events'!$D$8:$D$47,MATCH($AA25,'📅 Events'!$E$8:$E$47,0))&amp;" - "&amp;INDEX('📅 Events'!$F$8:$F$47,MATCH($AA25,'📅 Events'!$E$8:$E$47,0)))</f>
        <v/>
      </c>
      <c r="AC25" s="1">
        <f>IF($AA25="","",INDEX('📅 Events'!$Q$8:$Q$47,MATCH($AA25,'📅 Events'!$E$8:$E$47,0)))</f>
        <v/>
      </c>
      <c r="AE25" s="1" t="s">
        <v>83</v>
      </c>
      <c r="AF25" s="1">
        <f>SUMPRODUCT(ISNUMBER('🛒 Shopping List'!$G$8:$G$47)*('🛒 Shopping List'!$G$8:$G$47&gt;0)*('🛒 Shopping List'!$J$8:$J$47&lt;&gt;"✓"),'🛒 Shopping List'!$I$8:$I$47)</f>
        <v>0</v>
      </c>
    </row>
    <row r="26" spans="14:32">
      <c r="Q26" s="1">
        <f>IF('👥 Clients'!$C$8="","",'👥 Clients'!$C$8)</f>
        <v/>
      </c>
      <c r="R26" s="1">
        <f>IF($Q26="","",SUMIF('💰 Payments'!$D$8:$D$67,$Q26,'💰 Payments'!$J$8:$J$67))</f>
        <v/>
      </c>
      <c r="T26" s="1">
        <f>IF('🍽️ Menu Costing'!$C$8="","",'🍽️ Menu Costing'!$C$8)</f>
        <v/>
      </c>
      <c r="U26" s="1">
        <f>IF($T26="","",SUMPRODUCT(('📅 Events'!$H$8:$H$47&lt;&gt;"")*IFERROR(--ISNUMBER(SEARCH($T26,'📅 Events'!$H$8:$H$47)),0)))</f>
        <v/>
      </c>
      <c r="AA26" s="1">
        <f>IFERROR(AGGREGATE(15,6,'📅 Events'!$E$8:$E$47/('📅 Events'!$E$8:$E$47&gt;=TODAY())*('📅 Events'!$Q$8:$Q$47&lt;&gt;"❌ Cancelled")*('📅 Events'!$Q$8:$Q$47&lt;&gt;"🎉 Completed"),25),"")</f>
        <v/>
      </c>
      <c r="AB26" s="1">
        <f>IF($AA26="","",INDEX('📅 Events'!$D$8:$D$47,MATCH($AA26,'📅 Events'!$E$8:$E$47,0))&amp;" - "&amp;INDEX('📅 Events'!$F$8:$F$47,MATCH($AA26,'📅 Events'!$E$8:$E$47,0)))</f>
        <v/>
      </c>
      <c r="AC26" s="1">
        <f>IF($AA26="","",INDEX('📅 Events'!$Q$8:$Q$47,MATCH($AA26,'📅 Events'!$E$8:$E$47,0)))</f>
        <v/>
      </c>
      <c r="AE26" s="1" t="s">
        <v>84</v>
      </c>
      <c r="AF26" s="1">
        <f>SUMPRODUCT(('👷 Staff &amp; Labor'!$C$8:$C$57&lt;&gt;"")*('👷 Staff &amp; Labor'!$J$8:$J$57&lt;&gt;"✓"))</f>
        <v>0</v>
      </c>
    </row>
    <row r="27" spans="14:32">
      <c r="N27" s="2" t="s">
        <v>42</v>
      </c>
      <c r="O27" s="2" t="s">
        <v>17</v>
      </c>
      <c r="Q27" s="1">
        <f>IF('👥 Clients'!$C$9="","",'👥 Clients'!$C$9)</f>
        <v/>
      </c>
      <c r="R27" s="1">
        <f>IF($Q27="","",SUMIF('💰 Payments'!$D$8:$D$67,$Q27,'💰 Payments'!$J$8:$J$67))</f>
        <v/>
      </c>
      <c r="T27" s="1">
        <f>IF('🍽️ Menu Costing'!$C$9="","",'🍽️ Menu Costing'!$C$9)</f>
        <v/>
      </c>
      <c r="U27" s="1">
        <f>IF($T27="","",SUMPRODUCT(('📅 Events'!$H$8:$H$47&lt;&gt;"")*IFERROR(--ISNUMBER(SEARCH($T27,'📅 Events'!$H$8:$H$47)),0)))</f>
        <v/>
      </c>
      <c r="AA27" s="1">
        <f>IFERROR(AGGREGATE(15,6,'📅 Events'!$E$8:$E$47/('📅 Events'!$E$8:$E$47&gt;=TODAY())*('📅 Events'!$Q$8:$Q$47&lt;&gt;"❌ Cancelled")*('📅 Events'!$Q$8:$Q$47&lt;&gt;"🎉 Completed"),26),"")</f>
        <v/>
      </c>
      <c r="AB27" s="1">
        <f>IF($AA27="","",INDEX('📅 Events'!$D$8:$D$47,MATCH($AA27,'📅 Events'!$E$8:$E$47,0))&amp;" - "&amp;INDEX('📅 Events'!$F$8:$F$47,MATCH($AA27,'📅 Events'!$E$8:$E$47,0)))</f>
        <v/>
      </c>
      <c r="AC27" s="1">
        <f>IF($AA27="","",INDEX('📅 Events'!$Q$8:$Q$47,MATCH($AA27,'📅 Events'!$E$8:$E$47,0)))</f>
        <v/>
      </c>
      <c r="AE27" s="1" t="s">
        <v>85</v>
      </c>
      <c r="AF27" s="1">
        <f>SUM('🍳 Equipment'!$J$8:$J$42)</f>
        <v>0</v>
      </c>
    </row>
    <row r="28" spans="14:32">
      <c r="N28" s="1" t="s">
        <v>43</v>
      </c>
      <c r="O28" s="1">
        <f>COUNTIF('📅 Events'!$Q$8:$Q$47,$N28)</f>
        <v>0</v>
      </c>
      <c r="Q28" s="1">
        <f>IF('👥 Clients'!$C$10="","",'👥 Clients'!$C$10)</f>
        <v/>
      </c>
      <c r="R28" s="1">
        <f>IF($Q28="","",SUMIF('💰 Payments'!$D$8:$D$67,$Q28,'💰 Payments'!$J$8:$J$67))</f>
        <v/>
      </c>
      <c r="T28" s="1">
        <f>IF('🍽️ Menu Costing'!$C$10="","",'🍽️ Menu Costing'!$C$10)</f>
        <v/>
      </c>
      <c r="U28" s="1">
        <f>IF($T28="","",SUMPRODUCT(('📅 Events'!$H$8:$H$47&lt;&gt;"")*IFERROR(--ISNUMBER(SEARCH($T28,'📅 Events'!$H$8:$H$47)),0)))</f>
        <v/>
      </c>
      <c r="AA28" s="1">
        <f>IFERROR(AGGREGATE(15,6,'📅 Events'!$E$8:$E$47/('📅 Events'!$E$8:$E$47&gt;=TODAY())*('📅 Events'!$Q$8:$Q$47&lt;&gt;"❌ Cancelled")*('📅 Events'!$Q$8:$Q$47&lt;&gt;"🎉 Completed"),27),"")</f>
        <v/>
      </c>
      <c r="AB28" s="1">
        <f>IF($AA28="","",INDEX('📅 Events'!$D$8:$D$47,MATCH($AA28,'📅 Events'!$E$8:$E$47,0))&amp;" - "&amp;INDEX('📅 Events'!$F$8:$F$47,MATCH($AA28,'📅 Events'!$E$8:$E$47,0)))</f>
        <v/>
      </c>
      <c r="AC28" s="1">
        <f>IF($AA28="","",INDEX('📅 Events'!$Q$8:$Q$47,MATCH($AA28,'📅 Events'!$E$8:$E$47,0)))</f>
        <v/>
      </c>
      <c r="AE28" s="1" t="s">
        <v>86</v>
      </c>
      <c r="AF28" s="1">
        <f>COUNTIF('🍳 Equipment'!$L$8:$L$42,"🔧 Service")+COUNTIF('🍳 Equipment'!$L$8:$L$42,"🟡 Soon")</f>
        <v>0</v>
      </c>
    </row>
    <row r="29" spans="14:32">
      <c r="N29" s="1" t="s">
        <v>44</v>
      </c>
      <c r="O29" s="1">
        <f>COUNTIF('📅 Events'!$Q$8:$Q$47,$N29)</f>
        <v>0</v>
      </c>
      <c r="Q29" s="1">
        <f>IF('👥 Clients'!$C$11="","",'👥 Clients'!$C$11)</f>
        <v/>
      </c>
      <c r="R29" s="1">
        <f>IF($Q29="","",SUMIF('💰 Payments'!$D$8:$D$67,$Q29,'💰 Payments'!$J$8:$J$67))</f>
        <v/>
      </c>
      <c r="T29" s="1">
        <f>IF('🍽️ Menu Costing'!$C$11="","",'🍽️ Menu Costing'!$C$11)</f>
        <v/>
      </c>
      <c r="U29" s="1">
        <f>IF($T29="","",SUMPRODUCT(('📅 Events'!$H$8:$H$47&lt;&gt;"")*IFERROR(--ISNUMBER(SEARCH($T29,'📅 Events'!$H$8:$H$47)),0)))</f>
        <v/>
      </c>
      <c r="AA29" s="1">
        <f>IFERROR(AGGREGATE(15,6,'📅 Events'!$E$8:$E$47/('📅 Events'!$E$8:$E$47&gt;=TODAY())*('📅 Events'!$Q$8:$Q$47&lt;&gt;"❌ Cancelled")*('📅 Events'!$Q$8:$Q$47&lt;&gt;"🎉 Completed"),28),"")</f>
        <v/>
      </c>
      <c r="AB29" s="1">
        <f>IF($AA29="","",INDEX('📅 Events'!$D$8:$D$47,MATCH($AA29,'📅 Events'!$E$8:$E$47,0))&amp;" - "&amp;INDEX('📅 Events'!$F$8:$F$47,MATCH($AA29,'📅 Events'!$E$8:$E$47,0)))</f>
        <v/>
      </c>
      <c r="AC29" s="1">
        <f>IF($AA29="","",INDEX('📅 Events'!$Q$8:$Q$47,MATCH($AA29,'📅 Events'!$E$8:$E$47,0)))</f>
        <v/>
      </c>
      <c r="AE29" s="1" t="s">
        <v>87</v>
      </c>
      <c r="AF29" s="1">
        <f>'🧾 Tax Tracker'!$C$11</f>
        <v>0</v>
      </c>
    </row>
    <row r="30" spans="14:32">
      <c r="N30" s="1" t="s">
        <v>45</v>
      </c>
      <c r="O30" s="1">
        <f>COUNTIF('📅 Events'!$Q$8:$Q$47,$N30)</f>
        <v>0</v>
      </c>
      <c r="Q30" s="1">
        <f>IF('👥 Clients'!$C$12="","",'👥 Clients'!$C$12)</f>
        <v/>
      </c>
      <c r="R30" s="1">
        <f>IF($Q30="","",SUMIF('💰 Payments'!$D$8:$D$67,$Q30,'💰 Payments'!$J$8:$J$67))</f>
        <v/>
      </c>
      <c r="T30" s="1">
        <f>IF('🍽️ Menu Costing'!$C$12="","",'🍽️ Menu Costing'!$C$12)</f>
        <v/>
      </c>
      <c r="U30" s="1">
        <f>IF($T30="","",SUMPRODUCT(('📅 Events'!$H$8:$H$47&lt;&gt;"")*IFERROR(--ISNUMBER(SEARCH($T30,'📅 Events'!$H$8:$H$47)),0)))</f>
        <v/>
      </c>
      <c r="AA30" s="1">
        <f>IFERROR(AGGREGATE(15,6,'📅 Events'!$E$8:$E$47/('📅 Events'!$E$8:$E$47&gt;=TODAY())*('📅 Events'!$Q$8:$Q$47&lt;&gt;"❌ Cancelled")*('📅 Events'!$Q$8:$Q$47&lt;&gt;"🎉 Completed"),29),"")</f>
        <v/>
      </c>
      <c r="AB30" s="1">
        <f>IF($AA30="","",INDEX('📅 Events'!$D$8:$D$47,MATCH($AA30,'📅 Events'!$E$8:$E$47,0))&amp;" - "&amp;INDEX('📅 Events'!$F$8:$F$47,MATCH($AA30,'📅 Events'!$E$8:$E$47,0)))</f>
        <v/>
      </c>
      <c r="AC30" s="1">
        <f>IF($AA30="","",INDEX('📅 Events'!$Q$8:$Q$47,MATCH($AA30,'📅 Events'!$E$8:$E$47,0)))</f>
        <v/>
      </c>
      <c r="AE30" s="1" t="s">
        <v>88</v>
      </c>
      <c r="AF30" s="1">
        <f>'🧾 Tax Tracker'!$C$13</f>
        <v>0</v>
      </c>
    </row>
    <row r="31" spans="14:32">
      <c r="N31" s="1" t="s">
        <v>46</v>
      </c>
      <c r="O31" s="1">
        <f>COUNTIF('📅 Events'!$Q$8:$Q$47,$N31)</f>
        <v>0</v>
      </c>
      <c r="Q31" s="1">
        <f>IF('👥 Clients'!$C$13="","",'👥 Clients'!$C$13)</f>
        <v/>
      </c>
      <c r="R31" s="1">
        <f>IF($Q31="","",SUMIF('💰 Payments'!$D$8:$D$67,$Q31,'💰 Payments'!$J$8:$J$67))</f>
        <v/>
      </c>
      <c r="T31" s="1">
        <f>IF('🍽️ Menu Costing'!$C$13="","",'🍽️ Menu Costing'!$C$13)</f>
        <v/>
      </c>
      <c r="U31" s="1">
        <f>IF($T31="","",SUMPRODUCT(('📅 Events'!$H$8:$H$47&lt;&gt;"")*IFERROR(--ISNUMBER(SEARCH($T31,'📅 Events'!$H$8:$H$47)),0)))</f>
        <v/>
      </c>
      <c r="AA31" s="1">
        <f>IFERROR(AGGREGATE(15,6,'📅 Events'!$E$8:$E$47/('📅 Events'!$E$8:$E$47&gt;=TODAY())*('📅 Events'!$Q$8:$Q$47&lt;&gt;"❌ Cancelled")*('📅 Events'!$Q$8:$Q$47&lt;&gt;"🎉 Completed"),30),"")</f>
        <v/>
      </c>
      <c r="AB31" s="1">
        <f>IF($AA31="","",INDEX('📅 Events'!$D$8:$D$47,MATCH($AA31,'📅 Events'!$E$8:$E$47,0))&amp;" - "&amp;INDEX('📅 Events'!$F$8:$F$47,MATCH($AA31,'📅 Events'!$E$8:$E$47,0)))</f>
        <v/>
      </c>
      <c r="AC31" s="1">
        <f>IF($AA31="","",INDEX('📅 Events'!$Q$8:$Q$47,MATCH($AA31,'📅 Events'!$E$8:$E$47,0)))</f>
        <v/>
      </c>
      <c r="AE31" s="1" t="s">
        <v>89</v>
      </c>
      <c r="AF31" s="1">
        <f>'🧮 Quote Calculator'!$E$16</f>
        <v>0</v>
      </c>
    </row>
    <row r="32" spans="14:32">
      <c r="N32" s="1" t="s">
        <v>47</v>
      </c>
      <c r="O32" s="1">
        <f>COUNTIF('📅 Events'!$Q$8:$Q$47,$N32)</f>
        <v>0</v>
      </c>
      <c r="Q32" s="1">
        <f>IF('👥 Clients'!$C$14="","",'👥 Clients'!$C$14)</f>
        <v/>
      </c>
      <c r="R32" s="1">
        <f>IF($Q32="","",SUMIF('💰 Payments'!$D$8:$D$67,$Q32,'💰 Payments'!$J$8:$J$67))</f>
        <v/>
      </c>
      <c r="T32" s="1">
        <f>IF('🍽️ Menu Costing'!$C$14="","",'🍽️ Menu Costing'!$C$14)</f>
        <v/>
      </c>
      <c r="U32" s="1">
        <f>IF($T32="","",SUMPRODUCT(('📅 Events'!$H$8:$H$47&lt;&gt;"")*IFERROR(--ISNUMBER(SEARCH($T32,'📅 Events'!$H$8:$H$47)),0)))</f>
        <v/>
      </c>
      <c r="AA32" s="1">
        <f>IFERROR(AGGREGATE(15,6,'📅 Events'!$E$8:$E$47/('📅 Events'!$E$8:$E$47&gt;=TODAY())*('📅 Events'!$Q$8:$Q$47&lt;&gt;"❌ Cancelled")*('📅 Events'!$Q$8:$Q$47&lt;&gt;"🎉 Completed"),31),"")</f>
        <v/>
      </c>
      <c r="AB32" s="1">
        <f>IF($AA32="","",INDEX('📅 Events'!$D$8:$D$47,MATCH($AA32,'📅 Events'!$E$8:$E$47,0))&amp;" - "&amp;INDEX('📅 Events'!$F$8:$F$47,MATCH($AA32,'📅 Events'!$E$8:$E$47,0)))</f>
        <v/>
      </c>
      <c r="AC32" s="1">
        <f>IF($AA32="","",INDEX('📅 Events'!$Q$8:$Q$47,MATCH($AA32,'📅 Events'!$E$8:$E$47,0)))</f>
        <v/>
      </c>
      <c r="AE32" s="1" t="s">
        <v>90</v>
      </c>
      <c r="AF32" s="1">
        <f>'🧮 Quote Calculator'!$E$17</f>
        <v>0</v>
      </c>
    </row>
    <row r="33" spans="14:32">
      <c r="N33" s="1" t="s">
        <v>48</v>
      </c>
      <c r="O33" s="1">
        <f>COUNTIF('📅 Events'!$Q$8:$Q$47,$N33)</f>
        <v>0</v>
      </c>
      <c r="Q33" s="1">
        <f>IF('👥 Clients'!$C$15="","",'👥 Clients'!$C$15)</f>
        <v/>
      </c>
      <c r="R33" s="1">
        <f>IF($Q33="","",SUMIF('💰 Payments'!$D$8:$D$67,$Q33,'💰 Payments'!$J$8:$J$67))</f>
        <v/>
      </c>
      <c r="T33" s="1">
        <f>IF('🍽️ Menu Costing'!$C$15="","",'🍽️ Menu Costing'!$C$15)</f>
        <v/>
      </c>
      <c r="U33" s="1">
        <f>IF($T33="","",SUMPRODUCT(('📅 Events'!$H$8:$H$47&lt;&gt;"")*IFERROR(--ISNUMBER(SEARCH($T33,'📅 Events'!$H$8:$H$47)),0)))</f>
        <v/>
      </c>
      <c r="AA33" s="1">
        <f>IFERROR(AGGREGATE(15,6,'📅 Events'!$E$8:$E$47/('📅 Events'!$E$8:$E$47&gt;=TODAY())*('📅 Events'!$Q$8:$Q$47&lt;&gt;"❌ Cancelled")*('📅 Events'!$Q$8:$Q$47&lt;&gt;"🎉 Completed"),32),"")</f>
        <v/>
      </c>
      <c r="AB33" s="1">
        <f>IF($AA33="","",INDEX('📅 Events'!$D$8:$D$47,MATCH($AA33,'📅 Events'!$E$8:$E$47,0))&amp;" - "&amp;INDEX('📅 Events'!$F$8:$F$47,MATCH($AA33,'📅 Events'!$E$8:$E$47,0)))</f>
        <v/>
      </c>
      <c r="AC33" s="1">
        <f>IF($AA33="","",INDEX('📅 Events'!$Q$8:$Q$47,MATCH($AA33,'📅 Events'!$E$8:$E$47,0)))</f>
        <v/>
      </c>
      <c r="AE33" s="1" t="s">
        <v>91</v>
      </c>
      <c r="AF33" s="1">
        <f>COUNTA('🍽️ Menu Costing'!$C$8:$C$37)</f>
        <v>0</v>
      </c>
    </row>
    <row r="34" spans="14:32">
      <c r="Q34" s="1">
        <f>IF('👥 Clients'!$C$16="","",'👥 Clients'!$C$16)</f>
        <v/>
      </c>
      <c r="R34" s="1">
        <f>IF($Q34="","",SUMIF('💰 Payments'!$D$8:$D$67,$Q34,'💰 Payments'!$J$8:$J$67))</f>
        <v/>
      </c>
      <c r="T34" s="1">
        <f>IF('🍽️ Menu Costing'!$C$16="","",'🍽️ Menu Costing'!$C$16)</f>
        <v/>
      </c>
      <c r="U34" s="1">
        <f>IF($T34="","",SUMPRODUCT(('📅 Events'!$H$8:$H$47&lt;&gt;"")*IFERROR(--ISNUMBER(SEARCH($T34,'📅 Events'!$H$8:$H$47)),0)))</f>
        <v/>
      </c>
      <c r="AA34" s="1">
        <f>IFERROR(AGGREGATE(15,6,'📅 Events'!$E$8:$E$47/('📅 Events'!$E$8:$E$47&gt;=TODAY())*('📅 Events'!$Q$8:$Q$47&lt;&gt;"❌ Cancelled")*('📅 Events'!$Q$8:$Q$47&lt;&gt;"🎉 Completed"),33),"")</f>
        <v/>
      </c>
      <c r="AB34" s="1">
        <f>IF($AA34="","",INDEX('📅 Events'!$D$8:$D$47,MATCH($AA34,'📅 Events'!$E$8:$E$47,0))&amp;" - "&amp;INDEX('📅 Events'!$F$8:$F$47,MATCH($AA34,'📅 Events'!$E$8:$E$47,0)))</f>
        <v/>
      </c>
      <c r="AC34" s="1">
        <f>IF($AA34="","",INDEX('📅 Events'!$Q$8:$Q$47,MATCH($AA34,'📅 Events'!$E$8:$E$47,0)))</f>
        <v/>
      </c>
      <c r="AE34" s="1" t="s">
        <v>92</v>
      </c>
      <c r="AF34" s="1">
        <f>IFERROR(AVERAGE('🍽️ Menu Costing'!$J$8:$J$37),0)</f>
        <v>0</v>
      </c>
    </row>
    <row r="35" spans="14:32">
      <c r="Q35" s="1">
        <f>IF('👥 Clients'!$C$17="","",'👥 Clients'!$C$17)</f>
        <v/>
      </c>
      <c r="R35" s="1">
        <f>IF($Q35="","",SUMIF('💰 Payments'!$D$8:$D$67,$Q35,'💰 Payments'!$J$8:$J$67))</f>
        <v/>
      </c>
      <c r="T35" s="1">
        <f>IF('🍽️ Menu Costing'!$C$17="","",'🍽️ Menu Costing'!$C$17)</f>
        <v/>
      </c>
      <c r="U35" s="1">
        <f>IF($T35="","",SUMPRODUCT(('📅 Events'!$H$8:$H$47&lt;&gt;"")*IFERROR(--ISNUMBER(SEARCH($T35,'📅 Events'!$H$8:$H$47)),0)))</f>
        <v/>
      </c>
      <c r="AA35" s="1">
        <f>IFERROR(AGGREGATE(15,6,'📅 Events'!$E$8:$E$47/('📅 Events'!$E$8:$E$47&gt;=TODAY())*('📅 Events'!$Q$8:$Q$47&lt;&gt;"❌ Cancelled")*('📅 Events'!$Q$8:$Q$47&lt;&gt;"🎉 Completed"),34),"")</f>
        <v/>
      </c>
      <c r="AB35" s="1">
        <f>IF($AA35="","",INDEX('📅 Events'!$D$8:$D$47,MATCH($AA35,'📅 Events'!$E$8:$E$47,0))&amp;" - "&amp;INDEX('📅 Events'!$F$8:$F$47,MATCH($AA35,'📅 Events'!$E$8:$E$47,0)))</f>
        <v/>
      </c>
      <c r="AC35" s="1">
        <f>IF($AA35="","",INDEX('📅 Events'!$Q$8:$Q$47,MATCH($AA35,'📅 Events'!$E$8:$E$47,0)))</f>
        <v/>
      </c>
      <c r="AE35" s="1" t="s">
        <v>93</v>
      </c>
      <c r="AF35" s="1">
        <f>IF(MAX($O$16:$O$24)=0,"-",INDEX($N$16:$N$24,MATCH(MAX($O$16:$O$24),$O$16:$O$24,0)))</f>
        <v>0</v>
      </c>
    </row>
    <row r="36" spans="14:32">
      <c r="Q36" s="1">
        <f>IF('👥 Clients'!$C$18="","",'👥 Clients'!$C$18)</f>
        <v/>
      </c>
      <c r="R36" s="1">
        <f>IF($Q36="","",SUMIF('💰 Payments'!$D$8:$D$67,$Q36,'💰 Payments'!$J$8:$J$67))</f>
        <v/>
      </c>
      <c r="T36" s="1">
        <f>IF('🍽️ Menu Costing'!$C$18="","",'🍽️ Menu Costing'!$C$18)</f>
        <v/>
      </c>
      <c r="U36" s="1">
        <f>IF($T36="","",SUMPRODUCT(('📅 Events'!$H$8:$H$47&lt;&gt;"")*IFERROR(--ISNUMBER(SEARCH($T36,'📅 Events'!$H$8:$H$47)),0)))</f>
        <v/>
      </c>
      <c r="AA36" s="1">
        <f>IFERROR(AGGREGATE(15,6,'📅 Events'!$E$8:$E$47/('📅 Events'!$E$8:$E$47&gt;=TODAY())*('📅 Events'!$Q$8:$Q$47&lt;&gt;"❌ Cancelled")*('📅 Events'!$Q$8:$Q$47&lt;&gt;"🎉 Completed"),35),"")</f>
        <v/>
      </c>
      <c r="AB36" s="1">
        <f>IF($AA36="","",INDEX('📅 Events'!$D$8:$D$47,MATCH($AA36,'📅 Events'!$E$8:$E$47,0))&amp;" - "&amp;INDEX('📅 Events'!$F$8:$F$47,MATCH($AA36,'📅 Events'!$E$8:$E$47,0)))</f>
        <v/>
      </c>
      <c r="AC36" s="1">
        <f>IF($AA36="","",INDEX('📅 Events'!$Q$8:$Q$47,MATCH($AA36,'📅 Events'!$E$8:$E$47,0)))</f>
        <v/>
      </c>
      <c r="AE36" s="1" t="s">
        <v>94</v>
      </c>
      <c r="AF36" s="1">
        <f>IF(MAX($R$26:$R$40)=0,"-",INDEX($Q$26:$Q$40,MATCH(MAX($R$26:$R$40),$R$26:$R$40,0)))</f>
        <v>0</v>
      </c>
    </row>
    <row r="37" spans="14:32">
      <c r="Q37" s="1">
        <f>IF('👥 Clients'!$C$19="","",'👥 Clients'!$C$19)</f>
        <v/>
      </c>
      <c r="R37" s="1">
        <f>IF($Q37="","",SUMIF('💰 Payments'!$D$8:$D$67,$Q37,'💰 Payments'!$J$8:$J$67))</f>
        <v/>
      </c>
      <c r="T37" s="1">
        <f>IF('🍽️ Menu Costing'!$C$19="","",'🍽️ Menu Costing'!$C$19)</f>
        <v/>
      </c>
      <c r="U37" s="1">
        <f>IF($T37="","",SUMPRODUCT(('📅 Events'!$H$8:$H$47&lt;&gt;"")*IFERROR(--ISNUMBER(SEARCH($T37,'📅 Events'!$H$8:$H$47)),0)))</f>
        <v/>
      </c>
      <c r="AA37" s="1">
        <f>IFERROR(AGGREGATE(15,6,'📅 Events'!$E$8:$E$47/('📅 Events'!$E$8:$E$47&gt;=TODAY())*('📅 Events'!$Q$8:$Q$47&lt;&gt;"❌ Cancelled")*('📅 Events'!$Q$8:$Q$47&lt;&gt;"🎉 Completed"),36),"")</f>
        <v/>
      </c>
      <c r="AB37" s="1">
        <f>IF($AA37="","",INDEX('📅 Events'!$D$8:$D$47,MATCH($AA37,'📅 Events'!$E$8:$E$47,0))&amp;" - "&amp;INDEX('📅 Events'!$F$8:$F$47,MATCH($AA37,'📅 Events'!$E$8:$E$47,0)))</f>
        <v/>
      </c>
      <c r="AC37" s="1">
        <f>IF($AA37="","",INDEX('📅 Events'!$Q$8:$Q$47,MATCH($AA37,'📅 Events'!$E$8:$E$47,0)))</f>
        <v/>
      </c>
    </row>
    <row r="38" spans="14:32">
      <c r="Q38" s="1">
        <f>IF('👥 Clients'!$C$20="","",'👥 Clients'!$C$20)</f>
        <v/>
      </c>
      <c r="R38" s="1">
        <f>IF($Q38="","",SUMIF('💰 Payments'!$D$8:$D$67,$Q38,'💰 Payments'!$J$8:$J$67))</f>
        <v/>
      </c>
      <c r="T38" s="1">
        <f>IF('🍽️ Menu Costing'!$C$20="","",'🍽️ Menu Costing'!$C$20)</f>
        <v/>
      </c>
      <c r="U38" s="1">
        <f>IF($T38="","",SUMPRODUCT(('📅 Events'!$H$8:$H$47&lt;&gt;"")*IFERROR(--ISNUMBER(SEARCH($T38,'📅 Events'!$H$8:$H$47)),0)))</f>
        <v/>
      </c>
      <c r="AA38" s="1">
        <f>IFERROR(AGGREGATE(15,6,'📅 Events'!$E$8:$E$47/('📅 Events'!$E$8:$E$47&gt;=TODAY())*('📅 Events'!$Q$8:$Q$47&lt;&gt;"❌ Cancelled")*('📅 Events'!$Q$8:$Q$47&lt;&gt;"🎉 Completed"),37),"")</f>
        <v/>
      </c>
      <c r="AB38" s="1">
        <f>IF($AA38="","",INDEX('📅 Events'!$D$8:$D$47,MATCH($AA38,'📅 Events'!$E$8:$E$47,0))&amp;" - "&amp;INDEX('📅 Events'!$F$8:$F$47,MATCH($AA38,'📅 Events'!$E$8:$E$47,0)))</f>
        <v/>
      </c>
      <c r="AC38" s="1">
        <f>IF($AA38="","",INDEX('📅 Events'!$Q$8:$Q$47,MATCH($AA38,'📅 Events'!$E$8:$E$47,0)))</f>
        <v/>
      </c>
    </row>
    <row r="39" spans="14:32">
      <c r="Q39" s="1">
        <f>IF('👥 Clients'!$C$21="","",'👥 Clients'!$C$21)</f>
        <v/>
      </c>
      <c r="R39" s="1">
        <f>IF($Q39="","",SUMIF('💰 Payments'!$D$8:$D$67,$Q39,'💰 Payments'!$J$8:$J$67))</f>
        <v/>
      </c>
      <c r="T39" s="1">
        <f>IF('🍽️ Menu Costing'!$C$21="","",'🍽️ Menu Costing'!$C$21)</f>
        <v/>
      </c>
      <c r="U39" s="1">
        <f>IF($T39="","",SUMPRODUCT(('📅 Events'!$H$8:$H$47&lt;&gt;"")*IFERROR(--ISNUMBER(SEARCH($T39,'📅 Events'!$H$8:$H$47)),0)))</f>
        <v/>
      </c>
      <c r="AA39" s="1">
        <f>IFERROR(AGGREGATE(15,6,'📅 Events'!$E$8:$E$47/('📅 Events'!$E$8:$E$47&gt;=TODAY())*('📅 Events'!$Q$8:$Q$47&lt;&gt;"❌ Cancelled")*('📅 Events'!$Q$8:$Q$47&lt;&gt;"🎉 Completed"),38),"")</f>
        <v/>
      </c>
      <c r="AB39" s="1">
        <f>IF($AA39="","",INDEX('📅 Events'!$D$8:$D$47,MATCH($AA39,'📅 Events'!$E$8:$E$47,0))&amp;" - "&amp;INDEX('📅 Events'!$F$8:$F$47,MATCH($AA39,'📅 Events'!$E$8:$E$47,0)))</f>
        <v/>
      </c>
      <c r="AC39" s="1">
        <f>IF($AA39="","",INDEX('📅 Events'!$Q$8:$Q$47,MATCH($AA39,'📅 Events'!$E$8:$E$47,0)))</f>
        <v/>
      </c>
    </row>
    <row r="40" spans="14:32">
      <c r="Q40" s="1">
        <f>IF('👥 Clients'!$C$22="","",'👥 Clients'!$C$22)</f>
        <v/>
      </c>
      <c r="R40" s="1">
        <f>IF($Q40="","",SUMIF('💰 Payments'!$D$8:$D$67,$Q40,'💰 Payments'!$J$8:$J$67))</f>
        <v/>
      </c>
      <c r="T40" s="1">
        <f>IF('🍽️ Menu Costing'!$C$22="","",'🍽️ Menu Costing'!$C$22)</f>
        <v/>
      </c>
      <c r="U40" s="1">
        <f>IF($T40="","",SUMPRODUCT(('📅 Events'!$H$8:$H$47&lt;&gt;"")*IFERROR(--ISNUMBER(SEARCH($T40,'📅 Events'!$H$8:$H$47)),0)))</f>
        <v/>
      </c>
      <c r="AA40" s="1">
        <f>IFERROR(AGGREGATE(15,6,'📅 Events'!$E$8:$E$47/('📅 Events'!$E$8:$E$47&gt;=TODAY())*('📅 Events'!$Q$8:$Q$47&lt;&gt;"❌ Cancelled")*('📅 Events'!$Q$8:$Q$47&lt;&gt;"🎉 Completed"),39),"")</f>
        <v/>
      </c>
      <c r="AB40" s="1">
        <f>IF($AA40="","",INDEX('📅 Events'!$D$8:$D$47,MATCH($AA40,'📅 Events'!$E$8:$E$47,0))&amp;" - "&amp;INDEX('📅 Events'!$F$8:$F$47,MATCH($AA40,'📅 Events'!$E$8:$E$47,0)))</f>
        <v/>
      </c>
      <c r="AC40" s="1">
        <f>IF($AA40="","",INDEX('📅 Events'!$Q$8:$Q$47,MATCH($AA40,'📅 Events'!$E$8:$E$47,0)))</f>
        <v/>
      </c>
    </row>
    <row r="41" spans="14:32">
      <c r="AA41" s="2" t="s">
        <v>55</v>
      </c>
      <c r="AB41" s="2" t="s">
        <v>56</v>
      </c>
      <c r="AC41" s="2" t="s">
        <v>57</v>
      </c>
    </row>
    <row r="42" spans="14:32">
      <c r="AA42" s="1">
        <f>IFERROR(AGGREGATE(15,6,'💰 Payments'!$L$8:$L$67/(('💰 Payments'!$L$8:$L$67&lt;&gt;"")*('💰 Payments'!$K$8:$K$67&gt;0)),1),"")</f>
        <v/>
      </c>
      <c r="AB42" s="1">
        <f>IF($AA42="","",INDEX('💰 Payments'!$D$8:$D$67,MATCH($AA42,'💰 Payments'!$L$8:$L$67,0))&amp;" ("&amp;INDEX('💰 Payments'!$C$8:$C$67,MATCH($AA42,'💰 Payments'!$L$8:$L$67,0))&amp;")")</f>
        <v/>
      </c>
      <c r="AC42" s="1">
        <f>IF($AA42="","",INDEX('💰 Payments'!$K$8:$K$67,MATCH($AA42,'💰 Payments'!$L$8:$L$67,0)))</f>
        <v/>
      </c>
    </row>
    <row r="43" spans="14:32">
      <c r="AA43" s="1">
        <f>IFERROR(AGGREGATE(15,6,'💰 Payments'!$L$8:$L$67/(('💰 Payments'!$L$8:$L$67&lt;&gt;"")*('💰 Payments'!$K$8:$K$67&gt;0)),2),"")</f>
        <v/>
      </c>
      <c r="AB43" s="1">
        <f>IF($AA43="","",INDEX('💰 Payments'!$D$8:$D$67,MATCH($AA43,'💰 Payments'!$L$8:$L$67,0))&amp;" ("&amp;INDEX('💰 Payments'!$C$8:$C$67,MATCH($AA43,'💰 Payments'!$L$8:$L$67,0))&amp;")")</f>
        <v/>
      </c>
      <c r="AC43" s="1">
        <f>IF($AA43="","",INDEX('💰 Payments'!$K$8:$K$67,MATCH($AA43,'💰 Payments'!$L$8:$L$67,0)))</f>
        <v/>
      </c>
    </row>
    <row r="44" spans="14:32">
      <c r="AA44" s="1">
        <f>IFERROR(AGGREGATE(15,6,'💰 Payments'!$L$8:$L$67/(('💰 Payments'!$L$8:$L$67&lt;&gt;"")*('💰 Payments'!$K$8:$K$67&gt;0)),3),"")</f>
        <v/>
      </c>
      <c r="AB44" s="1">
        <f>IF($AA44="","",INDEX('💰 Payments'!$D$8:$D$67,MATCH($AA44,'💰 Payments'!$L$8:$L$67,0))&amp;" ("&amp;INDEX('💰 Payments'!$C$8:$C$67,MATCH($AA44,'💰 Payments'!$L$8:$L$67,0))&amp;")")</f>
        <v/>
      </c>
      <c r="AC44" s="1">
        <f>IF($AA44="","",INDEX('💰 Payments'!$K$8:$K$67,MATCH($AA44,'💰 Payments'!$L$8:$L$67,0)))</f>
        <v/>
      </c>
    </row>
    <row r="45" spans="14:32">
      <c r="AA45" s="1">
        <f>IFERROR(AGGREGATE(15,6,'💰 Payments'!$L$8:$L$67/(('💰 Payments'!$L$8:$L$67&lt;&gt;"")*('💰 Payments'!$K$8:$K$67&gt;0)),4),"")</f>
        <v/>
      </c>
      <c r="AB45" s="1">
        <f>IF($AA45="","",INDEX('💰 Payments'!$D$8:$D$67,MATCH($AA45,'💰 Payments'!$L$8:$L$67,0))&amp;" ("&amp;INDEX('💰 Payments'!$C$8:$C$67,MATCH($AA45,'💰 Payments'!$L$8:$L$67,0))&amp;")")</f>
        <v/>
      </c>
      <c r="AC45" s="1">
        <f>IF($AA45="","",INDEX('💰 Payments'!$K$8:$K$67,MATCH($AA45,'💰 Payments'!$L$8:$L$67,0)))</f>
        <v/>
      </c>
    </row>
    <row r="46" spans="14:32">
      <c r="AA46" s="1">
        <f>IFERROR(AGGREGATE(15,6,'💰 Payments'!$L$8:$L$67/(('💰 Payments'!$L$8:$L$67&lt;&gt;"")*('💰 Payments'!$K$8:$K$67&gt;0)),5),"")</f>
        <v/>
      </c>
      <c r="AB46" s="1">
        <f>IF($AA46="","",INDEX('💰 Payments'!$D$8:$D$67,MATCH($AA46,'💰 Payments'!$L$8:$L$67,0))&amp;" ("&amp;INDEX('💰 Payments'!$C$8:$C$67,MATCH($AA46,'💰 Payments'!$L$8:$L$67,0))&amp;")")</f>
        <v/>
      </c>
      <c r="AC46" s="1">
        <f>IF($AA46="","",INDEX('💰 Payments'!$K$8:$K$67,MATCH($AA46,'💰 Payments'!$L$8:$L$67,0)))</f>
        <v/>
      </c>
    </row>
    <row r="47" spans="14:32">
      <c r="AA47" s="1">
        <f>IFERROR(AGGREGATE(15,6,'💰 Payments'!$L$8:$L$67/(('💰 Payments'!$L$8:$L$67&lt;&gt;"")*('💰 Payments'!$K$8:$K$67&gt;0)),6),"")</f>
        <v/>
      </c>
      <c r="AB47" s="1">
        <f>IF($AA47="","",INDEX('💰 Payments'!$D$8:$D$67,MATCH($AA47,'💰 Payments'!$L$8:$L$67,0))&amp;" ("&amp;INDEX('💰 Payments'!$C$8:$C$67,MATCH($AA47,'💰 Payments'!$L$8:$L$67,0))&amp;")")</f>
        <v/>
      </c>
      <c r="AC47" s="1">
        <f>IF($AA47="","",INDEX('💰 Payments'!$K$8:$K$67,MATCH($AA47,'💰 Payments'!$L$8:$L$67,0)))</f>
        <v/>
      </c>
    </row>
    <row r="48" spans="14:32">
      <c r="AA48" s="1">
        <f>IFERROR(AGGREGATE(15,6,'💰 Payments'!$L$8:$L$67/(('💰 Payments'!$L$8:$L$67&lt;&gt;"")*('💰 Payments'!$K$8:$K$67&gt;0)),7),"")</f>
        <v/>
      </c>
      <c r="AB48" s="1">
        <f>IF($AA48="","",INDEX('💰 Payments'!$D$8:$D$67,MATCH($AA48,'💰 Payments'!$L$8:$L$67,0))&amp;" ("&amp;INDEX('💰 Payments'!$C$8:$C$67,MATCH($AA48,'💰 Payments'!$L$8:$L$67,0))&amp;")")</f>
        <v/>
      </c>
      <c r="AC48" s="1">
        <f>IF($AA48="","",INDEX('💰 Payments'!$K$8:$K$67,MATCH($AA48,'💰 Payments'!$L$8:$L$67,0)))</f>
        <v/>
      </c>
    </row>
    <row r="49" spans="27:29">
      <c r="AA49" s="1">
        <f>IFERROR(AGGREGATE(15,6,'💰 Payments'!$L$8:$L$67/(('💰 Payments'!$L$8:$L$67&lt;&gt;"")*('💰 Payments'!$K$8:$K$67&gt;0)),8),"")</f>
        <v/>
      </c>
      <c r="AB49" s="1">
        <f>IF($AA49="","",INDEX('💰 Payments'!$D$8:$D$67,MATCH($AA49,'💰 Payments'!$L$8:$L$67,0))&amp;" ("&amp;INDEX('💰 Payments'!$C$8:$C$67,MATCH($AA49,'💰 Payments'!$L$8:$L$67,0))&amp;")")</f>
        <v/>
      </c>
      <c r="AC49" s="1">
        <f>IF($AA49="","",INDEX('💰 Payments'!$K$8:$K$67,MATCH($AA49,'💰 Payments'!$L$8:$L$67,0)))</f>
        <v/>
      </c>
    </row>
    <row r="50" spans="27:29">
      <c r="AA50" s="1">
        <f>IFERROR(AGGREGATE(15,6,'💰 Payments'!$L$8:$L$67/(('💰 Payments'!$L$8:$L$67&lt;&gt;"")*('💰 Payments'!$K$8:$K$67&gt;0)),9),"")</f>
        <v/>
      </c>
      <c r="AB50" s="1">
        <f>IF($AA50="","",INDEX('💰 Payments'!$D$8:$D$67,MATCH($AA50,'💰 Payments'!$L$8:$L$67,0))&amp;" ("&amp;INDEX('💰 Payments'!$C$8:$C$67,MATCH($AA50,'💰 Payments'!$L$8:$L$67,0))&amp;")")</f>
        <v/>
      </c>
      <c r="AC50" s="1">
        <f>IF($AA50="","",INDEX('💰 Payments'!$K$8:$K$67,MATCH($AA50,'💰 Payments'!$L$8:$L$67,0)))</f>
        <v/>
      </c>
    </row>
    <row r="51" spans="27:29">
      <c r="AA51" s="1">
        <f>IFERROR(AGGREGATE(15,6,'💰 Payments'!$L$8:$L$67/(('💰 Payments'!$L$8:$L$67&lt;&gt;"")*('💰 Payments'!$K$8:$K$67&gt;0)),10),"")</f>
        <v/>
      </c>
      <c r="AB51" s="1">
        <f>IF($AA51="","",INDEX('💰 Payments'!$D$8:$D$67,MATCH($AA51,'💰 Payments'!$L$8:$L$67,0))&amp;" ("&amp;INDEX('💰 Payments'!$C$8:$C$67,MATCH($AA51,'💰 Payments'!$L$8:$L$67,0))&amp;")")</f>
        <v/>
      </c>
      <c r="AC51" s="1">
        <f>IF($AA51="","",INDEX('💰 Payments'!$K$8:$K$67,MATCH($AA51,'💰 Payments'!$L$8:$L$67,0)))</f>
        <v/>
      </c>
    </row>
    <row r="52" spans="27:29">
      <c r="AA52" s="1">
        <f>IFERROR(AGGREGATE(15,6,'💰 Payments'!$L$8:$L$67/(('💰 Payments'!$L$8:$L$67&lt;&gt;"")*('💰 Payments'!$K$8:$K$67&gt;0)),11),"")</f>
        <v/>
      </c>
      <c r="AB52" s="1">
        <f>IF($AA52="","",INDEX('💰 Payments'!$D$8:$D$67,MATCH($AA52,'💰 Payments'!$L$8:$L$67,0))&amp;" ("&amp;INDEX('💰 Payments'!$C$8:$C$67,MATCH($AA52,'💰 Payments'!$L$8:$L$67,0))&amp;")")</f>
        <v/>
      </c>
      <c r="AC52" s="1">
        <f>IF($AA52="","",INDEX('💰 Payments'!$K$8:$K$67,MATCH($AA52,'💰 Payments'!$L$8:$L$67,0)))</f>
        <v/>
      </c>
    </row>
    <row r="53" spans="27:29">
      <c r="AA53" s="1">
        <f>IFERROR(AGGREGATE(15,6,'💰 Payments'!$L$8:$L$67/(('💰 Payments'!$L$8:$L$67&lt;&gt;"")*('💰 Payments'!$K$8:$K$67&gt;0)),12),"")</f>
        <v/>
      </c>
      <c r="AB53" s="1">
        <f>IF($AA53="","",INDEX('💰 Payments'!$D$8:$D$67,MATCH($AA53,'💰 Payments'!$L$8:$L$67,0))&amp;" ("&amp;INDEX('💰 Payments'!$C$8:$C$67,MATCH($AA53,'💰 Payments'!$L$8:$L$67,0))&amp;")")</f>
        <v/>
      </c>
      <c r="AC53" s="1">
        <f>IF($AA53="","",INDEX('💰 Payments'!$K$8:$K$67,MATCH($AA53,'💰 Payments'!$L$8:$L$67,0)))</f>
        <v/>
      </c>
    </row>
    <row r="54" spans="27:29">
      <c r="AA54" s="1">
        <f>IFERROR(AGGREGATE(15,6,'💰 Payments'!$L$8:$L$67/(('💰 Payments'!$L$8:$L$67&lt;&gt;"")*('💰 Payments'!$K$8:$K$67&gt;0)),13),"")</f>
        <v/>
      </c>
      <c r="AB54" s="1">
        <f>IF($AA54="","",INDEX('💰 Payments'!$D$8:$D$67,MATCH($AA54,'💰 Payments'!$L$8:$L$67,0))&amp;" ("&amp;INDEX('💰 Payments'!$C$8:$C$67,MATCH($AA54,'💰 Payments'!$L$8:$L$67,0))&amp;")")</f>
        <v/>
      </c>
      <c r="AC54" s="1">
        <f>IF($AA54="","",INDEX('💰 Payments'!$K$8:$K$67,MATCH($AA54,'💰 Payments'!$L$8:$L$67,0)))</f>
        <v/>
      </c>
    </row>
    <row r="55" spans="27:29">
      <c r="AA55" s="1">
        <f>IFERROR(AGGREGATE(15,6,'💰 Payments'!$L$8:$L$67/(('💰 Payments'!$L$8:$L$67&lt;&gt;"")*('💰 Payments'!$K$8:$K$67&gt;0)),14),"")</f>
        <v/>
      </c>
      <c r="AB55" s="1">
        <f>IF($AA55="","",INDEX('💰 Payments'!$D$8:$D$67,MATCH($AA55,'💰 Payments'!$L$8:$L$67,0))&amp;" ("&amp;INDEX('💰 Payments'!$C$8:$C$67,MATCH($AA55,'💰 Payments'!$L$8:$L$67,0))&amp;")")</f>
        <v/>
      </c>
      <c r="AC55" s="1">
        <f>IF($AA55="","",INDEX('💰 Payments'!$K$8:$K$67,MATCH($AA55,'💰 Payments'!$L$8:$L$67,0)))</f>
        <v/>
      </c>
    </row>
    <row r="56" spans="27:29">
      <c r="AA56" s="1">
        <f>IFERROR(AGGREGATE(15,6,'💰 Payments'!$L$8:$L$67/(('💰 Payments'!$L$8:$L$67&lt;&gt;"")*('💰 Payments'!$K$8:$K$67&gt;0)),15),"")</f>
        <v/>
      </c>
      <c r="AB56" s="1">
        <f>IF($AA56="","",INDEX('💰 Payments'!$D$8:$D$67,MATCH($AA56,'💰 Payments'!$L$8:$L$67,0))&amp;" ("&amp;INDEX('💰 Payments'!$C$8:$C$67,MATCH($AA56,'💰 Payments'!$L$8:$L$67,0))&amp;")")</f>
        <v/>
      </c>
      <c r="AC56" s="1">
        <f>IF($AA56="","",INDEX('💰 Payments'!$K$8:$K$67,MATCH($AA56,'💰 Payments'!$L$8:$L$67,0)))</f>
        <v/>
      </c>
    </row>
    <row r="57" spans="27:29">
      <c r="AA57" s="1">
        <f>IFERROR(AGGREGATE(15,6,'💰 Payments'!$L$8:$L$67/(('💰 Payments'!$L$8:$L$67&lt;&gt;"")*('💰 Payments'!$K$8:$K$67&gt;0)),16),"")</f>
        <v/>
      </c>
      <c r="AB57" s="1">
        <f>IF($AA57="","",INDEX('💰 Payments'!$D$8:$D$67,MATCH($AA57,'💰 Payments'!$L$8:$L$67,0))&amp;" ("&amp;INDEX('💰 Payments'!$C$8:$C$67,MATCH($AA57,'💰 Payments'!$L$8:$L$67,0))&amp;")")</f>
        <v/>
      </c>
      <c r="AC57" s="1">
        <f>IF($AA57="","",INDEX('💰 Payments'!$K$8:$K$67,MATCH($AA57,'💰 Payments'!$L$8:$L$67,0)))</f>
        <v/>
      </c>
    </row>
    <row r="58" spans="27:29">
      <c r="AA58" s="1">
        <f>IFERROR(AGGREGATE(15,6,'💰 Payments'!$L$8:$L$67/(('💰 Payments'!$L$8:$L$67&lt;&gt;"")*('💰 Payments'!$K$8:$K$67&gt;0)),17),"")</f>
        <v/>
      </c>
      <c r="AB58" s="1">
        <f>IF($AA58="","",INDEX('💰 Payments'!$D$8:$D$67,MATCH($AA58,'💰 Payments'!$L$8:$L$67,0))&amp;" ("&amp;INDEX('💰 Payments'!$C$8:$C$67,MATCH($AA58,'💰 Payments'!$L$8:$L$67,0))&amp;")")</f>
        <v/>
      </c>
      <c r="AC58" s="1">
        <f>IF($AA58="","",INDEX('💰 Payments'!$K$8:$K$67,MATCH($AA58,'💰 Payments'!$L$8:$L$67,0)))</f>
        <v/>
      </c>
    </row>
    <row r="59" spans="27:29">
      <c r="AA59" s="1">
        <f>IFERROR(AGGREGATE(15,6,'💰 Payments'!$L$8:$L$67/(('💰 Payments'!$L$8:$L$67&lt;&gt;"")*('💰 Payments'!$K$8:$K$67&gt;0)),18),"")</f>
        <v/>
      </c>
      <c r="AB59" s="1">
        <f>IF($AA59="","",INDEX('💰 Payments'!$D$8:$D$67,MATCH($AA59,'💰 Payments'!$L$8:$L$67,0))&amp;" ("&amp;INDEX('💰 Payments'!$C$8:$C$67,MATCH($AA59,'💰 Payments'!$L$8:$L$67,0))&amp;")")</f>
        <v/>
      </c>
      <c r="AC59" s="1">
        <f>IF($AA59="","",INDEX('💰 Payments'!$K$8:$K$67,MATCH($AA59,'💰 Payments'!$L$8:$L$67,0)))</f>
        <v/>
      </c>
    </row>
    <row r="60" spans="27:29">
      <c r="AA60" s="1">
        <f>IFERROR(AGGREGATE(15,6,'💰 Payments'!$L$8:$L$67/(('💰 Payments'!$L$8:$L$67&lt;&gt;"")*('💰 Payments'!$K$8:$K$67&gt;0)),19),"")</f>
        <v/>
      </c>
      <c r="AB60" s="1">
        <f>IF($AA60="","",INDEX('💰 Payments'!$D$8:$D$67,MATCH($AA60,'💰 Payments'!$L$8:$L$67,0))&amp;" ("&amp;INDEX('💰 Payments'!$C$8:$C$67,MATCH($AA60,'💰 Payments'!$L$8:$L$67,0))&amp;")")</f>
        <v/>
      </c>
      <c r="AC60" s="1">
        <f>IF($AA60="","",INDEX('💰 Payments'!$K$8:$K$67,MATCH($AA60,'💰 Payments'!$L$8:$L$67,0)))</f>
        <v/>
      </c>
    </row>
    <row r="61" spans="27:29">
      <c r="AA61" s="1">
        <f>IFERROR(AGGREGATE(15,6,'💰 Payments'!$L$8:$L$67/(('💰 Payments'!$L$8:$L$67&lt;&gt;"")*('💰 Payments'!$K$8:$K$67&gt;0)),20),"")</f>
        <v/>
      </c>
      <c r="AB61" s="1">
        <f>IF($AA61="","",INDEX('💰 Payments'!$D$8:$D$67,MATCH($AA61,'💰 Payments'!$L$8:$L$67,0))&amp;" ("&amp;INDEX('💰 Payments'!$C$8:$C$67,MATCH($AA61,'💰 Payments'!$L$8:$L$67,0))&amp;")")</f>
        <v/>
      </c>
      <c r="AC61" s="1">
        <f>IF($AA61="","",INDEX('💰 Payments'!$K$8:$K$67,MATCH($AA61,'💰 Payments'!$L$8:$L$67,0)))</f>
        <v/>
      </c>
    </row>
    <row r="62" spans="27:29">
      <c r="AA62" s="1">
        <f>IFERROR(AGGREGATE(15,6,'💰 Payments'!$L$8:$L$67/(('💰 Payments'!$L$8:$L$67&lt;&gt;"")*('💰 Payments'!$K$8:$K$67&gt;0)),21),"")</f>
        <v/>
      </c>
      <c r="AB62" s="1">
        <f>IF($AA62="","",INDEX('💰 Payments'!$D$8:$D$67,MATCH($AA62,'💰 Payments'!$L$8:$L$67,0))&amp;" ("&amp;INDEX('💰 Payments'!$C$8:$C$67,MATCH($AA62,'💰 Payments'!$L$8:$L$67,0))&amp;")")</f>
        <v/>
      </c>
      <c r="AC62" s="1">
        <f>IF($AA62="","",INDEX('💰 Payments'!$K$8:$K$67,MATCH($AA62,'💰 Payments'!$L$8:$L$67,0)))</f>
        <v/>
      </c>
    </row>
    <row r="63" spans="27:29">
      <c r="AA63" s="1">
        <f>IFERROR(AGGREGATE(15,6,'💰 Payments'!$L$8:$L$67/(('💰 Payments'!$L$8:$L$67&lt;&gt;"")*('💰 Payments'!$K$8:$K$67&gt;0)),22),"")</f>
        <v/>
      </c>
      <c r="AB63" s="1">
        <f>IF($AA63="","",INDEX('💰 Payments'!$D$8:$D$67,MATCH($AA63,'💰 Payments'!$L$8:$L$67,0))&amp;" ("&amp;INDEX('💰 Payments'!$C$8:$C$67,MATCH($AA63,'💰 Payments'!$L$8:$L$67,0))&amp;")")</f>
        <v/>
      </c>
      <c r="AC63" s="1">
        <f>IF($AA63="","",INDEX('💰 Payments'!$K$8:$K$67,MATCH($AA63,'💰 Payments'!$L$8:$L$67,0)))</f>
        <v/>
      </c>
    </row>
    <row r="64" spans="27:29">
      <c r="AA64" s="1">
        <f>IFERROR(AGGREGATE(15,6,'💰 Payments'!$L$8:$L$67/(('💰 Payments'!$L$8:$L$67&lt;&gt;"")*('💰 Payments'!$K$8:$K$67&gt;0)),23),"")</f>
        <v/>
      </c>
      <c r="AB64" s="1">
        <f>IF($AA64="","",INDEX('💰 Payments'!$D$8:$D$67,MATCH($AA64,'💰 Payments'!$L$8:$L$67,0))&amp;" ("&amp;INDEX('💰 Payments'!$C$8:$C$67,MATCH($AA64,'💰 Payments'!$L$8:$L$67,0))&amp;")")</f>
        <v/>
      </c>
      <c r="AC64" s="1">
        <f>IF($AA64="","",INDEX('💰 Payments'!$K$8:$K$67,MATCH($AA64,'💰 Payments'!$L$8:$L$67,0)))</f>
        <v/>
      </c>
    </row>
    <row r="65" spans="27:29">
      <c r="AA65" s="1">
        <f>IFERROR(AGGREGATE(15,6,'💰 Payments'!$L$8:$L$67/(('💰 Payments'!$L$8:$L$67&lt;&gt;"")*('💰 Payments'!$K$8:$K$67&gt;0)),24),"")</f>
        <v/>
      </c>
      <c r="AB65" s="1">
        <f>IF($AA65="","",INDEX('💰 Payments'!$D$8:$D$67,MATCH($AA65,'💰 Payments'!$L$8:$L$67,0))&amp;" ("&amp;INDEX('💰 Payments'!$C$8:$C$67,MATCH($AA65,'💰 Payments'!$L$8:$L$67,0))&amp;")")</f>
        <v/>
      </c>
      <c r="AC65" s="1">
        <f>IF($AA65="","",INDEX('💰 Payments'!$K$8:$K$67,MATCH($AA65,'💰 Payments'!$L$8:$L$67,0)))</f>
        <v/>
      </c>
    </row>
    <row r="66" spans="27:29">
      <c r="AA66" s="1">
        <f>IFERROR(AGGREGATE(15,6,'💰 Payments'!$L$8:$L$67/(('💰 Payments'!$L$8:$L$67&lt;&gt;"")*('💰 Payments'!$K$8:$K$67&gt;0)),25),"")</f>
        <v/>
      </c>
      <c r="AB66" s="1">
        <f>IF($AA66="","",INDEX('💰 Payments'!$D$8:$D$67,MATCH($AA66,'💰 Payments'!$L$8:$L$67,0))&amp;" ("&amp;INDEX('💰 Payments'!$C$8:$C$67,MATCH($AA66,'💰 Payments'!$L$8:$L$67,0))&amp;")")</f>
        <v/>
      </c>
      <c r="AC66" s="1">
        <f>IF($AA66="","",INDEX('💰 Payments'!$K$8:$K$67,MATCH($AA66,'💰 Payments'!$L$8:$L$67,0)))</f>
        <v/>
      </c>
    </row>
    <row r="67" spans="27:29">
      <c r="AA67" s="1">
        <f>IFERROR(AGGREGATE(15,6,'💰 Payments'!$L$8:$L$67/(('💰 Payments'!$L$8:$L$67&lt;&gt;"")*('💰 Payments'!$K$8:$K$67&gt;0)),26),"")</f>
        <v/>
      </c>
      <c r="AB67" s="1">
        <f>IF($AA67="","",INDEX('💰 Payments'!$D$8:$D$67,MATCH($AA67,'💰 Payments'!$L$8:$L$67,0))&amp;" ("&amp;INDEX('💰 Payments'!$C$8:$C$67,MATCH($AA67,'💰 Payments'!$L$8:$L$67,0))&amp;")")</f>
        <v/>
      </c>
      <c r="AC67" s="1">
        <f>IF($AA67="","",INDEX('💰 Payments'!$K$8:$K$67,MATCH($AA67,'💰 Payments'!$L$8:$L$67,0)))</f>
        <v/>
      </c>
    </row>
    <row r="68" spans="27:29">
      <c r="AA68" s="1">
        <f>IFERROR(AGGREGATE(15,6,'💰 Payments'!$L$8:$L$67/(('💰 Payments'!$L$8:$L$67&lt;&gt;"")*('💰 Payments'!$K$8:$K$67&gt;0)),27),"")</f>
        <v/>
      </c>
      <c r="AB68" s="1">
        <f>IF($AA68="","",INDEX('💰 Payments'!$D$8:$D$67,MATCH($AA68,'💰 Payments'!$L$8:$L$67,0))&amp;" ("&amp;INDEX('💰 Payments'!$C$8:$C$67,MATCH($AA68,'💰 Payments'!$L$8:$L$67,0))&amp;")")</f>
        <v/>
      </c>
      <c r="AC68" s="1">
        <f>IF($AA68="","",INDEX('💰 Payments'!$K$8:$K$67,MATCH($AA68,'💰 Payments'!$L$8:$L$67,0)))</f>
        <v/>
      </c>
    </row>
    <row r="69" spans="27:29">
      <c r="AA69" s="1">
        <f>IFERROR(AGGREGATE(15,6,'💰 Payments'!$L$8:$L$67/(('💰 Payments'!$L$8:$L$67&lt;&gt;"")*('💰 Payments'!$K$8:$K$67&gt;0)),28),"")</f>
        <v/>
      </c>
      <c r="AB69" s="1">
        <f>IF($AA69="","",INDEX('💰 Payments'!$D$8:$D$67,MATCH($AA69,'💰 Payments'!$L$8:$L$67,0))&amp;" ("&amp;INDEX('💰 Payments'!$C$8:$C$67,MATCH($AA69,'💰 Payments'!$L$8:$L$67,0))&amp;")")</f>
        <v/>
      </c>
      <c r="AC69" s="1">
        <f>IF($AA69="","",INDEX('💰 Payments'!$K$8:$K$67,MATCH($AA69,'💰 Payments'!$L$8:$L$67,0)))</f>
        <v/>
      </c>
    </row>
    <row r="70" spans="27:29">
      <c r="AA70" s="1">
        <f>IFERROR(AGGREGATE(15,6,'💰 Payments'!$L$8:$L$67/(('💰 Payments'!$L$8:$L$67&lt;&gt;"")*('💰 Payments'!$K$8:$K$67&gt;0)),29),"")</f>
        <v/>
      </c>
      <c r="AB70" s="1">
        <f>IF($AA70="","",INDEX('💰 Payments'!$D$8:$D$67,MATCH($AA70,'💰 Payments'!$L$8:$L$67,0))&amp;" ("&amp;INDEX('💰 Payments'!$C$8:$C$67,MATCH($AA70,'💰 Payments'!$L$8:$L$67,0))&amp;")")</f>
        <v/>
      </c>
      <c r="AC70" s="1">
        <f>IF($AA70="","",INDEX('💰 Payments'!$K$8:$K$67,MATCH($AA70,'💰 Payments'!$L$8:$L$67,0)))</f>
        <v/>
      </c>
    </row>
    <row r="71" spans="27:29">
      <c r="AA71" s="1">
        <f>IFERROR(AGGREGATE(15,6,'💰 Payments'!$L$8:$L$67/(('💰 Payments'!$L$8:$L$67&lt;&gt;"")*('💰 Payments'!$K$8:$K$67&gt;0)),30),"")</f>
        <v/>
      </c>
      <c r="AB71" s="1">
        <f>IF($AA71="","",INDEX('💰 Payments'!$D$8:$D$67,MATCH($AA71,'💰 Payments'!$L$8:$L$67,0))&amp;" ("&amp;INDEX('💰 Payments'!$C$8:$C$67,MATCH($AA71,'💰 Payments'!$L$8:$L$67,0))&amp;")")</f>
        <v/>
      </c>
      <c r="AC71" s="1">
        <f>IF($AA71="","",INDEX('💰 Payments'!$K$8:$K$67,MATCH($AA71,'💰 Payments'!$L$8:$L$67,0)))</f>
        <v/>
      </c>
    </row>
    <row r="72" spans="27:29">
      <c r="AA72" s="1">
        <f>IFERROR(AGGREGATE(15,6,'💰 Payments'!$L$8:$L$67/(('💰 Payments'!$L$8:$L$67&lt;&gt;"")*('💰 Payments'!$K$8:$K$67&gt;0)),31),"")</f>
        <v/>
      </c>
      <c r="AB72" s="1">
        <f>IF($AA72="","",INDEX('💰 Payments'!$D$8:$D$67,MATCH($AA72,'💰 Payments'!$L$8:$L$67,0))&amp;" ("&amp;INDEX('💰 Payments'!$C$8:$C$67,MATCH($AA72,'💰 Payments'!$L$8:$L$67,0))&amp;")")</f>
        <v/>
      </c>
      <c r="AC72" s="1">
        <f>IF($AA72="","",INDEX('💰 Payments'!$K$8:$K$67,MATCH($AA72,'💰 Payments'!$L$8:$L$67,0)))</f>
        <v/>
      </c>
    </row>
    <row r="73" spans="27:29">
      <c r="AA73" s="1">
        <f>IFERROR(AGGREGATE(15,6,'💰 Payments'!$L$8:$L$67/(('💰 Payments'!$L$8:$L$67&lt;&gt;"")*('💰 Payments'!$K$8:$K$67&gt;0)),32),"")</f>
        <v/>
      </c>
      <c r="AB73" s="1">
        <f>IF($AA73="","",INDEX('💰 Payments'!$D$8:$D$67,MATCH($AA73,'💰 Payments'!$L$8:$L$67,0))&amp;" ("&amp;INDEX('💰 Payments'!$C$8:$C$67,MATCH($AA73,'💰 Payments'!$L$8:$L$67,0))&amp;")")</f>
        <v/>
      </c>
      <c r="AC73" s="1">
        <f>IF($AA73="","",INDEX('💰 Payments'!$K$8:$K$67,MATCH($AA73,'💰 Payments'!$L$8:$L$67,0)))</f>
        <v/>
      </c>
    </row>
    <row r="74" spans="27:29">
      <c r="AA74" s="1">
        <f>IFERROR(AGGREGATE(15,6,'💰 Payments'!$L$8:$L$67/(('💰 Payments'!$L$8:$L$67&lt;&gt;"")*('💰 Payments'!$K$8:$K$67&gt;0)),33),"")</f>
        <v/>
      </c>
      <c r="AB74" s="1">
        <f>IF($AA74="","",INDEX('💰 Payments'!$D$8:$D$67,MATCH($AA74,'💰 Payments'!$L$8:$L$67,0))&amp;" ("&amp;INDEX('💰 Payments'!$C$8:$C$67,MATCH($AA74,'💰 Payments'!$L$8:$L$67,0))&amp;")")</f>
        <v/>
      </c>
      <c r="AC74" s="1">
        <f>IF($AA74="","",INDEX('💰 Payments'!$K$8:$K$67,MATCH($AA74,'💰 Payments'!$L$8:$L$67,0)))</f>
        <v/>
      </c>
    </row>
    <row r="75" spans="27:29">
      <c r="AA75" s="1">
        <f>IFERROR(AGGREGATE(15,6,'💰 Payments'!$L$8:$L$67/(('💰 Payments'!$L$8:$L$67&lt;&gt;"")*('💰 Payments'!$K$8:$K$67&gt;0)),34),"")</f>
        <v/>
      </c>
      <c r="AB75" s="1">
        <f>IF($AA75="","",INDEX('💰 Payments'!$D$8:$D$67,MATCH($AA75,'💰 Payments'!$L$8:$L$67,0))&amp;" ("&amp;INDEX('💰 Payments'!$C$8:$C$67,MATCH($AA75,'💰 Payments'!$L$8:$L$67,0))&amp;")")</f>
        <v/>
      </c>
      <c r="AC75" s="1">
        <f>IF($AA75="","",INDEX('💰 Payments'!$K$8:$K$67,MATCH($AA75,'💰 Payments'!$L$8:$L$67,0)))</f>
        <v/>
      </c>
    </row>
    <row r="76" spans="27:29">
      <c r="AA76" s="1">
        <f>IFERROR(AGGREGATE(15,6,'💰 Payments'!$L$8:$L$67/(('💰 Payments'!$L$8:$L$67&lt;&gt;"")*('💰 Payments'!$K$8:$K$67&gt;0)),35),"")</f>
        <v/>
      </c>
      <c r="AB76" s="1">
        <f>IF($AA76="","",INDEX('💰 Payments'!$D$8:$D$67,MATCH($AA76,'💰 Payments'!$L$8:$L$67,0))&amp;" ("&amp;INDEX('💰 Payments'!$C$8:$C$67,MATCH($AA76,'💰 Payments'!$L$8:$L$67,0))&amp;")")</f>
        <v/>
      </c>
      <c r="AC76" s="1">
        <f>IF($AA76="","",INDEX('💰 Payments'!$K$8:$K$67,MATCH($AA76,'💰 Payments'!$L$8:$L$67,0)))</f>
        <v/>
      </c>
    </row>
    <row r="77" spans="27:29">
      <c r="AA77" s="1">
        <f>IFERROR(AGGREGATE(15,6,'💰 Payments'!$L$8:$L$67/(('💰 Payments'!$L$8:$L$67&lt;&gt;"")*('💰 Payments'!$K$8:$K$67&gt;0)),36),"")</f>
        <v/>
      </c>
      <c r="AB77" s="1">
        <f>IF($AA77="","",INDEX('💰 Payments'!$D$8:$D$67,MATCH($AA77,'💰 Payments'!$L$8:$L$67,0))&amp;" ("&amp;INDEX('💰 Payments'!$C$8:$C$67,MATCH($AA77,'💰 Payments'!$L$8:$L$67,0))&amp;")")</f>
        <v/>
      </c>
      <c r="AC77" s="1">
        <f>IF($AA77="","",INDEX('💰 Payments'!$K$8:$K$67,MATCH($AA77,'💰 Payments'!$L$8:$L$67,0)))</f>
        <v/>
      </c>
    </row>
    <row r="78" spans="27:29">
      <c r="AA78" s="1">
        <f>IFERROR(AGGREGATE(15,6,'💰 Payments'!$L$8:$L$67/(('💰 Payments'!$L$8:$L$67&lt;&gt;"")*('💰 Payments'!$K$8:$K$67&gt;0)),37),"")</f>
        <v/>
      </c>
      <c r="AB78" s="1">
        <f>IF($AA78="","",INDEX('💰 Payments'!$D$8:$D$67,MATCH($AA78,'💰 Payments'!$L$8:$L$67,0))&amp;" ("&amp;INDEX('💰 Payments'!$C$8:$C$67,MATCH($AA78,'💰 Payments'!$L$8:$L$67,0))&amp;")")</f>
        <v/>
      </c>
      <c r="AC78" s="1">
        <f>IF($AA78="","",INDEX('💰 Payments'!$K$8:$K$67,MATCH($AA78,'💰 Payments'!$L$8:$L$67,0)))</f>
        <v/>
      </c>
    </row>
    <row r="79" spans="27:29">
      <c r="AA79" s="1">
        <f>IFERROR(AGGREGATE(15,6,'💰 Payments'!$L$8:$L$67/(('💰 Payments'!$L$8:$L$67&lt;&gt;"")*('💰 Payments'!$K$8:$K$67&gt;0)),38),"")</f>
        <v/>
      </c>
      <c r="AB79" s="1">
        <f>IF($AA79="","",INDEX('💰 Payments'!$D$8:$D$67,MATCH($AA79,'💰 Payments'!$L$8:$L$67,0))&amp;" ("&amp;INDEX('💰 Payments'!$C$8:$C$67,MATCH($AA79,'💰 Payments'!$L$8:$L$67,0))&amp;")")</f>
        <v/>
      </c>
      <c r="AC79" s="1">
        <f>IF($AA79="","",INDEX('💰 Payments'!$K$8:$K$67,MATCH($AA79,'💰 Payments'!$L$8:$L$67,0)))</f>
        <v/>
      </c>
    </row>
    <row r="80" spans="27:29">
      <c r="AA80" s="1">
        <f>IFERROR(AGGREGATE(15,6,'💰 Payments'!$L$8:$L$67/(('💰 Payments'!$L$8:$L$67&lt;&gt;"")*('💰 Payments'!$K$8:$K$67&gt;0)),39),"")</f>
        <v/>
      </c>
      <c r="AB80" s="1">
        <f>IF($AA80="","",INDEX('💰 Payments'!$D$8:$D$67,MATCH($AA80,'💰 Payments'!$L$8:$L$67,0))&amp;" ("&amp;INDEX('💰 Payments'!$C$8:$C$67,MATCH($AA80,'💰 Payments'!$L$8:$L$67,0))&amp;")")</f>
        <v/>
      </c>
      <c r="AC80" s="1">
        <f>IF($AA80="","",INDEX('💰 Payments'!$K$8:$K$67,MATCH($AA80,'💰 Payments'!$L$8:$L$67,0)))</f>
        <v/>
      </c>
    </row>
    <row r="81" spans="27:29">
      <c r="AA81" s="1">
        <f>IFERROR(AGGREGATE(15,6,'💰 Payments'!$L$8:$L$67/(('💰 Payments'!$L$8:$L$67&lt;&gt;"")*('💰 Payments'!$K$8:$K$67&gt;0)),40),"")</f>
        <v/>
      </c>
      <c r="AB81" s="1">
        <f>IF($AA81="","",INDEX('💰 Payments'!$D$8:$D$67,MATCH($AA81,'💰 Payments'!$L$8:$L$67,0))&amp;" ("&amp;INDEX('💰 Payments'!$C$8:$C$67,MATCH($AA81,'💰 Payments'!$L$8:$L$67,0))&amp;")")</f>
        <v/>
      </c>
      <c r="AC81" s="1">
        <f>IF($AA81="","",INDEX('💰 Payments'!$K$8:$K$67,MATCH($AA81,'💰 Payments'!$L$8:$L$67,0)))</f>
        <v/>
      </c>
    </row>
    <row r="82" spans="27:29">
      <c r="AA82" s="1">
        <f>IFERROR(AGGREGATE(15,6,'💰 Payments'!$L$8:$L$67/(('💰 Payments'!$L$8:$L$67&lt;&gt;"")*('💰 Payments'!$K$8:$K$67&gt;0)),41),"")</f>
        <v/>
      </c>
      <c r="AB82" s="1">
        <f>IF($AA82="","",INDEX('💰 Payments'!$D$8:$D$67,MATCH($AA82,'💰 Payments'!$L$8:$L$67,0))&amp;" ("&amp;INDEX('💰 Payments'!$C$8:$C$67,MATCH($AA82,'💰 Payments'!$L$8:$L$67,0))&amp;")")</f>
        <v/>
      </c>
      <c r="AC82" s="1">
        <f>IF($AA82="","",INDEX('💰 Payments'!$K$8:$K$67,MATCH($AA82,'💰 Payments'!$L$8:$L$67,0)))</f>
        <v/>
      </c>
    </row>
    <row r="83" spans="27:29">
      <c r="AA83" s="1">
        <f>IFERROR(AGGREGATE(15,6,'💰 Payments'!$L$8:$L$67/(('💰 Payments'!$L$8:$L$67&lt;&gt;"")*('💰 Payments'!$K$8:$K$67&gt;0)),42),"")</f>
        <v/>
      </c>
      <c r="AB83" s="1">
        <f>IF($AA83="","",INDEX('💰 Payments'!$D$8:$D$67,MATCH($AA83,'💰 Payments'!$L$8:$L$67,0))&amp;" ("&amp;INDEX('💰 Payments'!$C$8:$C$67,MATCH($AA83,'💰 Payments'!$L$8:$L$67,0))&amp;")")</f>
        <v/>
      </c>
      <c r="AC83" s="1">
        <f>IF($AA83="","",INDEX('💰 Payments'!$K$8:$K$67,MATCH($AA83,'💰 Payments'!$L$8:$L$67,0)))</f>
        <v/>
      </c>
    </row>
    <row r="84" spans="27:29">
      <c r="AA84" s="1">
        <f>IFERROR(AGGREGATE(15,6,'💰 Payments'!$L$8:$L$67/(('💰 Payments'!$L$8:$L$67&lt;&gt;"")*('💰 Payments'!$K$8:$K$67&gt;0)),43),"")</f>
        <v/>
      </c>
      <c r="AB84" s="1">
        <f>IF($AA84="","",INDEX('💰 Payments'!$D$8:$D$67,MATCH($AA84,'💰 Payments'!$L$8:$L$67,0))&amp;" ("&amp;INDEX('💰 Payments'!$C$8:$C$67,MATCH($AA84,'💰 Payments'!$L$8:$L$67,0))&amp;")")</f>
        <v/>
      </c>
      <c r="AC84" s="1">
        <f>IF($AA84="","",INDEX('💰 Payments'!$K$8:$K$67,MATCH($AA84,'💰 Payments'!$L$8:$L$67,0)))</f>
        <v/>
      </c>
    </row>
    <row r="85" spans="27:29">
      <c r="AA85" s="1">
        <f>IFERROR(AGGREGATE(15,6,'💰 Payments'!$L$8:$L$67/(('💰 Payments'!$L$8:$L$67&lt;&gt;"")*('💰 Payments'!$K$8:$K$67&gt;0)),44),"")</f>
        <v/>
      </c>
      <c r="AB85" s="1">
        <f>IF($AA85="","",INDEX('💰 Payments'!$D$8:$D$67,MATCH($AA85,'💰 Payments'!$L$8:$L$67,0))&amp;" ("&amp;INDEX('💰 Payments'!$C$8:$C$67,MATCH($AA85,'💰 Payments'!$L$8:$L$67,0))&amp;")")</f>
        <v/>
      </c>
      <c r="AC85" s="1">
        <f>IF($AA85="","",INDEX('💰 Payments'!$K$8:$K$67,MATCH($AA85,'💰 Payments'!$L$8:$L$67,0)))</f>
        <v/>
      </c>
    </row>
    <row r="86" spans="27:29">
      <c r="AA86" s="1">
        <f>IFERROR(AGGREGATE(15,6,'💰 Payments'!$L$8:$L$67/(('💰 Payments'!$L$8:$L$67&lt;&gt;"")*('💰 Payments'!$K$8:$K$67&gt;0)),45),"")</f>
        <v/>
      </c>
      <c r="AB86" s="1">
        <f>IF($AA86="","",INDEX('💰 Payments'!$D$8:$D$67,MATCH($AA86,'💰 Payments'!$L$8:$L$67,0))&amp;" ("&amp;INDEX('💰 Payments'!$C$8:$C$67,MATCH($AA86,'💰 Payments'!$L$8:$L$67,0))&amp;")")</f>
        <v/>
      </c>
      <c r="AC86" s="1">
        <f>IF($AA86="","",INDEX('💰 Payments'!$K$8:$K$67,MATCH($AA86,'💰 Payments'!$L$8:$L$67,0)))</f>
        <v/>
      </c>
    </row>
    <row r="87" spans="27:29">
      <c r="AA87" s="1">
        <f>IFERROR(AGGREGATE(15,6,'💰 Payments'!$L$8:$L$67/(('💰 Payments'!$L$8:$L$67&lt;&gt;"")*('💰 Payments'!$K$8:$K$67&gt;0)),46),"")</f>
        <v/>
      </c>
      <c r="AB87" s="1">
        <f>IF($AA87="","",INDEX('💰 Payments'!$D$8:$D$67,MATCH($AA87,'💰 Payments'!$L$8:$L$67,0))&amp;" ("&amp;INDEX('💰 Payments'!$C$8:$C$67,MATCH($AA87,'💰 Payments'!$L$8:$L$67,0))&amp;")")</f>
        <v/>
      </c>
      <c r="AC87" s="1">
        <f>IF($AA87="","",INDEX('💰 Payments'!$K$8:$K$67,MATCH($AA87,'💰 Payments'!$L$8:$L$67,0)))</f>
        <v/>
      </c>
    </row>
    <row r="88" spans="27:29">
      <c r="AA88" s="1">
        <f>IFERROR(AGGREGATE(15,6,'💰 Payments'!$L$8:$L$67/(('💰 Payments'!$L$8:$L$67&lt;&gt;"")*('💰 Payments'!$K$8:$K$67&gt;0)),47),"")</f>
        <v/>
      </c>
      <c r="AB88" s="1">
        <f>IF($AA88="","",INDEX('💰 Payments'!$D$8:$D$67,MATCH($AA88,'💰 Payments'!$L$8:$L$67,0))&amp;" ("&amp;INDEX('💰 Payments'!$C$8:$C$67,MATCH($AA88,'💰 Payments'!$L$8:$L$67,0))&amp;")")</f>
        <v/>
      </c>
      <c r="AC88" s="1">
        <f>IF($AA88="","",INDEX('💰 Payments'!$K$8:$K$67,MATCH($AA88,'💰 Payments'!$L$8:$L$67,0)))</f>
        <v/>
      </c>
    </row>
    <row r="89" spans="27:29">
      <c r="AA89" s="1">
        <f>IFERROR(AGGREGATE(15,6,'💰 Payments'!$L$8:$L$67/(('💰 Payments'!$L$8:$L$67&lt;&gt;"")*('💰 Payments'!$K$8:$K$67&gt;0)),48),"")</f>
        <v/>
      </c>
      <c r="AB89" s="1">
        <f>IF($AA89="","",INDEX('💰 Payments'!$D$8:$D$67,MATCH($AA89,'💰 Payments'!$L$8:$L$67,0))&amp;" ("&amp;INDEX('💰 Payments'!$C$8:$C$67,MATCH($AA89,'💰 Payments'!$L$8:$L$67,0))&amp;")")</f>
        <v/>
      </c>
      <c r="AC89" s="1">
        <f>IF($AA89="","",INDEX('💰 Payments'!$K$8:$K$67,MATCH($AA89,'💰 Payments'!$L$8:$L$67,0)))</f>
        <v/>
      </c>
    </row>
    <row r="90" spans="27:29">
      <c r="AA90" s="1">
        <f>IFERROR(AGGREGATE(15,6,'💰 Payments'!$L$8:$L$67/(('💰 Payments'!$L$8:$L$67&lt;&gt;"")*('💰 Payments'!$K$8:$K$67&gt;0)),49),"")</f>
        <v/>
      </c>
      <c r="AB90" s="1">
        <f>IF($AA90="","",INDEX('💰 Payments'!$D$8:$D$67,MATCH($AA90,'💰 Payments'!$L$8:$L$67,0))&amp;" ("&amp;INDEX('💰 Payments'!$C$8:$C$67,MATCH($AA90,'💰 Payments'!$L$8:$L$67,0))&amp;")")</f>
        <v/>
      </c>
      <c r="AC90" s="1">
        <f>IF($AA90="","",INDEX('💰 Payments'!$K$8:$K$67,MATCH($AA90,'💰 Payments'!$L$8:$L$67,0)))</f>
        <v/>
      </c>
    </row>
    <row r="91" spans="27:29">
      <c r="AA91" s="1">
        <f>IFERROR(AGGREGATE(15,6,'💰 Payments'!$L$8:$L$67/(('💰 Payments'!$L$8:$L$67&lt;&gt;"")*('💰 Payments'!$K$8:$K$67&gt;0)),50),"")</f>
        <v/>
      </c>
      <c r="AB91" s="1">
        <f>IF($AA91="","",INDEX('💰 Payments'!$D$8:$D$67,MATCH($AA91,'💰 Payments'!$L$8:$L$67,0))&amp;" ("&amp;INDEX('💰 Payments'!$C$8:$C$67,MATCH($AA91,'💰 Payments'!$L$8:$L$67,0))&amp;")")</f>
        <v/>
      </c>
      <c r="AC91" s="1">
        <f>IF($AA91="","",INDEX('💰 Payments'!$K$8:$K$67,MATCH($AA91,'💰 Payments'!$L$8:$L$67,0)))</f>
        <v/>
      </c>
    </row>
    <row r="92" spans="27:29">
      <c r="AA92" s="1">
        <f>IFERROR(AGGREGATE(15,6,'💰 Payments'!$L$8:$L$67/(('💰 Payments'!$L$8:$L$67&lt;&gt;"")*('💰 Payments'!$K$8:$K$67&gt;0)),51),"")</f>
        <v/>
      </c>
      <c r="AB92" s="1">
        <f>IF($AA92="","",INDEX('💰 Payments'!$D$8:$D$67,MATCH($AA92,'💰 Payments'!$L$8:$L$67,0))&amp;" ("&amp;INDEX('💰 Payments'!$C$8:$C$67,MATCH($AA92,'💰 Payments'!$L$8:$L$67,0))&amp;")")</f>
        <v/>
      </c>
      <c r="AC92" s="1">
        <f>IF($AA92="","",INDEX('💰 Payments'!$K$8:$K$67,MATCH($AA92,'💰 Payments'!$L$8:$L$67,0)))</f>
        <v/>
      </c>
    </row>
    <row r="93" spans="27:29">
      <c r="AA93" s="1">
        <f>IFERROR(AGGREGATE(15,6,'💰 Payments'!$L$8:$L$67/(('💰 Payments'!$L$8:$L$67&lt;&gt;"")*('💰 Payments'!$K$8:$K$67&gt;0)),52),"")</f>
        <v/>
      </c>
      <c r="AB93" s="1">
        <f>IF($AA93="","",INDEX('💰 Payments'!$D$8:$D$67,MATCH($AA93,'💰 Payments'!$L$8:$L$67,0))&amp;" ("&amp;INDEX('💰 Payments'!$C$8:$C$67,MATCH($AA93,'💰 Payments'!$L$8:$L$67,0))&amp;")")</f>
        <v/>
      </c>
      <c r="AC93" s="1">
        <f>IF($AA93="","",INDEX('💰 Payments'!$K$8:$K$67,MATCH($AA93,'💰 Payments'!$L$8:$L$67,0)))</f>
        <v/>
      </c>
    </row>
    <row r="94" spans="27:29">
      <c r="AA94" s="1">
        <f>IFERROR(AGGREGATE(15,6,'💰 Payments'!$L$8:$L$67/(('💰 Payments'!$L$8:$L$67&lt;&gt;"")*('💰 Payments'!$K$8:$K$67&gt;0)),53),"")</f>
        <v/>
      </c>
      <c r="AB94" s="1">
        <f>IF($AA94="","",INDEX('💰 Payments'!$D$8:$D$67,MATCH($AA94,'💰 Payments'!$L$8:$L$67,0))&amp;" ("&amp;INDEX('💰 Payments'!$C$8:$C$67,MATCH($AA94,'💰 Payments'!$L$8:$L$67,0))&amp;")")</f>
        <v/>
      </c>
      <c r="AC94" s="1">
        <f>IF($AA94="","",INDEX('💰 Payments'!$K$8:$K$67,MATCH($AA94,'💰 Payments'!$L$8:$L$67,0)))</f>
        <v/>
      </c>
    </row>
    <row r="95" spans="27:29">
      <c r="AA95" s="1">
        <f>IFERROR(AGGREGATE(15,6,'💰 Payments'!$L$8:$L$67/(('💰 Payments'!$L$8:$L$67&lt;&gt;"")*('💰 Payments'!$K$8:$K$67&gt;0)),54),"")</f>
        <v/>
      </c>
      <c r="AB95" s="1">
        <f>IF($AA95="","",INDEX('💰 Payments'!$D$8:$D$67,MATCH($AA95,'💰 Payments'!$L$8:$L$67,0))&amp;" ("&amp;INDEX('💰 Payments'!$C$8:$C$67,MATCH($AA95,'💰 Payments'!$L$8:$L$67,0))&amp;")")</f>
        <v/>
      </c>
      <c r="AC95" s="1">
        <f>IF($AA95="","",INDEX('💰 Payments'!$K$8:$K$67,MATCH($AA95,'💰 Payments'!$L$8:$L$67,0)))</f>
        <v/>
      </c>
    </row>
    <row r="96" spans="27:29">
      <c r="AA96" s="1">
        <f>IFERROR(AGGREGATE(15,6,'💰 Payments'!$L$8:$L$67/(('💰 Payments'!$L$8:$L$67&lt;&gt;"")*('💰 Payments'!$K$8:$K$67&gt;0)),55),"")</f>
        <v/>
      </c>
      <c r="AB96" s="1">
        <f>IF($AA96="","",INDEX('💰 Payments'!$D$8:$D$67,MATCH($AA96,'💰 Payments'!$L$8:$L$67,0))&amp;" ("&amp;INDEX('💰 Payments'!$C$8:$C$67,MATCH($AA96,'💰 Payments'!$L$8:$L$67,0))&amp;")")</f>
        <v/>
      </c>
      <c r="AC96" s="1">
        <f>IF($AA96="","",INDEX('💰 Payments'!$K$8:$K$67,MATCH($AA96,'💰 Payments'!$L$8:$L$67,0)))</f>
        <v/>
      </c>
    </row>
    <row r="97" spans="27:29">
      <c r="AA97" s="1">
        <f>IFERROR(AGGREGATE(15,6,'💰 Payments'!$L$8:$L$67/(('💰 Payments'!$L$8:$L$67&lt;&gt;"")*('💰 Payments'!$K$8:$K$67&gt;0)),56),"")</f>
        <v/>
      </c>
      <c r="AB97" s="1">
        <f>IF($AA97="","",INDEX('💰 Payments'!$D$8:$D$67,MATCH($AA97,'💰 Payments'!$L$8:$L$67,0))&amp;" ("&amp;INDEX('💰 Payments'!$C$8:$C$67,MATCH($AA97,'💰 Payments'!$L$8:$L$67,0))&amp;")")</f>
        <v/>
      </c>
      <c r="AC97" s="1">
        <f>IF($AA97="","",INDEX('💰 Payments'!$K$8:$K$67,MATCH($AA97,'💰 Payments'!$L$8:$L$67,0)))</f>
        <v/>
      </c>
    </row>
    <row r="98" spans="27:29">
      <c r="AA98" s="1">
        <f>IFERROR(AGGREGATE(15,6,'💰 Payments'!$L$8:$L$67/(('💰 Payments'!$L$8:$L$67&lt;&gt;"")*('💰 Payments'!$K$8:$K$67&gt;0)),57),"")</f>
        <v/>
      </c>
      <c r="AB98" s="1">
        <f>IF($AA98="","",INDEX('💰 Payments'!$D$8:$D$67,MATCH($AA98,'💰 Payments'!$L$8:$L$67,0))&amp;" ("&amp;INDEX('💰 Payments'!$C$8:$C$67,MATCH($AA98,'💰 Payments'!$L$8:$L$67,0))&amp;")")</f>
        <v/>
      </c>
      <c r="AC98" s="1">
        <f>IF($AA98="","",INDEX('💰 Payments'!$K$8:$K$67,MATCH($AA98,'💰 Payments'!$L$8:$L$67,0)))</f>
        <v/>
      </c>
    </row>
    <row r="99" spans="27:29">
      <c r="AA99" s="1">
        <f>IFERROR(AGGREGATE(15,6,'💰 Payments'!$L$8:$L$67/(('💰 Payments'!$L$8:$L$67&lt;&gt;"")*('💰 Payments'!$K$8:$K$67&gt;0)),58),"")</f>
        <v/>
      </c>
      <c r="AB99" s="1">
        <f>IF($AA99="","",INDEX('💰 Payments'!$D$8:$D$67,MATCH($AA99,'💰 Payments'!$L$8:$L$67,0))&amp;" ("&amp;INDEX('💰 Payments'!$C$8:$C$67,MATCH($AA99,'💰 Payments'!$L$8:$L$67,0))&amp;")")</f>
        <v/>
      </c>
      <c r="AC99" s="1">
        <f>IF($AA99="","",INDEX('💰 Payments'!$K$8:$K$67,MATCH($AA99,'💰 Payments'!$L$8:$L$67,0)))</f>
        <v/>
      </c>
    </row>
    <row r="100" spans="27:29">
      <c r="AA100" s="1">
        <f>IFERROR(AGGREGATE(15,6,'💰 Payments'!$L$8:$L$67/(('💰 Payments'!$L$8:$L$67&lt;&gt;"")*('💰 Payments'!$K$8:$K$67&gt;0)),59),"")</f>
        <v/>
      </c>
      <c r="AB100" s="1">
        <f>IF($AA100="","",INDEX('💰 Payments'!$D$8:$D$67,MATCH($AA100,'💰 Payments'!$L$8:$L$67,0))&amp;" ("&amp;INDEX('💰 Payments'!$C$8:$C$67,MATCH($AA100,'💰 Payments'!$L$8:$L$67,0))&amp;")")</f>
        <v/>
      </c>
      <c r="AC100" s="1">
        <f>IF($AA100="","",INDEX('💰 Payments'!$K$8:$K$67,MATCH($AA100,'💰 Payments'!$L$8:$L$67,0)))</f>
        <v/>
      </c>
    </row>
    <row r="101" spans="27:29">
      <c r="AA101" s="1">
        <f>IFERROR(AGGREGATE(15,6,'💰 Payments'!$L$8:$L$67/(('💰 Payments'!$L$8:$L$67&lt;&gt;"")*('💰 Payments'!$K$8:$K$67&gt;0)),60),"")</f>
        <v/>
      </c>
      <c r="AB101" s="1">
        <f>IF($AA101="","",INDEX('💰 Payments'!$D$8:$D$67,MATCH($AA101,'💰 Payments'!$L$8:$L$67,0))&amp;" ("&amp;INDEX('💰 Payments'!$C$8:$C$67,MATCH($AA101,'💰 Payments'!$L$8:$L$67,0))&amp;")")</f>
        <v/>
      </c>
      <c r="AC101" s="1">
        <f>IF($AA101="","",INDEX('💰 Payments'!$K$8:$K$67,MATCH($AA101,'💰 Payments'!$L$8:$L$67,0)))</f>
        <v/>
      </c>
    </row>
  </sheetData>
  <pageMargins left="0.4" right="0.4" top="0.5" bottom="0.5" header="0.3" footer="0.3"/>
  <pageSetup paperSize="9" orientation="portrait"/>
  <headerFooter>
    <oddHeader>&amp;L&amp;"Calibri,Bold"&amp;11Catering Business Manager&amp;R&amp;"Calibri,Italic"&amp;9Page &amp;P of &amp;N</oddHeader>
    <oddFooter>&amp;C&amp;"Calibri,Italic"&amp;8&amp;A  •  Ultimate Catering Business Spreadsheet v1.0  •  personal licence</oddFooter>
  </headerFooter>
</worksheet>
</file>

<file path=xl/worksheets/sheet2.xml><?xml version="1.0" encoding="utf-8"?>
<worksheet xmlns="http://schemas.openxmlformats.org/spreadsheetml/2006/main" xmlns:r="http://schemas.openxmlformats.org/officeDocument/2006/relationships">
  <sheetPr>
    <tabColor rgb="FF56806A"/>
    <pageSetUpPr fitToPage="1"/>
  </sheetPr>
  <dimension ref="A1:H60"/>
  <sheetViews>
    <sheetView showGridLines="0" workbookViewId="0"/>
  </sheetViews>
  <sheetFormatPr defaultRowHeight="15"/>
  <cols>
    <col min="1" max="1" width="2.85546875" customWidth="1"/>
    <col min="2" max="2" width="22.7109375" customWidth="1"/>
    <col min="3" max="4" width="13.7109375" customWidth="1"/>
    <col min="5" max="7" width="15.7109375" customWidth="1"/>
    <col min="8" max="8" width="46.7109375" customWidth="1"/>
    <col min="9" max="9" width="4.7109375" customWidth="1"/>
  </cols>
  <sheetData>
    <row r="1" spans="2:8" ht="20" customHeight="1"/>
    <row r="2" spans="2:8" ht="30" customHeight="1">
      <c r="B2" s="3" t="s">
        <v>95</v>
      </c>
      <c r="C2" s="3"/>
      <c r="D2" s="3"/>
      <c r="E2" s="3"/>
      <c r="F2" s="3"/>
      <c r="G2" s="4"/>
      <c r="H2" s="4"/>
    </row>
    <row r="3" spans="2:8" ht="18" customHeight="1">
      <c r="B3" s="5" t="s">
        <v>96</v>
      </c>
      <c r="C3" s="5"/>
      <c r="D3" s="5"/>
      <c r="E3" s="5"/>
      <c r="F3" s="5"/>
      <c r="G3" s="6" t="s">
        <v>97</v>
      </c>
      <c r="H3" s="6"/>
    </row>
    <row r="4" spans="2:8" ht="20" customHeight="1"/>
    <row r="5" spans="2:8" ht="20" customHeight="1">
      <c r="B5" s="7" t="s">
        <v>98</v>
      </c>
      <c r="C5" s="7"/>
      <c r="D5" s="7"/>
      <c r="E5" s="7"/>
      <c r="F5" s="7"/>
      <c r="G5" s="7"/>
      <c r="H5" s="7"/>
    </row>
    <row r="6" spans="2:8" ht="20" customHeight="1">
      <c r="B6" s="8" t="s">
        <v>99</v>
      </c>
      <c r="C6" s="9"/>
      <c r="D6" s="9"/>
      <c r="E6" s="9"/>
      <c r="H6" s="1" t="s">
        <v>100</v>
      </c>
    </row>
    <row r="7" spans="2:8" ht="20" customHeight="1">
      <c r="B7" s="8" t="s">
        <v>101</v>
      </c>
      <c r="C7" s="9"/>
      <c r="D7" s="9"/>
      <c r="E7" s="9"/>
      <c r="H7" s="1" t="s">
        <v>102</v>
      </c>
    </row>
    <row r="8" spans="2:8" ht="20" customHeight="1"/>
    <row r="9" spans="2:8" ht="20" customHeight="1">
      <c r="B9" s="7" t="s">
        <v>103</v>
      </c>
      <c r="C9" s="7"/>
      <c r="D9" s="7"/>
      <c r="E9" s="7"/>
      <c r="F9" s="7"/>
      <c r="G9" s="7"/>
      <c r="H9" s="7"/>
    </row>
    <row r="10" spans="2:8" ht="20" customHeight="1">
      <c r="B10" s="8" t="s">
        <v>104</v>
      </c>
      <c r="C10" s="10" t="s">
        <v>105</v>
      </c>
      <c r="D10" s="10"/>
      <c r="H10" s="1" t="s">
        <v>106</v>
      </c>
    </row>
    <row r="11" spans="2:8" ht="20" customHeight="1">
      <c r="B11" s="8" t="s">
        <v>107</v>
      </c>
      <c r="C11" s="11">
        <v>0</v>
      </c>
      <c r="D11" s="11"/>
      <c r="H11" s="1" t="s">
        <v>108</v>
      </c>
    </row>
    <row r="12" spans="2:8" ht="20" customHeight="1">
      <c r="B12" s="8" t="s">
        <v>109</v>
      </c>
      <c r="C12" s="11">
        <v>0.35</v>
      </c>
      <c r="D12" s="11"/>
      <c r="H12" s="1" t="s">
        <v>110</v>
      </c>
    </row>
    <row r="13" spans="2:8" ht="20" customHeight="1">
      <c r="B13" s="8" t="s">
        <v>111</v>
      </c>
      <c r="C13" s="11">
        <v>0.4</v>
      </c>
      <c r="D13" s="11"/>
      <c r="H13" s="1" t="s">
        <v>112</v>
      </c>
    </row>
    <row r="14" spans="2:8" ht="20" customHeight="1">
      <c r="B14" s="8" t="s">
        <v>113</v>
      </c>
      <c r="C14" s="10">
        <v>7</v>
      </c>
      <c r="D14" s="10"/>
      <c r="H14" s="1" t="s">
        <v>114</v>
      </c>
    </row>
    <row r="15" spans="2:8" ht="20" customHeight="1">
      <c r="B15" s="8" t="s">
        <v>115</v>
      </c>
      <c r="C15" s="10">
        <v>2026</v>
      </c>
      <c r="D15" s="10"/>
      <c r="H15" s="1" t="s">
        <v>116</v>
      </c>
    </row>
    <row r="16" spans="2:8" ht="20" customHeight="1"/>
    <row r="17" spans="1:8" ht="20" customHeight="1">
      <c r="B17" s="7" t="s">
        <v>117</v>
      </c>
      <c r="C17" s="7"/>
      <c r="D17" s="7"/>
      <c r="E17" s="7"/>
      <c r="F17" s="7"/>
      <c r="G17" s="7"/>
      <c r="H17" s="7"/>
    </row>
    <row r="18" spans="1:8" ht="20" customHeight="1">
      <c r="B18" s="8" t="s">
        <v>118</v>
      </c>
      <c r="C18" s="12">
        <v>9</v>
      </c>
      <c r="D18" s="12"/>
      <c r="H18" s="1" t="s">
        <v>120</v>
      </c>
    </row>
    <row r="19" spans="1:8" ht="20" customHeight="1">
      <c r="B19" s="8" t="s">
        <v>119</v>
      </c>
      <c r="C19" s="10">
        <v>2026</v>
      </c>
      <c r="D19" s="10"/>
    </row>
    <row r="20" spans="1:8" ht="20" customHeight="1"/>
    <row r="21" spans="1:8" ht="20" customHeight="1">
      <c r="B21" s="13" t="s">
        <v>121</v>
      </c>
      <c r="C21" s="13"/>
      <c r="D21" s="13"/>
      <c r="E21" s="13"/>
      <c r="F21" s="13"/>
      <c r="G21" s="13"/>
      <c r="H21" s="13"/>
    </row>
    <row r="22" spans="1:8" ht="20" customHeight="1">
      <c r="A22" s="2" t="s">
        <v>122</v>
      </c>
      <c r="B22" s="2" t="s">
        <v>123</v>
      </c>
      <c r="C22" s="2" t="s">
        <v>126</v>
      </c>
      <c r="D22" s="2" t="s">
        <v>127</v>
      </c>
      <c r="E22" s="2" t="s">
        <v>125</v>
      </c>
      <c r="F22" s="2" t="s">
        <v>124</v>
      </c>
    </row>
    <row r="23" spans="1:8" ht="20" customHeight="1">
      <c r="A23" s="9" t="s">
        <v>33</v>
      </c>
      <c r="B23" s="9" t="s">
        <v>20</v>
      </c>
      <c r="C23" s="9" t="s">
        <v>140</v>
      </c>
      <c r="D23" s="9" t="s">
        <v>145</v>
      </c>
      <c r="E23" s="9" t="s">
        <v>134</v>
      </c>
      <c r="F23" s="9" t="s">
        <v>128</v>
      </c>
    </row>
    <row r="24" spans="1:8" ht="20" customHeight="1">
      <c r="A24" s="14" t="s">
        <v>34</v>
      </c>
      <c r="B24" s="14" t="s">
        <v>21</v>
      </c>
      <c r="C24" s="14" t="s">
        <v>141</v>
      </c>
      <c r="D24" s="14" t="s">
        <v>146</v>
      </c>
      <c r="E24" s="14" t="s">
        <v>135</v>
      </c>
      <c r="F24" s="14" t="s">
        <v>129</v>
      </c>
    </row>
    <row r="25" spans="1:8" ht="20" customHeight="1">
      <c r="A25" s="9" t="s">
        <v>35</v>
      </c>
      <c r="B25" s="9" t="s">
        <v>22</v>
      </c>
      <c r="C25" s="9" t="s">
        <v>142</v>
      </c>
      <c r="D25" s="9" t="s">
        <v>147</v>
      </c>
      <c r="E25" s="9" t="s">
        <v>136</v>
      </c>
      <c r="F25" s="9" t="s">
        <v>130</v>
      </c>
    </row>
    <row r="26" spans="1:8" ht="20" customHeight="1">
      <c r="A26" s="14" t="s">
        <v>36</v>
      </c>
      <c r="B26" s="14" t="s">
        <v>23</v>
      </c>
      <c r="C26" s="14" t="s">
        <v>143</v>
      </c>
      <c r="D26" s="14" t="s">
        <v>148</v>
      </c>
      <c r="E26" s="14" t="s">
        <v>137</v>
      </c>
      <c r="F26" s="14" t="s">
        <v>131</v>
      </c>
    </row>
    <row r="27" spans="1:8" ht="20" customHeight="1">
      <c r="A27" s="9" t="s">
        <v>37</v>
      </c>
      <c r="B27" s="9" t="s">
        <v>24</v>
      </c>
      <c r="C27" s="9" t="s">
        <v>144</v>
      </c>
      <c r="D27" s="9" t="s">
        <v>149</v>
      </c>
      <c r="E27" s="9" t="s">
        <v>138</v>
      </c>
      <c r="F27" s="9" t="s">
        <v>132</v>
      </c>
    </row>
    <row r="28" spans="1:8" ht="20" customHeight="1">
      <c r="A28" s="14" t="s">
        <v>38</v>
      </c>
      <c r="B28" s="14" t="s">
        <v>25</v>
      </c>
      <c r="C28" s="14" t="s">
        <v>41</v>
      </c>
      <c r="D28" s="14" t="s">
        <v>150</v>
      </c>
      <c r="E28" s="14" t="s">
        <v>139</v>
      </c>
      <c r="F28" s="14" t="s">
        <v>133</v>
      </c>
    </row>
    <row r="29" spans="1:8" ht="20" customHeight="1">
      <c r="A29" s="9" t="s">
        <v>39</v>
      </c>
      <c r="B29" s="9" t="s">
        <v>26</v>
      </c>
      <c r="C29" s="9"/>
      <c r="D29" s="9" t="s">
        <v>151</v>
      </c>
      <c r="E29" s="9" t="s">
        <v>41</v>
      </c>
      <c r="F29" s="9" t="s">
        <v>21</v>
      </c>
    </row>
    <row r="30" spans="1:8" ht="20" customHeight="1">
      <c r="A30" s="14" t="s">
        <v>40</v>
      </c>
      <c r="B30" s="14" t="s">
        <v>27</v>
      </c>
      <c r="C30" s="14"/>
      <c r="D30" s="14" t="s">
        <v>152</v>
      </c>
      <c r="E30" s="14"/>
      <c r="F30" s="14" t="s">
        <v>41</v>
      </c>
    </row>
    <row r="31" spans="1:8" ht="20" customHeight="1">
      <c r="A31" s="9" t="s">
        <v>41</v>
      </c>
      <c r="B31" s="9" t="s">
        <v>28</v>
      </c>
      <c r="C31" s="9"/>
      <c r="D31" s="9" t="s">
        <v>153</v>
      </c>
      <c r="E31" s="9"/>
      <c r="F31" s="9"/>
    </row>
    <row r="32" spans="1:8" ht="20" customHeight="1">
      <c r="A32" s="14"/>
      <c r="B32" s="14" t="s">
        <v>29</v>
      </c>
      <c r="C32" s="14"/>
      <c r="D32" s="14" t="s">
        <v>41</v>
      </c>
      <c r="E32" s="14"/>
      <c r="F32" s="14"/>
    </row>
    <row r="33" spans="1:8" ht="20" customHeight="1">
      <c r="A33" s="9"/>
      <c r="B33" s="9" t="s">
        <v>30</v>
      </c>
      <c r="C33" s="9"/>
      <c r="D33" s="9"/>
      <c r="E33" s="9"/>
      <c r="F33" s="9"/>
    </row>
    <row r="34" spans="1:8" ht="20" customHeight="1">
      <c r="A34" s="14"/>
      <c r="B34" s="14"/>
      <c r="C34" s="14"/>
      <c r="D34" s="14"/>
      <c r="E34" s="14"/>
      <c r="F34" s="14"/>
    </row>
    <row r="35" spans="1:8" ht="20" customHeight="1">
      <c r="A35" s="9"/>
      <c r="B35" s="9"/>
      <c r="C35" s="9"/>
      <c r="D35" s="9"/>
      <c r="E35" s="9"/>
      <c r="F35" s="9"/>
    </row>
    <row r="36" spans="1:8" ht="20" customHeight="1">
      <c r="A36" s="14"/>
      <c r="B36" s="14"/>
      <c r="C36" s="14"/>
      <c r="D36" s="14"/>
      <c r="E36" s="14"/>
      <c r="F36" s="14"/>
    </row>
    <row r="37" spans="1:8" ht="20" customHeight="1">
      <c r="A37" s="9"/>
      <c r="B37" s="9"/>
      <c r="C37" s="9"/>
      <c r="D37" s="9"/>
      <c r="E37" s="9"/>
      <c r="F37" s="9"/>
    </row>
    <row r="38" spans="1:8" ht="20" customHeight="1">
      <c r="A38" s="14"/>
      <c r="B38" s="14"/>
      <c r="C38" s="14"/>
      <c r="D38" s="14"/>
      <c r="E38" s="14"/>
      <c r="F38" s="14"/>
    </row>
    <row r="39" spans="1:8" ht="20" customHeight="1">
      <c r="A39" s="9"/>
      <c r="B39" s="9"/>
      <c r="C39" s="9"/>
      <c r="D39" s="9"/>
      <c r="E39" s="9"/>
      <c r="F39" s="9"/>
    </row>
    <row r="40" spans="1:8" ht="20" customHeight="1">
      <c r="A40" s="14"/>
      <c r="B40" s="14"/>
      <c r="C40" s="14"/>
      <c r="D40" s="14"/>
      <c r="E40" s="14"/>
      <c r="F40" s="14"/>
    </row>
    <row r="41" spans="1:8" ht="20" customHeight="1">
      <c r="A41" s="9"/>
      <c r="B41" s="9"/>
      <c r="C41" s="9"/>
      <c r="D41" s="9"/>
      <c r="E41" s="9"/>
      <c r="F41" s="9"/>
    </row>
    <row r="42" spans="1:8" ht="20" customHeight="1">
      <c r="A42" s="14"/>
      <c r="B42" s="14"/>
      <c r="C42" s="14"/>
      <c r="D42" s="14"/>
      <c r="E42" s="14"/>
      <c r="F42" s="14"/>
    </row>
    <row r="43" spans="1:8" ht="20" customHeight="1"/>
    <row r="44" spans="1:8" ht="20" customHeight="1">
      <c r="B44" s="15" t="s">
        <v>154</v>
      </c>
      <c r="C44" s="15"/>
      <c r="D44" s="15"/>
      <c r="E44" s="15"/>
      <c r="F44" s="15"/>
      <c r="G44" s="15"/>
      <c r="H44" s="15"/>
    </row>
    <row r="45" spans="1:8" ht="20" customHeight="1"/>
    <row r="46" spans="1:8" ht="20" customHeight="1">
      <c r="B46" s="2" t="s">
        <v>155</v>
      </c>
      <c r="C46" s="2" t="s">
        <v>156</v>
      </c>
      <c r="D46" s="2" t="s">
        <v>160</v>
      </c>
    </row>
    <row r="47" spans="1:8" ht="20" customHeight="1">
      <c r="B47" s="16" t="s">
        <v>43</v>
      </c>
      <c r="C47" s="10" t="s">
        <v>157</v>
      </c>
      <c r="D47" s="10" t="s">
        <v>161</v>
      </c>
    </row>
    <row r="48" spans="1:8" ht="20" customHeight="1">
      <c r="B48" s="17" t="s">
        <v>44</v>
      </c>
      <c r="C48" s="10" t="s">
        <v>158</v>
      </c>
    </row>
    <row r="49" spans="1:8" ht="20" customHeight="1">
      <c r="B49" s="18" t="s">
        <v>45</v>
      </c>
      <c r="C49" s="10" t="s">
        <v>159</v>
      </c>
    </row>
    <row r="50" spans="1:8" ht="20" customHeight="1">
      <c r="B50" s="19" t="s">
        <v>46</v>
      </c>
    </row>
    <row r="51" spans="1:8" ht="20" customHeight="1">
      <c r="B51" s="20" t="s">
        <v>47</v>
      </c>
    </row>
    <row r="52" spans="1:8" ht="20" customHeight="1">
      <c r="B52" s="21" t="s">
        <v>48</v>
      </c>
    </row>
    <row r="53" spans="1:8" ht="20" customHeight="1"/>
    <row r="54" spans="1:8" ht="20" customHeight="1"/>
    <row r="55" spans="1:8" ht="8" customHeight="1">
      <c r="A55" s="4"/>
      <c r="B55" s="4"/>
      <c r="C55" s="4"/>
      <c r="D55" s="4"/>
      <c r="E55" s="4"/>
      <c r="F55" s="4"/>
      <c r="G55" s="4"/>
      <c r="H55" s="4"/>
    </row>
    <row r="56" spans="1:8" ht="30" customHeight="1">
      <c r="B56" s="22" t="s">
        <v>162</v>
      </c>
      <c r="C56" s="22"/>
      <c r="D56" s="22"/>
      <c r="E56" s="22"/>
      <c r="F56" s="22"/>
      <c r="G56" s="22"/>
      <c r="H56" s="22"/>
    </row>
    <row r="57" spans="1:8" ht="20" customHeight="1"/>
    <row r="58" spans="1:8" ht="20" customHeight="1">
      <c r="B58" s="23" t="s">
        <v>163</v>
      </c>
      <c r="C58" s="24" t="s">
        <v>164</v>
      </c>
      <c r="D58" s="25" t="s">
        <v>165</v>
      </c>
      <c r="E58" s="26" t="s">
        <v>17</v>
      </c>
      <c r="F58" s="27" t="s">
        <v>166</v>
      </c>
      <c r="G58" s="28" t="s">
        <v>167</v>
      </c>
      <c r="H58" s="29" t="s">
        <v>168</v>
      </c>
    </row>
    <row r="59" spans="1:8" ht="24" customHeight="1">
      <c r="B59" s="30" t="s">
        <v>169</v>
      </c>
      <c r="C59" s="24" t="s">
        <v>170</v>
      </c>
      <c r="D59" s="26" t="s">
        <v>171</v>
      </c>
      <c r="E59" s="23" t="s">
        <v>172</v>
      </c>
      <c r="F59" s="24" t="s">
        <v>173</v>
      </c>
      <c r="G59" s="25" t="s">
        <v>174</v>
      </c>
      <c r="H59" s="26" t="s">
        <v>175</v>
      </c>
    </row>
    <row r="60" spans="1:8" ht="24" customHeight="1">
      <c r="B60" s="27" t="s">
        <v>176</v>
      </c>
      <c r="C60" s="28" t="s">
        <v>177</v>
      </c>
      <c r="D60" s="29" t="s">
        <v>178</v>
      </c>
      <c r="E60" s="30" t="s">
        <v>179</v>
      </c>
      <c r="F60" s="24" t="s">
        <v>180</v>
      </c>
    </row>
  </sheetData>
  <mergeCells count="20">
    <mergeCell ref="B2:F2"/>
    <mergeCell ref="G2:H2"/>
    <mergeCell ref="B3:F3"/>
    <mergeCell ref="G3:H3"/>
    <mergeCell ref="B5:H5"/>
    <mergeCell ref="C6:E6"/>
    <mergeCell ref="C7:E7"/>
    <mergeCell ref="B9:H9"/>
    <mergeCell ref="C10:D10"/>
    <mergeCell ref="C11:D11"/>
    <mergeCell ref="C12:D12"/>
    <mergeCell ref="C13:D13"/>
    <mergeCell ref="C14:D14"/>
    <mergeCell ref="C15:D15"/>
    <mergeCell ref="B17:H17"/>
    <mergeCell ref="C18:D18"/>
    <mergeCell ref="C19:D19"/>
    <mergeCell ref="B21:H21"/>
    <mergeCell ref="B44:H44"/>
    <mergeCell ref="B56:H56"/>
  </mergeCells>
  <dataValidations count="8">
    <dataValidation type="list" allowBlank="1" showInputMessage="1" promptTitle="Currency symbol" prompt="Pick a symbol, or type your own (e.g. Rs)." sqref="C9:D9">
      <formula1>"$,€,£,¥,₨,₹,A$,C$,R,kr,CHF"</formula1>
    </dataValidation>
    <dataValidation type="decimal" errorStyle="warning" allowBlank="1" showInputMessage="1" showErrorMessage="1" errorTitle="Pick a percentage" error="Enter a share of the price between 0% and 50%." sqref="C11:D11">
      <formula1>0</formula1>
      <formula2>0.5</formula2>
    </dataValidation>
    <dataValidation type="decimal" errorStyle="warning" allowBlank="1" showInputMessage="1" showErrorMessage="1" errorTitle="Pick a percentage" error="Enter a share of the price between 0% and 90%." sqref="C12:D12">
      <formula1>0</formula1>
      <formula2>0.9</formula2>
    </dataValidation>
    <dataValidation type="decimal" errorStyle="warning" allowBlank="1" showInputMessage="1" showErrorMessage="1" errorTitle="Pick a percentage" error="Enter a share of the price between 0% and 100%." sqref="C13:D13">
      <formula1>0</formula1>
      <formula2>1</formula2>
    </dataValidation>
    <dataValidation type="whole" errorStyle="warning" allowBlank="1" showInputMessage="1" showErrorMessage="1" errorTitle="1 - 90 days" error="Pick a window between 1 and 90 days." sqref="C14:D14">
      <formula1>1</formula1>
      <formula2>90</formula2>
    </dataValidation>
    <dataValidation type="whole" errorStyle="warning" allowBlank="1" showInputMessage="1" showErrorMessage="1" errorTitle="Year" error="Enter a 4-digit year." sqref="C15:D15">
      <formula1>2000</formula1>
      <formula2>2100</formula2>
    </dataValidation>
    <dataValidation type="whole" allowBlank="1" showInputMessage="1" showErrorMessage="1" promptTitle="Month" prompt="1 = January ... 12 = December.  The cell shows the month name." sqref="C18:D18">
      <formula1>1</formula1>
      <formula2>12</formula2>
    </dataValidation>
    <dataValidation type="whole" errorStyle="warning" allowBlank="1" showInputMessage="1" showErrorMessage="1" errorTitle="Year" error="Enter a 4-digit year." sqref="C19:D19">
      <formula1>2000</formula1>
      <formula2>2100</formula2>
    </dataValidation>
  </dataValidations>
  <hyperlinks>
    <hyperlink ref="G3" location="'📊 Dashboard'!A1" display="🏠  Back to Dashboard"/>
    <hyperlink ref="B58" location="'⚙️ Setup'!A1" display="▶ Setup"/>
    <hyperlink ref="C58" location="'📊 Dashboard'!A1" display="🏠 Home"/>
    <hyperlink ref="D58" location="'👥 Clients'!A1" display="Clients"/>
    <hyperlink ref="E58" location="'📅 Events'!A1" display="Events"/>
    <hyperlink ref="F58" location="'🧮 Quote Calculator'!A1" display="Quote"/>
    <hyperlink ref="G58" location="'🍽️ Menu Costing'!A1" display="Menu"/>
    <hyperlink ref="H58" location="'📦 Inventory'!A1" display="Stock"/>
    <hyperlink ref="B59" location="'🛒 Shopping List'!A1" display="Shop"/>
    <hyperlink ref="C59" location="'💸 Expenses'!A1" display="Expenses"/>
    <hyperlink ref="D59" location="'💰 Payments'!A1" display="Payments"/>
    <hyperlink ref="E59" location="'👷 Staff &amp; Labor'!A1" display="Staff"/>
    <hyperlink ref="F59" location="'🍳 Equipment'!A1" display="Equip"/>
    <hyperlink ref="G59" location="'🚚 Suppliers'!A1" display="Suppliers"/>
    <hyperlink ref="H59" location="'📆 Event Calendar'!A1" display="Calendar"/>
    <hyperlink ref="B60" location="'📈 P&amp;L &amp; Reports'!A1" display="P&amp;L"/>
    <hyperlink ref="C60" location="'🧾 Tax Tracker'!A1" display="Tax"/>
    <hyperlink ref="D60" location="'✅ Checklists'!A1" display="Checks"/>
    <hyperlink ref="E60" location="'🖨️ Invoice &amp; Proposal'!A1" display="Invoice"/>
    <hyperlink ref="F60" location="'📖 Start Here'!A1" display="Help"/>
  </hyperlinks>
  <pageMargins left="0.4" right="0.4" top="0.5" bottom="0.5" header="0.3" footer="0.3"/>
  <pageSetup paperSize="9" fitToHeight="0" orientation="portrait"/>
  <headerFooter>
    <oddHeader>&amp;L&amp;"Calibri,Bold"&amp;11Catering Business Manager&amp;R&amp;"Calibri,Italic"&amp;9Page &amp;P of &amp;N</oddHeader>
    <oddFooter>&amp;C&amp;"Calibri,Italic"&amp;8&amp;A  •  Ultimate Catering Business Spreadsheet v1.0  •  personal licence</oddFooter>
  </headerFooter>
</worksheet>
</file>

<file path=xl/worksheets/sheet3.xml><?xml version="1.0" encoding="utf-8"?>
<worksheet xmlns="http://schemas.openxmlformats.org/spreadsheetml/2006/main" xmlns:r="http://schemas.openxmlformats.org/officeDocument/2006/relationships">
  <sheetPr>
    <tabColor rgb="FF2F5D46"/>
    <pageSetUpPr fitToPage="1"/>
  </sheetPr>
  <dimension ref="A1:P90"/>
  <sheetViews>
    <sheetView showGridLines="0" tabSelected="1" zoomScale="90" zoomScaleNormal="90" workbookViewId="0"/>
  </sheetViews>
  <sheetFormatPr defaultRowHeight="15"/>
  <cols>
    <col min="1" max="1" width="2.85546875" customWidth="1"/>
    <col min="2" max="4" width="13.7109375" customWidth="1"/>
    <col min="5" max="5" width="3.7109375" customWidth="1"/>
    <col min="6" max="8" width="13.7109375" customWidth="1"/>
    <col min="9" max="9" width="3.7109375" customWidth="1"/>
    <col min="10" max="12" width="13.7109375" customWidth="1"/>
    <col min="13" max="13" width="3.7109375" customWidth="1"/>
    <col min="14" max="16" width="13.7109375" customWidth="1"/>
    <col min="17" max="17" width="3.7109375" customWidth="1"/>
  </cols>
  <sheetData>
    <row r="1" spans="2:16" ht="18" customHeight="1"/>
    <row r="2" spans="2:16" ht="34" customHeight="1">
      <c r="B2" s="31" t="str">
        <f>IF(BusinessName="","Your Catering Business",BusinessName)</f>
        <v>Your Catering Business</v>
      </c>
      <c r="C2" s="31"/>
      <c r="D2" s="31"/>
      <c r="E2" s="31"/>
      <c r="F2" s="31"/>
      <c r="G2" s="31"/>
      <c r="H2" s="31"/>
      <c r="I2" s="31"/>
      <c r="J2" s="31"/>
      <c r="K2" s="32" t="str">
        <f>"Cash in  "&amp;Currency&amp;TEXT('_Data'!$AF$2,"#,##0")</f>
        <v>Cash in  0</v>
      </c>
      <c r="L2" s="32"/>
      <c r="M2" s="32"/>
      <c r="N2" s="32"/>
      <c r="O2" s="32"/>
      <c r="P2" s="32"/>
    </row>
    <row r="3" spans="2:16" ht="22" customHeight="1">
      <c r="B3" s="33" t="str">
        <f>IF('⚙️ Setup'!$C$7="","Events • Clients • Quotes • Food Cost • Profit",'⚙️ Setup'!$C$7)</f>
        <v>Events • Clients • Quotes • Food Cost • Profit</v>
      </c>
      <c r="C3" s="33"/>
      <c r="D3" s="33"/>
      <c r="E3" s="33"/>
      <c r="F3" s="33"/>
      <c r="G3" s="33"/>
      <c r="H3" s="33"/>
      <c r="I3" s="33"/>
      <c r="J3" s="33"/>
      <c r="K3" s="33"/>
      <c r="L3" s="33"/>
      <c r="M3" s="33"/>
      <c r="N3" s="33"/>
      <c r="O3" s="33"/>
      <c r="P3" s="33"/>
    </row>
    <row r="4" spans="2:16" ht="18" customHeight="1"/>
    <row r="5" spans="2:16" ht="20" customHeight="1">
      <c r="B5" s="34" t="s">
        <v>181</v>
      </c>
      <c r="C5" s="34"/>
      <c r="D5" s="34"/>
      <c r="F5" s="34" t="s">
        <v>182</v>
      </c>
      <c r="G5" s="34"/>
      <c r="H5" s="34"/>
      <c r="J5" s="34" t="s">
        <v>183</v>
      </c>
      <c r="K5" s="34"/>
      <c r="L5" s="34"/>
      <c r="N5" s="34" t="s">
        <v>184</v>
      </c>
      <c r="O5" s="34"/>
      <c r="P5" s="34"/>
    </row>
    <row r="6" spans="2:16" ht="40" customHeight="1">
      <c r="B6" s="35">
        <f>'_Data'!$AF$2</f>
        <v>0</v>
      </c>
      <c r="C6" s="35"/>
      <c r="D6" s="35"/>
      <c r="F6" s="36">
        <f>'_Data'!$AF$3</f>
        <v>0</v>
      </c>
      <c r="G6" s="36"/>
      <c r="H6" s="36"/>
      <c r="J6" s="37">
        <f>'_Data'!$AF$4</f>
        <v>0</v>
      </c>
      <c r="K6" s="37"/>
      <c r="L6" s="37"/>
      <c r="N6" s="38">
        <f>'_Data'!$AF$5</f>
        <v>0</v>
      </c>
      <c r="O6" s="38"/>
      <c r="P6" s="38"/>
    </row>
    <row r="7" spans="2:16" ht="8" customHeight="1"/>
    <row r="8" spans="2:16" ht="20" customHeight="1">
      <c r="B8" s="39" t="s">
        <v>185</v>
      </c>
      <c r="C8" s="39"/>
      <c r="D8" s="39"/>
      <c r="F8" s="39" t="s">
        <v>186</v>
      </c>
      <c r="G8" s="39"/>
      <c r="H8" s="39"/>
      <c r="J8" s="39" t="s">
        <v>187</v>
      </c>
      <c r="K8" s="39"/>
      <c r="L8" s="39"/>
      <c r="N8" s="39" t="s">
        <v>188</v>
      </c>
      <c r="O8" s="39"/>
      <c r="P8" s="39"/>
    </row>
    <row r="9" spans="2:16" ht="30" customHeight="1">
      <c r="B9" s="40">
        <f>SUMPRODUCT(('📅 Events'!$Q$8:$Q$47&lt;&gt;"")*('📅 Events'!$Q$8:$Q$47&lt;&gt;"❌ Cancelled"))</f>
        <v>0</v>
      </c>
      <c r="C9" s="40"/>
      <c r="D9" s="40"/>
      <c r="F9" s="40">
        <f>'_Data'!$AF$8</f>
        <v>0</v>
      </c>
      <c r="G9" s="40"/>
      <c r="H9" s="40"/>
      <c r="J9" s="41">
        <f>'_Data'!$AF$14</f>
        <v>0</v>
      </c>
      <c r="K9" s="41"/>
      <c r="L9" s="41"/>
      <c r="N9" s="40">
        <f>'_Data'!$AF$15</f>
        <v>0</v>
      </c>
      <c r="O9" s="40"/>
      <c r="P9" s="40"/>
    </row>
    <row r="10" spans="2:16" ht="8" customHeight="1"/>
    <row r="11" spans="2:16" ht="20" customHeight="1">
      <c r="B11" s="39" t="s">
        <v>189</v>
      </c>
      <c r="C11" s="39"/>
      <c r="D11" s="39"/>
      <c r="F11" s="39" t="s">
        <v>190</v>
      </c>
      <c r="G11" s="39"/>
      <c r="H11" s="39"/>
      <c r="J11" s="39" t="s">
        <v>191</v>
      </c>
      <c r="K11" s="39"/>
      <c r="L11" s="39"/>
      <c r="N11" s="39" t="s">
        <v>192</v>
      </c>
      <c r="O11" s="39"/>
      <c r="P11" s="39"/>
    </row>
    <row r="12" spans="2:16" ht="30" customHeight="1">
      <c r="B12" s="42">
        <f>'_Data'!$AF$19</f>
        <v>0</v>
      </c>
      <c r="C12" s="42"/>
      <c r="D12" s="42"/>
      <c r="F12" s="42">
        <f>'_Data'!$AF$20</f>
        <v>0</v>
      </c>
      <c r="G12" s="42"/>
      <c r="H12" s="42"/>
      <c r="J12" s="41">
        <f>'_Data'!$AF$10</f>
        <v>0</v>
      </c>
      <c r="K12" s="41"/>
      <c r="L12" s="41"/>
      <c r="N12" s="43">
        <f>'_Data'!$AF$13</f>
        <v>0</v>
      </c>
      <c r="O12" s="43"/>
      <c r="P12" s="43"/>
    </row>
    <row r="13" spans="2:16" ht="8" customHeight="1"/>
    <row r="14" spans="2:16" ht="20" customHeight="1">
      <c r="B14" s="39" t="s">
        <v>193</v>
      </c>
      <c r="C14" s="39"/>
      <c r="D14" s="39"/>
      <c r="F14" s="39" t="s">
        <v>194</v>
      </c>
      <c r="G14" s="39"/>
      <c r="H14" s="39"/>
      <c r="J14" s="39" t="s">
        <v>195</v>
      </c>
      <c r="K14" s="39"/>
      <c r="L14" s="39"/>
      <c r="N14" s="39" t="s">
        <v>196</v>
      </c>
      <c r="O14" s="39"/>
      <c r="P14" s="39"/>
    </row>
    <row r="15" spans="2:16" ht="30" customHeight="1">
      <c r="B15" s="44">
        <f>'_Data'!$AF$22</f>
        <v>0</v>
      </c>
      <c r="C15" s="44"/>
      <c r="D15" s="44"/>
      <c r="F15" s="40">
        <f>'_Data'!$AF$23</f>
        <v>0</v>
      </c>
      <c r="G15" s="40"/>
      <c r="H15" s="40"/>
      <c r="J15" s="45" t="str">
        <f>'_Data'!$AF$24&amp;" lines · "&amp;Currency&amp;TEXT('_Data'!$AF$25,"#,##0")</f>
        <v>0 lines</v>
      </c>
      <c r="K15" s="45"/>
      <c r="L15" s="45"/>
      <c r="N15" s="40">
        <f>'_Data'!$AF$26</f>
        <v>0</v>
      </c>
      <c r="O15" s="40"/>
      <c r="P15" s="40"/>
    </row>
    <row r="16" spans="2:16" ht="8" customHeight="1"/>
    <row r="17" spans="2:16" ht="18" customHeight="1"/>
    <row r="18" spans="2:16" ht="18" customHeight="1">
      <c r="B18" s="7" t="s">
        <v>197</v>
      </c>
      <c r="C18" s="7"/>
      <c r="D18" s="7"/>
      <c r="E18" s="7"/>
      <c r="F18" s="7"/>
      <c r="G18" s="7"/>
      <c r="H18" s="7"/>
      <c r="I18" s="7"/>
      <c r="J18" s="7"/>
      <c r="K18" s="7"/>
      <c r="L18" s="7"/>
      <c r="M18" s="7"/>
      <c r="N18" s="7"/>
      <c r="O18" s="7"/>
      <c r="P18" s="7"/>
    </row>
    <row r="19" spans="2:16" ht="18" customHeight="1">
      <c r="B19" s="46" t="s">
        <v>198</v>
      </c>
      <c r="C19" s="46"/>
      <c r="D19" s="46"/>
      <c r="E19" s="47" t="str">
        <f>IFERROR(REPT("█",ROUND(MIN(1,IFERROR(('_Data'!$AF$2)/(SUM('💰 Payments'!$F$8:$F$67)),0))*18,0))&amp;REPT("░",18-ROUND(MIN(1,IFERROR(('_Data'!$AF$2)/(SUM('💰 Payments'!$F$8:$F$67)),0))*18,0)),"░░░░░░░░░░░░░░░░░░")</f>
        <v>░░░░░░░░░░░░░░░░░░</v>
      </c>
      <c r="F19" s="47"/>
      <c r="G19" s="47"/>
      <c r="H19" s="47"/>
      <c r="I19" s="47"/>
      <c r="J19" s="47"/>
      <c r="K19" s="47"/>
      <c r="L19" s="47"/>
      <c r="M19" s="48" t="str">
        <f>IFERROR(TEXT(MIN(1,'_Data'!$AF$2/(SUM('💰 Payments'!$F$8:$F$67))),"0%"),"0%")</f>
        <v>0%</v>
      </c>
      <c r="N19" s="48"/>
      <c r="O19" s="4"/>
      <c r="P19" s="4"/>
    </row>
    <row r="20" spans="2:16" ht="18" customHeight="1">
      <c r="B20" s="46" t="s">
        <v>199</v>
      </c>
      <c r="C20" s="46"/>
      <c r="D20" s="46"/>
      <c r="E20" s="47" t="str">
        <f>IFERROR(REPT("█",ROUND(MIN(1,IFERROR((SUM('💸 Expenses'!$G$8:$G$67))/('_Data'!$AF$2),0))*18,0))&amp;REPT("░",18-ROUND(MIN(1,IFERROR((SUM('💸 Expenses'!$G$8:$G$67))/('_Data'!$AF$2),0))*18,0)),"░░░░░░░░░░░░░░░░░░")</f>
        <v>░░░░░░░░░░░░░░░░░░</v>
      </c>
      <c r="F20" s="47"/>
      <c r="G20" s="47"/>
      <c r="H20" s="47"/>
      <c r="I20" s="47"/>
      <c r="J20" s="47"/>
      <c r="K20" s="47"/>
      <c r="L20" s="47"/>
      <c r="M20" s="48" t="str">
        <f>IFERROR(TEXT(MIN(1,SUM('💸 Expenses'!$G$8:$G$67)/('_Data'!$AF$2)),"0%"),"0%")</f>
        <v>0%</v>
      </c>
      <c r="N20" s="48"/>
      <c r="O20" s="4"/>
      <c r="P20" s="4"/>
    </row>
    <row r="21" spans="2:16" ht="18" customHeight="1"/>
    <row r="22" spans="2:16" ht="18" customHeight="1"/>
    <row r="23" spans="2:16" ht="18" customHeight="1">
      <c r="B23" s="7" t="s">
        <v>200</v>
      </c>
      <c r="C23" s="7"/>
      <c r="D23" s="7"/>
      <c r="E23" s="7"/>
      <c r="F23" s="7"/>
      <c r="G23" s="7"/>
      <c r="H23" s="7"/>
      <c r="I23" s="7"/>
      <c r="J23" s="7"/>
      <c r="K23" s="7"/>
      <c r="L23" s="7"/>
      <c r="M23" s="7"/>
      <c r="N23" s="7"/>
      <c r="O23" s="7"/>
      <c r="P23" s="7"/>
    </row>
    <row r="24" spans="2:16" ht="18" customHeight="1"/>
    <row r="25" spans="2:16" ht="18" customHeight="1"/>
    <row r="26" spans="2:16" ht="18" customHeight="1"/>
    <row r="27" spans="2:16" ht="18" customHeight="1"/>
    <row r="28" spans="2:16" ht="18" customHeight="1"/>
    <row r="29" spans="2:16" ht="18" customHeight="1"/>
    <row r="30" spans="2:16" ht="18" customHeight="1"/>
    <row r="31" spans="2:16" ht="18" customHeight="1"/>
    <row r="32" spans="2:16"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spans="2:16" ht="18" customHeight="1"/>
    <row r="66" spans="2:16" ht="18" customHeight="1"/>
    <row r="67" spans="2:16" ht="18" customHeight="1">
      <c r="B67" s="49" t="s">
        <v>201</v>
      </c>
      <c r="C67" s="49"/>
      <c r="D67" s="49"/>
      <c r="E67" s="49"/>
      <c r="F67" s="49"/>
      <c r="G67" s="49"/>
      <c r="H67" s="49"/>
      <c r="I67" s="49"/>
      <c r="J67" s="49"/>
      <c r="K67" s="49"/>
      <c r="L67" s="49"/>
      <c r="M67" s="49"/>
      <c r="N67" s="49"/>
      <c r="O67" s="49"/>
      <c r="P67" s="49"/>
    </row>
    <row r="68" spans="2:16" ht="18" customHeight="1"/>
    <row r="69" spans="2:16" ht="18" customHeight="1">
      <c r="B69" s="23" t="s">
        <v>202</v>
      </c>
      <c r="C69" s="23"/>
      <c r="D69" s="23"/>
      <c r="E69" s="24" t="s">
        <v>203</v>
      </c>
      <c r="F69" s="24"/>
      <c r="G69" s="24"/>
      <c r="H69" s="25" t="s">
        <v>165</v>
      </c>
      <c r="I69" s="25"/>
      <c r="J69" s="25"/>
      <c r="K69" s="26" t="s">
        <v>17</v>
      </c>
      <c r="L69" s="26"/>
      <c r="M69" s="26"/>
      <c r="N69" s="27" t="s">
        <v>166</v>
      </c>
      <c r="O69" s="27"/>
      <c r="P69" s="27"/>
    </row>
    <row r="70" spans="2:16" ht="24" customHeight="1">
      <c r="B70" s="28" t="s">
        <v>167</v>
      </c>
      <c r="C70" s="28"/>
      <c r="D70" s="28"/>
      <c r="E70" s="29" t="s">
        <v>168</v>
      </c>
      <c r="F70" s="29"/>
      <c r="G70" s="29"/>
      <c r="H70" s="30" t="s">
        <v>169</v>
      </c>
      <c r="I70" s="30"/>
      <c r="J70" s="30"/>
      <c r="K70" s="24" t="s">
        <v>170</v>
      </c>
      <c r="L70" s="24"/>
      <c r="M70" s="24"/>
      <c r="N70" s="26" t="s">
        <v>171</v>
      </c>
      <c r="O70" s="26"/>
      <c r="P70" s="26"/>
    </row>
    <row r="71" spans="2:16" ht="24" customHeight="1">
      <c r="B71" s="23" t="s">
        <v>172</v>
      </c>
      <c r="C71" s="23"/>
      <c r="D71" s="23"/>
      <c r="E71" s="24" t="s">
        <v>173</v>
      </c>
      <c r="F71" s="24"/>
      <c r="G71" s="24"/>
      <c r="H71" s="25" t="s">
        <v>174</v>
      </c>
      <c r="I71" s="25"/>
      <c r="J71" s="25"/>
      <c r="K71" s="26" t="s">
        <v>175</v>
      </c>
      <c r="L71" s="26"/>
      <c r="M71" s="26"/>
      <c r="N71" s="27" t="s">
        <v>176</v>
      </c>
      <c r="O71" s="27"/>
      <c r="P71" s="27"/>
    </row>
    <row r="72" spans="2:16" ht="24" customHeight="1">
      <c r="B72" s="28" t="s">
        <v>177</v>
      </c>
      <c r="C72" s="28"/>
      <c r="D72" s="28"/>
      <c r="E72" s="29" t="s">
        <v>178</v>
      </c>
      <c r="F72" s="29"/>
      <c r="G72" s="29"/>
      <c r="H72" s="30" t="s">
        <v>179</v>
      </c>
      <c r="I72" s="30"/>
      <c r="J72" s="30"/>
      <c r="K72" s="24" t="s">
        <v>180</v>
      </c>
      <c r="L72" s="24"/>
      <c r="M72" s="24"/>
    </row>
    <row r="73" spans="2:16" ht="18" customHeight="1"/>
    <row r="74" spans="2:16" ht="18" customHeight="1"/>
    <row r="75" spans="2:16" ht="18" customHeight="1"/>
    <row r="76" spans="2:16" ht="18" customHeight="1"/>
    <row r="77" spans="2:16" ht="18" customHeight="1"/>
    <row r="78" spans="2:16" ht="18" customHeight="1"/>
    <row r="79" spans="2:16" ht="18" customHeight="1"/>
    <row r="80" spans="2:16"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sheetData>
  <mergeCells count="65">
    <mergeCell ref="B2:J2"/>
    <mergeCell ref="K2:P2"/>
    <mergeCell ref="B3:P3"/>
    <mergeCell ref="B5:D5"/>
    <mergeCell ref="B6:D6"/>
    <mergeCell ref="F5:H5"/>
    <mergeCell ref="F6:H6"/>
    <mergeCell ref="J5:L5"/>
    <mergeCell ref="J6:L6"/>
    <mergeCell ref="N5:P5"/>
    <mergeCell ref="N6:P6"/>
    <mergeCell ref="B8:D8"/>
    <mergeCell ref="B9:D9"/>
    <mergeCell ref="F8:H8"/>
    <mergeCell ref="F9:H9"/>
    <mergeCell ref="J8:L8"/>
    <mergeCell ref="J9:L9"/>
    <mergeCell ref="N8:P8"/>
    <mergeCell ref="N9:P9"/>
    <mergeCell ref="B11:D11"/>
    <mergeCell ref="B12:D12"/>
    <mergeCell ref="F11:H11"/>
    <mergeCell ref="F12:H12"/>
    <mergeCell ref="J11:L11"/>
    <mergeCell ref="J12:L12"/>
    <mergeCell ref="N11:P11"/>
    <mergeCell ref="N12:P12"/>
    <mergeCell ref="B14:D14"/>
    <mergeCell ref="B15:D15"/>
    <mergeCell ref="F14:H14"/>
    <mergeCell ref="F15:H15"/>
    <mergeCell ref="J14:L14"/>
    <mergeCell ref="J15:L15"/>
    <mergeCell ref="N14:P14"/>
    <mergeCell ref="N15:P15"/>
    <mergeCell ref="B18:P18"/>
    <mergeCell ref="B19:D19"/>
    <mergeCell ref="E19:L19"/>
    <mergeCell ref="M19:N19"/>
    <mergeCell ref="O19:P19"/>
    <mergeCell ref="B20:D20"/>
    <mergeCell ref="E20:L20"/>
    <mergeCell ref="M20:N20"/>
    <mergeCell ref="O20:P20"/>
    <mergeCell ref="B23:P23"/>
    <mergeCell ref="B67:P67"/>
    <mergeCell ref="B69:D69"/>
    <mergeCell ref="E69:G69"/>
    <mergeCell ref="H69:J69"/>
    <mergeCell ref="K69:M69"/>
    <mergeCell ref="N69:P69"/>
    <mergeCell ref="B70:D70"/>
    <mergeCell ref="E70:G70"/>
    <mergeCell ref="H70:J70"/>
    <mergeCell ref="K70:M70"/>
    <mergeCell ref="N70:P70"/>
    <mergeCell ref="B71:D71"/>
    <mergeCell ref="E71:G71"/>
    <mergeCell ref="H71:J71"/>
    <mergeCell ref="K71:M71"/>
    <mergeCell ref="N71:P71"/>
    <mergeCell ref="B72:D72"/>
    <mergeCell ref="E72:G72"/>
    <mergeCell ref="H72:J72"/>
    <mergeCell ref="K72:M72"/>
  </mergeCells>
  <hyperlinks>
    <hyperlink ref="B69" location="'⚙️ Setup'!A1" display="Setup"/>
    <hyperlink ref="E69" location="'📊 Dashboard'!A1" display="▶ 🏠 Home"/>
    <hyperlink ref="H69" location="'👥 Clients'!A1" display="Clients"/>
    <hyperlink ref="K69" location="'📅 Events'!A1" display="Events"/>
    <hyperlink ref="N69" location="'🧮 Quote Calculator'!A1" display="Quote"/>
    <hyperlink ref="B70" location="'🍽️ Menu Costing'!A1" display="Menu"/>
    <hyperlink ref="E70" location="'📦 Inventory'!A1" display="Stock"/>
    <hyperlink ref="H70" location="'🛒 Shopping List'!A1" display="Shop"/>
    <hyperlink ref="K70" location="'💸 Expenses'!A1" display="Expenses"/>
    <hyperlink ref="N70" location="'💰 Payments'!A1" display="Payments"/>
    <hyperlink ref="B71" location="'👷 Staff &amp; Labor'!A1" display="Staff"/>
    <hyperlink ref="E71" location="'🍳 Equipment'!A1" display="Equip"/>
    <hyperlink ref="H71" location="'🚚 Suppliers'!A1" display="Suppliers"/>
    <hyperlink ref="K71" location="'📆 Event Calendar'!A1" display="Calendar"/>
    <hyperlink ref="N71" location="'📈 P&amp;L &amp; Reports'!A1" display="P&amp;L"/>
    <hyperlink ref="B72" location="'🧾 Tax Tracker'!A1" display="Tax"/>
    <hyperlink ref="E72" location="'✅ Checklists'!A1" display="Checks"/>
    <hyperlink ref="H72" location="'🖨️ Invoice &amp; Proposal'!A1" display="Invoice"/>
    <hyperlink ref="K72"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drawing r:id="rId1"/>
</worksheet>
</file>

<file path=xl/worksheets/sheet4.xml><?xml version="1.0" encoding="utf-8"?>
<worksheet xmlns="http://schemas.openxmlformats.org/spreadsheetml/2006/main" xmlns:r="http://schemas.openxmlformats.org/officeDocument/2006/relationships">
  <sheetPr>
    <tabColor rgb="FFC4482F"/>
    <pageSetUpPr fitToPage="1"/>
  </sheetPr>
  <dimension ref="A1:O57"/>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RowHeight="15"/>
  <cols>
    <col min="1" max="1" width="2.85546875" customWidth="1"/>
    <col min="2" max="2" width="5.28515625" customWidth="1"/>
    <col min="3" max="3" width="20.7109375" customWidth="1"/>
    <col min="4" max="4" width="14.7109375" customWidth="1"/>
    <col min="5" max="5" width="30.7109375" customWidth="1"/>
    <col min="6" max="6" width="12.7109375" customWidth="1"/>
    <col min="7" max="7" width="13.7109375" customWidth="1"/>
    <col min="8" max="8" width="8.7109375" customWidth="1"/>
    <col min="9" max="9" width="26.7109375" customWidth="1"/>
    <col min="10" max="10" width="16.7109375" customWidth="1"/>
    <col min="11" max="13" width="11.7109375" customWidth="1"/>
    <col min="14" max="14" width="15.7109375" customWidth="1"/>
    <col min="15" max="15" width="26.7109375" customWidth="1"/>
  </cols>
  <sheetData>
    <row r="1" spans="2:15" ht="7" customHeight="1"/>
    <row r="2" spans="2:15" ht="30" customHeight="1">
      <c r="B2" s="3" t="s">
        <v>165</v>
      </c>
      <c r="C2" s="3"/>
      <c r="D2" s="3"/>
      <c r="E2" s="3"/>
      <c r="F2" s="3"/>
      <c r="G2" s="3"/>
      <c r="H2" s="3"/>
      <c r="I2" s="3"/>
      <c r="J2" s="3"/>
      <c r="K2" s="3"/>
      <c r="L2" s="3"/>
      <c r="M2" s="4"/>
      <c r="N2" s="4"/>
      <c r="O2" s="4"/>
    </row>
    <row r="3" spans="2:15" ht="18" customHeight="1">
      <c r="B3" s="5" t="s">
        <v>204</v>
      </c>
      <c r="C3" s="5"/>
      <c r="D3" s="5"/>
      <c r="E3" s="5"/>
      <c r="F3" s="5"/>
      <c r="G3" s="5"/>
      <c r="H3" s="5"/>
      <c r="I3" s="5"/>
      <c r="J3" s="5"/>
      <c r="K3" s="5"/>
      <c r="L3" s="5"/>
      <c r="M3" s="6" t="s">
        <v>97</v>
      </c>
      <c r="N3" s="6"/>
      <c r="O3" s="6"/>
    </row>
    <row r="4" spans="2:15" ht="7" customHeight="1"/>
    <row r="5" spans="2:15" ht="26" customHeight="1">
      <c r="B5" s="50" t="str">
        <f>"Clients: "&amp;COUNTA('👥 Clients'!$C$8:$C$47)</f>
        <v>Clients: 0</v>
      </c>
      <c r="C5" s="50"/>
      <c r="D5" s="51" t="str">
        <f>"Repeat rate: "&amp;TEXT('_Data'!$AF$21,"0%")</f>
        <v>Repeat rate: 0%</v>
      </c>
      <c r="E5" s="51"/>
      <c r="F5" s="52" t="str">
        <f>"Quotes out: "&amp;Currency&amp;TEXT(SUM('👥 Clients'!$K$8:$K$47),"#,##0")</f>
        <v>Quotes out: $0</v>
      </c>
      <c r="G5" s="52"/>
      <c r="H5" s="53" t="str">
        <f>"Still owed: "&amp;Currency&amp;TEXT('_Data'!$AF$14,"#,##0")</f>
        <v>Still owed: $0</v>
      </c>
      <c r="I5" s="53"/>
    </row>
    <row r="6" spans="2:15" ht="7" customHeight="1"/>
    <row r="7" spans="2:15" ht="36" customHeight="1">
      <c r="B7" s="2" t="s">
        <v>205</v>
      </c>
      <c r="C7" s="54" t="s">
        <v>206</v>
      </c>
      <c r="D7" s="2" t="s">
        <v>207</v>
      </c>
      <c r="E7" s="2" t="s">
        <v>208</v>
      </c>
      <c r="F7" s="55" t="s">
        <v>209</v>
      </c>
      <c r="G7" s="2" t="s">
        <v>31</v>
      </c>
      <c r="H7" s="2" t="s">
        <v>210</v>
      </c>
      <c r="I7" s="2" t="s">
        <v>211</v>
      </c>
      <c r="J7" s="2" t="s">
        <v>212</v>
      </c>
      <c r="K7" s="56" t="s">
        <v>213</v>
      </c>
      <c r="L7" s="56" t="s">
        <v>214</v>
      </c>
      <c r="M7" s="2" t="s">
        <v>215</v>
      </c>
      <c r="N7" s="57" t="s">
        <v>216</v>
      </c>
      <c r="O7" s="2" t="s">
        <v>217</v>
      </c>
    </row>
    <row r="8" spans="2:15" ht="20" customHeight="1">
      <c r="B8" s="58">
        <f>IF($C8="","",ROW()-7)</f>
        <v/>
      </c>
      <c r="C8" s="14"/>
      <c r="D8" s="14"/>
      <c r="E8" s="14"/>
      <c r="F8" s="59"/>
      <c r="G8" s="60"/>
      <c r="H8" s="61"/>
      <c r="I8" s="14"/>
      <c r="J8" s="60"/>
      <c r="K8" s="62"/>
      <c r="L8" s="62"/>
      <c r="M8" s="63">
        <f>IF(OR($K8="",$L8=""),"",ROUND($K8-$L8,2))</f>
        <v/>
      </c>
      <c r="N8" s="60"/>
      <c r="O8" s="64"/>
    </row>
    <row r="9" spans="2:15" ht="20" customHeight="1">
      <c r="B9" s="65">
        <f>IF($C9="","",ROW()-7)</f>
        <v/>
      </c>
      <c r="C9" s="9"/>
      <c r="D9" s="9"/>
      <c r="E9" s="9"/>
      <c r="F9" s="66"/>
      <c r="G9" s="10"/>
      <c r="H9" s="67"/>
      <c r="I9" s="9"/>
      <c r="J9" s="10"/>
      <c r="K9" s="68"/>
      <c r="L9" s="68"/>
      <c r="M9" s="63">
        <f>IF(OR($K9="",$L9=""),"",ROUND($K9-$L9,2))</f>
        <v/>
      </c>
      <c r="N9" s="10"/>
      <c r="O9" s="69"/>
    </row>
    <row r="10" spans="2:15" ht="20" customHeight="1">
      <c r="B10" s="58">
        <f>IF($C10="","",ROW()-7)</f>
        <v/>
      </c>
      <c r="C10" s="14"/>
      <c r="D10" s="14"/>
      <c r="E10" s="14"/>
      <c r="F10" s="59"/>
      <c r="G10" s="60"/>
      <c r="H10" s="61"/>
      <c r="I10" s="14"/>
      <c r="J10" s="60"/>
      <c r="K10" s="62"/>
      <c r="L10" s="62"/>
      <c r="M10" s="63">
        <f>IF(OR($K10="",$L10=""),"",ROUND($K10-$L10,2))</f>
        <v/>
      </c>
      <c r="N10" s="60"/>
      <c r="O10" s="64"/>
    </row>
    <row r="11" spans="2:15" ht="20" customHeight="1">
      <c r="B11" s="65">
        <f>IF($C11="","",ROW()-7)</f>
        <v/>
      </c>
      <c r="C11" s="9"/>
      <c r="D11" s="9"/>
      <c r="E11" s="9"/>
      <c r="F11" s="66"/>
      <c r="G11" s="10"/>
      <c r="H11" s="67"/>
      <c r="I11" s="9"/>
      <c r="J11" s="10"/>
      <c r="K11" s="68"/>
      <c r="L11" s="68"/>
      <c r="M11" s="63">
        <f>IF(OR($K11="",$L11=""),"",ROUND($K11-$L11,2))</f>
        <v/>
      </c>
      <c r="N11" s="10"/>
      <c r="O11" s="69"/>
    </row>
    <row r="12" spans="2:15" ht="20" customHeight="1">
      <c r="B12" s="58">
        <f>IF($C12="","",ROW()-7)</f>
        <v/>
      </c>
      <c r="C12" s="14"/>
      <c r="D12" s="14"/>
      <c r="E12" s="14"/>
      <c r="F12" s="59"/>
      <c r="G12" s="60"/>
      <c r="H12" s="61"/>
      <c r="I12" s="14"/>
      <c r="J12" s="60"/>
      <c r="K12" s="62"/>
      <c r="L12" s="62"/>
      <c r="M12" s="63">
        <f>IF(OR($K12="",$L12=""),"",ROUND($K12-$L12,2))</f>
        <v/>
      </c>
      <c r="N12" s="60"/>
      <c r="O12" s="64"/>
    </row>
    <row r="13" spans="2:15" ht="20" customHeight="1">
      <c r="B13" s="65">
        <f>IF($C13="","",ROW()-7)</f>
        <v/>
      </c>
      <c r="C13" s="9"/>
      <c r="D13" s="9"/>
      <c r="E13" s="9"/>
      <c r="F13" s="66"/>
      <c r="G13" s="10"/>
      <c r="H13" s="67"/>
      <c r="I13" s="9"/>
      <c r="J13" s="10"/>
      <c r="K13" s="68"/>
      <c r="L13" s="68"/>
      <c r="M13" s="63">
        <f>IF(OR($K13="",$L13=""),"",ROUND($K13-$L13,2))</f>
        <v/>
      </c>
      <c r="N13" s="10"/>
      <c r="O13" s="69"/>
    </row>
    <row r="14" spans="2:15" ht="20" customHeight="1">
      <c r="B14" s="58">
        <f>IF($C14="","",ROW()-7)</f>
        <v/>
      </c>
      <c r="C14" s="14"/>
      <c r="D14" s="14"/>
      <c r="E14" s="14"/>
      <c r="F14" s="59"/>
      <c r="G14" s="60"/>
      <c r="H14" s="61"/>
      <c r="I14" s="14"/>
      <c r="J14" s="60"/>
      <c r="K14" s="62"/>
      <c r="L14" s="62"/>
      <c r="M14" s="63">
        <f>IF(OR($K14="",$L14=""),"",ROUND($K14-$L14,2))</f>
        <v/>
      </c>
      <c r="N14" s="60"/>
      <c r="O14" s="64"/>
    </row>
    <row r="15" spans="2:15" ht="20" customHeight="1">
      <c r="B15" s="65">
        <f>IF($C15="","",ROW()-7)</f>
        <v/>
      </c>
      <c r="C15" s="9"/>
      <c r="D15" s="9"/>
      <c r="E15" s="9"/>
      <c r="F15" s="66"/>
      <c r="G15" s="10"/>
      <c r="H15" s="67"/>
      <c r="I15" s="9"/>
      <c r="J15" s="10"/>
      <c r="K15" s="68"/>
      <c r="L15" s="68"/>
      <c r="M15" s="63">
        <f>IF(OR($K15="",$L15=""),"",ROUND($K15-$L15,2))</f>
        <v/>
      </c>
      <c r="N15" s="10"/>
      <c r="O15" s="69"/>
    </row>
    <row r="16" spans="2:15" ht="20" customHeight="1">
      <c r="B16" s="58">
        <f>IF($C16="","",ROW()-7)</f>
        <v/>
      </c>
      <c r="C16" s="14"/>
      <c r="D16" s="14"/>
      <c r="E16" s="14"/>
      <c r="F16" s="59"/>
      <c r="G16" s="60"/>
      <c r="H16" s="61"/>
      <c r="I16" s="14"/>
      <c r="J16" s="60"/>
      <c r="K16" s="62"/>
      <c r="L16" s="62"/>
      <c r="M16" s="63">
        <f>IF(OR($K16="",$L16=""),"",ROUND($K16-$L16,2))</f>
        <v/>
      </c>
      <c r="N16" s="60"/>
      <c r="O16" s="64"/>
    </row>
    <row r="17" spans="2:15" ht="20" customHeight="1">
      <c r="B17" s="65">
        <f>IF($C17="","",ROW()-7)</f>
        <v/>
      </c>
      <c r="C17" s="9"/>
      <c r="D17" s="9"/>
      <c r="E17" s="9"/>
      <c r="F17" s="66"/>
      <c r="G17" s="10"/>
      <c r="H17" s="67"/>
      <c r="I17" s="9"/>
      <c r="J17" s="10"/>
      <c r="K17" s="68"/>
      <c r="L17" s="68"/>
      <c r="M17" s="63">
        <f>IF(OR($K17="",$L17=""),"",ROUND($K17-$L17,2))</f>
        <v/>
      </c>
      <c r="N17" s="10"/>
      <c r="O17" s="69"/>
    </row>
    <row r="18" spans="2:15" ht="20" customHeight="1">
      <c r="B18" s="58">
        <f>IF($C18="","",ROW()-7)</f>
        <v/>
      </c>
      <c r="C18" s="14"/>
      <c r="D18" s="14"/>
      <c r="E18" s="14"/>
      <c r="F18" s="59"/>
      <c r="G18" s="60"/>
      <c r="H18" s="61"/>
      <c r="I18" s="14"/>
      <c r="J18" s="60"/>
      <c r="K18" s="62"/>
      <c r="L18" s="62"/>
      <c r="M18" s="63">
        <f>IF(OR($K18="",$L18=""),"",ROUND($K18-$L18,2))</f>
        <v/>
      </c>
      <c r="N18" s="60"/>
      <c r="O18" s="64"/>
    </row>
    <row r="19" spans="2:15" ht="20" customHeight="1">
      <c r="B19" s="65">
        <f>IF($C19="","",ROW()-7)</f>
        <v/>
      </c>
      <c r="C19" s="9"/>
      <c r="D19" s="9"/>
      <c r="E19" s="9"/>
      <c r="F19" s="66"/>
      <c r="G19" s="10"/>
      <c r="H19" s="67"/>
      <c r="I19" s="9"/>
      <c r="J19" s="10"/>
      <c r="K19" s="68"/>
      <c r="L19" s="68"/>
      <c r="M19" s="63">
        <f>IF(OR($K19="",$L19=""),"",ROUND($K19-$L19,2))</f>
        <v/>
      </c>
      <c r="N19" s="10"/>
      <c r="O19" s="69"/>
    </row>
    <row r="20" spans="2:15" ht="20" customHeight="1">
      <c r="B20" s="58">
        <f>IF($C20="","",ROW()-7)</f>
        <v/>
      </c>
      <c r="C20" s="14"/>
      <c r="D20" s="14"/>
      <c r="E20" s="14"/>
      <c r="F20" s="59"/>
      <c r="G20" s="60"/>
      <c r="H20" s="61"/>
      <c r="I20" s="14"/>
      <c r="J20" s="60"/>
      <c r="K20" s="62"/>
      <c r="L20" s="62"/>
      <c r="M20" s="63">
        <f>IF(OR($K20="",$L20=""),"",ROUND($K20-$L20,2))</f>
        <v/>
      </c>
      <c r="N20" s="60"/>
      <c r="O20" s="64"/>
    </row>
    <row r="21" spans="2:15" ht="20" customHeight="1">
      <c r="B21" s="65">
        <f>IF($C21="","",ROW()-7)</f>
        <v/>
      </c>
      <c r="C21" s="9"/>
      <c r="D21" s="9"/>
      <c r="E21" s="9"/>
      <c r="F21" s="66"/>
      <c r="G21" s="10"/>
      <c r="H21" s="67"/>
      <c r="I21" s="9"/>
      <c r="J21" s="10"/>
      <c r="K21" s="68"/>
      <c r="L21" s="68"/>
      <c r="M21" s="63">
        <f>IF(OR($K21="",$L21=""),"",ROUND($K21-$L21,2))</f>
        <v/>
      </c>
      <c r="N21" s="10"/>
      <c r="O21" s="69"/>
    </row>
    <row r="22" spans="2:15" ht="20" customHeight="1">
      <c r="B22" s="58">
        <f>IF($C22="","",ROW()-7)</f>
        <v/>
      </c>
      <c r="C22" s="14"/>
      <c r="D22" s="14"/>
      <c r="E22" s="14"/>
      <c r="F22" s="59"/>
      <c r="G22" s="60"/>
      <c r="H22" s="61"/>
      <c r="I22" s="14"/>
      <c r="J22" s="60"/>
      <c r="K22" s="62"/>
      <c r="L22" s="62"/>
      <c r="M22" s="63">
        <f>IF(OR($K22="",$L22=""),"",ROUND($K22-$L22,2))</f>
        <v/>
      </c>
      <c r="N22" s="60"/>
      <c r="O22" s="64"/>
    </row>
    <row r="23" spans="2:15" ht="20" customHeight="1">
      <c r="B23" s="65">
        <f>IF($C23="","",ROW()-7)</f>
        <v/>
      </c>
      <c r="C23" s="9"/>
      <c r="D23" s="9"/>
      <c r="E23" s="9"/>
      <c r="F23" s="66"/>
      <c r="G23" s="10"/>
      <c r="H23" s="67"/>
      <c r="I23" s="9"/>
      <c r="J23" s="10"/>
      <c r="K23" s="68"/>
      <c r="L23" s="68"/>
      <c r="M23" s="63">
        <f>IF(OR($K23="",$L23=""),"",ROUND($K23-$L23,2))</f>
        <v/>
      </c>
      <c r="N23" s="10"/>
      <c r="O23" s="69"/>
    </row>
    <row r="24" spans="2:15" ht="20" customHeight="1">
      <c r="B24" s="58">
        <f>IF($C24="","",ROW()-7)</f>
        <v/>
      </c>
      <c r="C24" s="14"/>
      <c r="D24" s="14"/>
      <c r="E24" s="14"/>
      <c r="F24" s="59"/>
      <c r="G24" s="60"/>
      <c r="H24" s="61"/>
      <c r="I24" s="14"/>
      <c r="J24" s="60"/>
      <c r="K24" s="62"/>
      <c r="L24" s="62"/>
      <c r="M24" s="63">
        <f>IF(OR($K24="",$L24=""),"",ROUND($K24-$L24,2))</f>
        <v/>
      </c>
      <c r="N24" s="60"/>
      <c r="O24" s="64"/>
    </row>
    <row r="25" spans="2:15" ht="20" customHeight="1">
      <c r="B25" s="65">
        <f>IF($C25="","",ROW()-7)</f>
        <v/>
      </c>
      <c r="C25" s="9"/>
      <c r="D25" s="9"/>
      <c r="E25" s="9"/>
      <c r="F25" s="66"/>
      <c r="G25" s="10"/>
      <c r="H25" s="67"/>
      <c r="I25" s="9"/>
      <c r="J25" s="10"/>
      <c r="K25" s="68"/>
      <c r="L25" s="68"/>
      <c r="M25" s="63">
        <f>IF(OR($K25="",$L25=""),"",ROUND($K25-$L25,2))</f>
        <v/>
      </c>
      <c r="N25" s="10"/>
      <c r="O25" s="69"/>
    </row>
    <row r="26" spans="2:15" ht="20" customHeight="1">
      <c r="B26" s="58">
        <f>IF($C26="","",ROW()-7)</f>
        <v/>
      </c>
      <c r="C26" s="14"/>
      <c r="D26" s="14"/>
      <c r="E26" s="14"/>
      <c r="F26" s="59"/>
      <c r="G26" s="60"/>
      <c r="H26" s="61"/>
      <c r="I26" s="14"/>
      <c r="J26" s="60"/>
      <c r="K26" s="62"/>
      <c r="L26" s="62"/>
      <c r="M26" s="63">
        <f>IF(OR($K26="",$L26=""),"",ROUND($K26-$L26,2))</f>
        <v/>
      </c>
      <c r="N26" s="60"/>
      <c r="O26" s="64"/>
    </row>
    <row r="27" spans="2:15" ht="20" customHeight="1">
      <c r="B27" s="65">
        <f>IF($C27="","",ROW()-7)</f>
        <v/>
      </c>
      <c r="C27" s="9"/>
      <c r="D27" s="9"/>
      <c r="E27" s="9"/>
      <c r="F27" s="66"/>
      <c r="G27" s="10"/>
      <c r="H27" s="67"/>
      <c r="I27" s="9"/>
      <c r="J27" s="10"/>
      <c r="K27" s="68"/>
      <c r="L27" s="68"/>
      <c r="M27" s="63">
        <f>IF(OR($K27="",$L27=""),"",ROUND($K27-$L27,2))</f>
        <v/>
      </c>
      <c r="N27" s="10"/>
      <c r="O27" s="69"/>
    </row>
    <row r="28" spans="2:15" ht="20" customHeight="1">
      <c r="B28" s="58">
        <f>IF($C28="","",ROW()-7)</f>
        <v/>
      </c>
      <c r="C28" s="14"/>
      <c r="D28" s="14"/>
      <c r="E28" s="14"/>
      <c r="F28" s="59"/>
      <c r="G28" s="60"/>
      <c r="H28" s="61"/>
      <c r="I28" s="14"/>
      <c r="J28" s="60"/>
      <c r="K28" s="62"/>
      <c r="L28" s="62"/>
      <c r="M28" s="63">
        <f>IF(OR($K28="",$L28=""),"",ROUND($K28-$L28,2))</f>
        <v/>
      </c>
      <c r="N28" s="60"/>
      <c r="O28" s="64"/>
    </row>
    <row r="29" spans="2:15" ht="20" customHeight="1">
      <c r="B29" s="65">
        <f>IF($C29="","",ROW()-7)</f>
        <v/>
      </c>
      <c r="C29" s="9"/>
      <c r="D29" s="9"/>
      <c r="E29" s="9"/>
      <c r="F29" s="66"/>
      <c r="G29" s="10"/>
      <c r="H29" s="67"/>
      <c r="I29" s="9"/>
      <c r="J29" s="10"/>
      <c r="K29" s="68"/>
      <c r="L29" s="68"/>
      <c r="M29" s="63">
        <f>IF(OR($K29="",$L29=""),"",ROUND($K29-$L29,2))</f>
        <v/>
      </c>
      <c r="N29" s="10"/>
      <c r="O29" s="69"/>
    </row>
    <row r="30" spans="2:15" ht="20" customHeight="1">
      <c r="B30" s="58">
        <f>IF($C30="","",ROW()-7)</f>
        <v/>
      </c>
      <c r="C30" s="14"/>
      <c r="D30" s="14"/>
      <c r="E30" s="14"/>
      <c r="F30" s="59"/>
      <c r="G30" s="60"/>
      <c r="H30" s="61"/>
      <c r="I30" s="14"/>
      <c r="J30" s="60"/>
      <c r="K30" s="62"/>
      <c r="L30" s="62"/>
      <c r="M30" s="63">
        <f>IF(OR($K30="",$L30=""),"",ROUND($K30-$L30,2))</f>
        <v/>
      </c>
      <c r="N30" s="60"/>
      <c r="O30" s="64"/>
    </row>
    <row r="31" spans="2:15" ht="20" customHeight="1">
      <c r="B31" s="65">
        <f>IF($C31="","",ROW()-7)</f>
        <v/>
      </c>
      <c r="C31" s="9"/>
      <c r="D31" s="9"/>
      <c r="E31" s="9"/>
      <c r="F31" s="66"/>
      <c r="G31" s="10"/>
      <c r="H31" s="67"/>
      <c r="I31" s="9"/>
      <c r="J31" s="10"/>
      <c r="K31" s="68"/>
      <c r="L31" s="68"/>
      <c r="M31" s="63">
        <f>IF(OR($K31="",$L31=""),"",ROUND($K31-$L31,2))</f>
        <v/>
      </c>
      <c r="N31" s="10"/>
      <c r="O31" s="69"/>
    </row>
    <row r="32" spans="2:15" ht="20" customHeight="1">
      <c r="B32" s="58">
        <f>IF($C32="","",ROW()-7)</f>
        <v/>
      </c>
      <c r="C32" s="14"/>
      <c r="D32" s="14"/>
      <c r="E32" s="14"/>
      <c r="F32" s="59"/>
      <c r="G32" s="60"/>
      <c r="H32" s="61"/>
      <c r="I32" s="14"/>
      <c r="J32" s="60"/>
      <c r="K32" s="62"/>
      <c r="L32" s="62"/>
      <c r="M32" s="63">
        <f>IF(OR($K32="",$L32=""),"",ROUND($K32-$L32,2))</f>
        <v/>
      </c>
      <c r="N32" s="60"/>
      <c r="O32" s="64"/>
    </row>
    <row r="33" spans="2:15" ht="20" customHeight="1">
      <c r="B33" s="65">
        <f>IF($C33="","",ROW()-7)</f>
        <v/>
      </c>
      <c r="C33" s="9"/>
      <c r="D33" s="9"/>
      <c r="E33" s="9"/>
      <c r="F33" s="66"/>
      <c r="G33" s="10"/>
      <c r="H33" s="67"/>
      <c r="I33" s="9"/>
      <c r="J33" s="10"/>
      <c r="K33" s="68"/>
      <c r="L33" s="68"/>
      <c r="M33" s="63">
        <f>IF(OR($K33="",$L33=""),"",ROUND($K33-$L33,2))</f>
        <v/>
      </c>
      <c r="N33" s="10"/>
      <c r="O33" s="69"/>
    </row>
    <row r="34" spans="2:15" ht="20" customHeight="1">
      <c r="B34" s="58">
        <f>IF($C34="","",ROW()-7)</f>
        <v/>
      </c>
      <c r="C34" s="14"/>
      <c r="D34" s="14"/>
      <c r="E34" s="14"/>
      <c r="F34" s="59"/>
      <c r="G34" s="60"/>
      <c r="H34" s="61"/>
      <c r="I34" s="14"/>
      <c r="J34" s="60"/>
      <c r="K34" s="62"/>
      <c r="L34" s="62"/>
      <c r="M34" s="63">
        <f>IF(OR($K34="",$L34=""),"",ROUND($K34-$L34,2))</f>
        <v/>
      </c>
      <c r="N34" s="60"/>
      <c r="O34" s="64"/>
    </row>
    <row r="35" spans="2:15" ht="20" customHeight="1">
      <c r="B35" s="65">
        <f>IF($C35="","",ROW()-7)</f>
        <v/>
      </c>
      <c r="C35" s="9"/>
      <c r="D35" s="9"/>
      <c r="E35" s="9"/>
      <c r="F35" s="66"/>
      <c r="G35" s="10"/>
      <c r="H35" s="67"/>
      <c r="I35" s="9"/>
      <c r="J35" s="10"/>
      <c r="K35" s="68"/>
      <c r="L35" s="68"/>
      <c r="M35" s="63">
        <f>IF(OR($K35="",$L35=""),"",ROUND($K35-$L35,2))</f>
        <v/>
      </c>
      <c r="N35" s="10"/>
      <c r="O35" s="69"/>
    </row>
    <row r="36" spans="2:15" ht="20" customHeight="1">
      <c r="B36" s="58">
        <f>IF($C36="","",ROW()-7)</f>
        <v/>
      </c>
      <c r="C36" s="14"/>
      <c r="D36" s="14"/>
      <c r="E36" s="14"/>
      <c r="F36" s="59"/>
      <c r="G36" s="60"/>
      <c r="H36" s="61"/>
      <c r="I36" s="14"/>
      <c r="J36" s="60"/>
      <c r="K36" s="62"/>
      <c r="L36" s="62"/>
      <c r="M36" s="63">
        <f>IF(OR($K36="",$L36=""),"",ROUND($K36-$L36,2))</f>
        <v/>
      </c>
      <c r="N36" s="60"/>
      <c r="O36" s="64"/>
    </row>
    <row r="37" spans="2:15" ht="20" customHeight="1">
      <c r="B37" s="65">
        <f>IF($C37="","",ROW()-7)</f>
        <v/>
      </c>
      <c r="C37" s="9"/>
      <c r="D37" s="9"/>
      <c r="E37" s="9"/>
      <c r="F37" s="66"/>
      <c r="G37" s="10"/>
      <c r="H37" s="67"/>
      <c r="I37" s="9"/>
      <c r="J37" s="10"/>
      <c r="K37" s="68"/>
      <c r="L37" s="68"/>
      <c r="M37" s="63">
        <f>IF(OR($K37="",$L37=""),"",ROUND($K37-$L37,2))</f>
        <v/>
      </c>
      <c r="N37" s="10"/>
      <c r="O37" s="69"/>
    </row>
    <row r="38" spans="2:15" ht="20" customHeight="1">
      <c r="B38" s="58">
        <f>IF($C38="","",ROW()-7)</f>
        <v/>
      </c>
      <c r="C38" s="14"/>
      <c r="D38" s="14"/>
      <c r="E38" s="14"/>
      <c r="F38" s="59"/>
      <c r="G38" s="60"/>
      <c r="H38" s="61"/>
      <c r="I38" s="14"/>
      <c r="J38" s="60"/>
      <c r="K38" s="62"/>
      <c r="L38" s="62"/>
      <c r="M38" s="63">
        <f>IF(OR($K38="",$L38=""),"",ROUND($K38-$L38,2))</f>
        <v/>
      </c>
      <c r="N38" s="60"/>
      <c r="O38" s="64"/>
    </row>
    <row r="39" spans="2:15" ht="20" customHeight="1">
      <c r="B39" s="65">
        <f>IF($C39="","",ROW()-7)</f>
        <v/>
      </c>
      <c r="C39" s="9"/>
      <c r="D39" s="9"/>
      <c r="E39" s="9"/>
      <c r="F39" s="66"/>
      <c r="G39" s="10"/>
      <c r="H39" s="67"/>
      <c r="I39" s="9"/>
      <c r="J39" s="10"/>
      <c r="K39" s="68"/>
      <c r="L39" s="68"/>
      <c r="M39" s="63">
        <f>IF(OR($K39="",$L39=""),"",ROUND($K39-$L39,2))</f>
        <v/>
      </c>
      <c r="N39" s="10"/>
      <c r="O39" s="69"/>
    </row>
    <row r="40" spans="2:15" ht="20" customHeight="1">
      <c r="B40" s="58">
        <f>IF($C40="","",ROW()-7)</f>
        <v/>
      </c>
      <c r="C40" s="14"/>
      <c r="D40" s="14"/>
      <c r="E40" s="14"/>
      <c r="F40" s="59"/>
      <c r="G40" s="60"/>
      <c r="H40" s="61"/>
      <c r="I40" s="14"/>
      <c r="J40" s="60"/>
      <c r="K40" s="62"/>
      <c r="L40" s="62"/>
      <c r="M40" s="63">
        <f>IF(OR($K40="",$L40=""),"",ROUND($K40-$L40,2))</f>
        <v/>
      </c>
      <c r="N40" s="60"/>
      <c r="O40" s="64"/>
    </row>
    <row r="41" spans="2:15" ht="20" customHeight="1">
      <c r="B41" s="65">
        <f>IF($C41="","",ROW()-7)</f>
        <v/>
      </c>
      <c r="C41" s="9"/>
      <c r="D41" s="9"/>
      <c r="E41" s="9"/>
      <c r="F41" s="66"/>
      <c r="G41" s="10"/>
      <c r="H41" s="67"/>
      <c r="I41" s="9"/>
      <c r="J41" s="10"/>
      <c r="K41" s="68"/>
      <c r="L41" s="68"/>
      <c r="M41" s="63">
        <f>IF(OR($K41="",$L41=""),"",ROUND($K41-$L41,2))</f>
        <v/>
      </c>
      <c r="N41" s="10"/>
      <c r="O41" s="69"/>
    </row>
    <row r="42" spans="2:15" ht="20" customHeight="1">
      <c r="B42" s="58">
        <f>IF($C42="","",ROW()-7)</f>
        <v/>
      </c>
      <c r="C42" s="14"/>
      <c r="D42" s="14"/>
      <c r="E42" s="14"/>
      <c r="F42" s="59"/>
      <c r="G42" s="60"/>
      <c r="H42" s="61"/>
      <c r="I42" s="14"/>
      <c r="J42" s="60"/>
      <c r="K42" s="62"/>
      <c r="L42" s="62"/>
      <c r="M42" s="63">
        <f>IF(OR($K42="",$L42=""),"",ROUND($K42-$L42,2))</f>
        <v/>
      </c>
      <c r="N42" s="60"/>
      <c r="O42" s="64"/>
    </row>
    <row r="43" spans="2:15" ht="20" customHeight="1">
      <c r="B43" s="65">
        <f>IF($C43="","",ROW()-7)</f>
        <v/>
      </c>
      <c r="C43" s="9"/>
      <c r="D43" s="9"/>
      <c r="E43" s="9"/>
      <c r="F43" s="66"/>
      <c r="G43" s="10"/>
      <c r="H43" s="67"/>
      <c r="I43" s="9"/>
      <c r="J43" s="10"/>
      <c r="K43" s="68"/>
      <c r="L43" s="68"/>
      <c r="M43" s="63">
        <f>IF(OR($K43="",$L43=""),"",ROUND($K43-$L43,2))</f>
        <v/>
      </c>
      <c r="N43" s="10"/>
      <c r="O43" s="69"/>
    </row>
    <row r="44" spans="2:15" ht="20" customHeight="1">
      <c r="B44" s="58">
        <f>IF($C44="","",ROW()-7)</f>
        <v/>
      </c>
      <c r="C44" s="14"/>
      <c r="D44" s="14"/>
      <c r="E44" s="14"/>
      <c r="F44" s="59"/>
      <c r="G44" s="60"/>
      <c r="H44" s="61"/>
      <c r="I44" s="14"/>
      <c r="J44" s="60"/>
      <c r="K44" s="62"/>
      <c r="L44" s="62"/>
      <c r="M44" s="63">
        <f>IF(OR($K44="",$L44=""),"",ROUND($K44-$L44,2))</f>
        <v/>
      </c>
      <c r="N44" s="60"/>
      <c r="O44" s="64"/>
    </row>
    <row r="45" spans="2:15" ht="20" customHeight="1">
      <c r="B45" s="65">
        <f>IF($C45="","",ROW()-7)</f>
        <v/>
      </c>
      <c r="C45" s="9"/>
      <c r="D45" s="9"/>
      <c r="E45" s="9"/>
      <c r="F45" s="66"/>
      <c r="G45" s="10"/>
      <c r="H45" s="67"/>
      <c r="I45" s="9"/>
      <c r="J45" s="10"/>
      <c r="K45" s="68"/>
      <c r="L45" s="68"/>
      <c r="M45" s="63">
        <f>IF(OR($K45="",$L45=""),"",ROUND($K45-$L45,2))</f>
        <v/>
      </c>
      <c r="N45" s="10"/>
      <c r="O45" s="69"/>
    </row>
    <row r="46" spans="2:15" ht="20" customHeight="1">
      <c r="B46" s="58">
        <f>IF($C46="","",ROW()-7)</f>
        <v/>
      </c>
      <c r="C46" s="14"/>
      <c r="D46" s="14"/>
      <c r="E46" s="14"/>
      <c r="F46" s="59"/>
      <c r="G46" s="60"/>
      <c r="H46" s="61"/>
      <c r="I46" s="14"/>
      <c r="J46" s="60"/>
      <c r="K46" s="62"/>
      <c r="L46" s="62"/>
      <c r="M46" s="63">
        <f>IF(OR($K46="",$L46=""),"",ROUND($K46-$L46,2))</f>
        <v/>
      </c>
      <c r="N46" s="60"/>
      <c r="O46" s="64"/>
    </row>
    <row r="47" spans="2:15" ht="20" customHeight="1">
      <c r="B47" s="65">
        <f>IF($C47="","",ROW()-7)</f>
        <v/>
      </c>
      <c r="C47" s="9"/>
      <c r="D47" s="9"/>
      <c r="E47" s="9"/>
      <c r="F47" s="66"/>
      <c r="G47" s="10"/>
      <c r="H47" s="67"/>
      <c r="I47" s="9"/>
      <c r="J47" s="10"/>
      <c r="K47" s="68"/>
      <c r="L47" s="68"/>
      <c r="M47" s="63">
        <f>IF(OR($K47="",$L47=""),"",ROUND($K47-$L47,2))</f>
        <v/>
      </c>
      <c r="N47" s="10"/>
      <c r="O47" s="69"/>
    </row>
    <row r="48" spans="2:15" ht="24" customHeight="1">
      <c r="B48" s="70" t="s">
        <v>218</v>
      </c>
      <c r="C48" s="70"/>
      <c r="D48" s="71"/>
      <c r="E48" s="71"/>
      <c r="F48" s="71"/>
      <c r="G48" s="71"/>
      <c r="H48" s="72">
        <f>SUM('👥 Clients'!$H$8:$H$47)</f>
        <v>0</v>
      </c>
      <c r="I48" s="71"/>
      <c r="J48" s="71"/>
      <c r="K48" s="72">
        <f>SUM('👥 Clients'!$K$8:$K$47)</f>
        <v>0</v>
      </c>
      <c r="L48" s="72">
        <f>SUM('👥 Clients'!$L$8:$L$47)</f>
        <v>0</v>
      </c>
      <c r="M48" s="72">
        <f>SUM('👥 Clients'!$K$8:$K$47)-SUM('👥 Clients'!$L$8:$L$47)</f>
        <v>0</v>
      </c>
      <c r="N48" s="71"/>
      <c r="O48" s="71"/>
    </row>
    <row r="50" spans="2:15" ht="22" customHeight="1">
      <c r="B50" s="15" t="s">
        <v>219</v>
      </c>
      <c r="C50" s="15"/>
      <c r="D50" s="15"/>
      <c r="E50" s="15"/>
      <c r="F50" s="15"/>
      <c r="G50" s="15"/>
      <c r="H50" s="15"/>
      <c r="I50" s="15"/>
      <c r="J50" s="15"/>
      <c r="K50" s="15"/>
      <c r="L50" s="15"/>
      <c r="M50" s="15"/>
      <c r="N50" s="15"/>
    </row>
    <row r="51" spans="2:15" ht="37.2" customHeight="1">
      <c r="B51" s="22" t="s">
        <v>220</v>
      </c>
      <c r="C51" s="22"/>
      <c r="D51" s="22"/>
      <c r="E51" s="22"/>
      <c r="F51" s="22"/>
      <c r="G51" s="22"/>
      <c r="H51" s="22"/>
      <c r="I51" s="22"/>
      <c r="J51" s="22"/>
      <c r="K51" s="22"/>
      <c r="L51" s="22"/>
      <c r="M51" s="22"/>
      <c r="N51" s="22"/>
    </row>
    <row r="55" spans="2:15">
      <c r="B55" s="23" t="s">
        <v>202</v>
      </c>
      <c r="C55" s="23"/>
      <c r="D55" s="24" t="s">
        <v>164</v>
      </c>
      <c r="E55" s="24"/>
      <c r="F55" s="25" t="s">
        <v>221</v>
      </c>
      <c r="G55" s="25"/>
      <c r="H55" s="26" t="s">
        <v>17</v>
      </c>
      <c r="I55" s="26"/>
      <c r="J55" s="27" t="s">
        <v>166</v>
      </c>
      <c r="K55" s="27"/>
      <c r="L55" s="28" t="s">
        <v>167</v>
      </c>
      <c r="M55" s="28"/>
      <c r="N55" s="29" t="s">
        <v>168</v>
      </c>
      <c r="O55" s="29"/>
    </row>
    <row r="56" spans="2:15" ht="24" customHeight="1">
      <c r="B56" s="30" t="s">
        <v>169</v>
      </c>
      <c r="C56" s="30"/>
      <c r="D56" s="24" t="s">
        <v>170</v>
      </c>
      <c r="E56" s="24"/>
      <c r="F56" s="26" t="s">
        <v>171</v>
      </c>
      <c r="G56" s="26"/>
      <c r="H56" s="23" t="s">
        <v>172</v>
      </c>
      <c r="I56" s="23"/>
      <c r="J56" s="24" t="s">
        <v>173</v>
      </c>
      <c r="K56" s="24"/>
      <c r="L56" s="25" t="s">
        <v>174</v>
      </c>
      <c r="M56" s="25"/>
      <c r="N56" s="26" t="s">
        <v>175</v>
      </c>
      <c r="O56" s="26"/>
    </row>
    <row r="57" spans="2:15" ht="24" customHeight="1">
      <c r="B57" s="27" t="s">
        <v>176</v>
      </c>
      <c r="C57" s="27"/>
      <c r="D57" s="28" t="s">
        <v>177</v>
      </c>
      <c r="E57" s="28"/>
      <c r="F57" s="29" t="s">
        <v>178</v>
      </c>
      <c r="G57" s="29"/>
      <c r="H57" s="30" t="s">
        <v>179</v>
      </c>
      <c r="I57" s="30"/>
      <c r="J57" s="24" t="s">
        <v>180</v>
      </c>
      <c r="K57" s="24"/>
    </row>
  </sheetData>
  <mergeCells count="29">
    <mergeCell ref="B2:L2"/>
    <mergeCell ref="B3:L3"/>
    <mergeCell ref="M3:O3"/>
    <mergeCell ref="B5:C5"/>
    <mergeCell ref="D5:E5"/>
    <mergeCell ref="F5:G5"/>
    <mergeCell ref="H5:I5"/>
    <mergeCell ref="B48:C48"/>
    <mergeCell ref="B50:N50"/>
    <mergeCell ref="B51:N51"/>
    <mergeCell ref="B55:C55"/>
    <mergeCell ref="D55:E55"/>
    <mergeCell ref="F55:G55"/>
    <mergeCell ref="H55:I55"/>
    <mergeCell ref="J55:K55"/>
    <mergeCell ref="L55:M55"/>
    <mergeCell ref="N55:O55"/>
    <mergeCell ref="B56:C56"/>
    <mergeCell ref="D56:E56"/>
    <mergeCell ref="F56:G56"/>
    <mergeCell ref="H56:I56"/>
    <mergeCell ref="J56:K56"/>
    <mergeCell ref="L56:M56"/>
    <mergeCell ref="N56:O56"/>
    <mergeCell ref="B57:C57"/>
    <mergeCell ref="D57:E57"/>
    <mergeCell ref="F57:G57"/>
    <mergeCell ref="H57:I57"/>
    <mergeCell ref="J57:K57"/>
  </mergeCells>
  <conditionalFormatting sqref="F8:F47">
    <cfRule type="expression" dxfId="3" priority="4">
      <formula>AND($F8&lt;&gt;"",$F8&gt;=TODAY(),$F8-TODAY()&lt;=DueSoonDays)</formula>
    </cfRule>
  </conditionalFormatting>
  <conditionalFormatting sqref="N8:N47">
    <cfRule type="expression" dxfId="0" priority="1">
      <formula>$N8="🔴 Unpaid"</formula>
    </cfRule>
    <cfRule type="expression" dxfId="1" priority="2">
      <formula>$N8="🟠 Partial"</formula>
    </cfRule>
    <cfRule type="expression" dxfId="2" priority="3">
      <formula>$N8="🟢 Paid in full"</formula>
    </cfRule>
  </conditionalFormatting>
  <dataValidations count="6">
    <dataValidation type="list" allowBlank="1" showInputMessage="1" promptTitle="Event type" prompt="Pick from your list (edit it on Setup)." sqref="G8:G47">
      <formula1>EventTypes</formula1>
    </dataValidation>
    <dataValidation type="list" allowBlank="1" showInputMessage="1" promptTitle="Payment status" prompt="Unpaid / Partial / Paid in full." sqref="N8:N47">
      <formula1>PaymentStatuses</formula1>
    </dataValidation>
    <dataValidation type="date" errorStyle="warning" allowBlank="1" showInputMessage="1" showErrorMessage="1" errorTitle="That's not a date" error="Enter a date between 2000 and 2100." promptTitle="Date" prompt="Type a date, or pick one from the calendar picker." sqref="F8:F47">
      <formula1>36526</formula1>
      <formula2>73415</formula2>
    </dataValidation>
    <dataValidation type="whole" errorStyle="warning" allowBlank="1" showInputMessage="1" showErrorMessage="1" errorTitle="Whole numbers only" error="Please enter a whole number." sqref="H8:H47">
      <formula1>0</formula1>
      <formula2>100000</formula2>
    </dataValidation>
    <dataValidation type="decimal" operator="greaterThanOrEqual" errorStyle="warning" allowBlank="1" showInputMessage="1" showErrorMessage="1" errorTitle="Enter money" error="Please enter a positive number (no currency symbol) - the symbol comes from Setup." sqref="K8:K47">
      <formula1>0</formula1>
    </dataValidation>
    <dataValidation type="decimal" operator="greaterThanOrEqual" errorStyle="warning" allowBlank="1" showInputMessage="1" showErrorMessage="1" errorTitle="Enter money" error="Please enter a positive number (no currency symbol) - the symbol comes from Setup." sqref="L8:L47">
      <formula1>0</formula1>
    </dataValidation>
  </dataValidations>
  <hyperlinks>
    <hyperlink ref="M3" location="'📊 Dashboard'!A1" display="🏠  Back to Dashboard"/>
    <hyperlink ref="B55" location="'⚙️ Setup'!A1" display="Setup"/>
    <hyperlink ref="D55" location="'📊 Dashboard'!A1" display="🏠 Home"/>
    <hyperlink ref="F55" location="'👥 Clients'!A1" display="▶ Clients"/>
    <hyperlink ref="H55" location="'📅 Events'!A1" display="Events"/>
    <hyperlink ref="J55" location="'🧮 Quote Calculator'!A1" display="Quote"/>
    <hyperlink ref="L55" location="'🍽️ Menu Costing'!A1" display="Menu"/>
    <hyperlink ref="N55" location="'📦 Inventory'!A1" display="Stock"/>
    <hyperlink ref="B56" location="'🛒 Shopping List'!A1" display="Shop"/>
    <hyperlink ref="D56" location="'💸 Expenses'!A1" display="Expenses"/>
    <hyperlink ref="F56" location="'💰 Payments'!A1" display="Payments"/>
    <hyperlink ref="H56" location="'👷 Staff &amp; Labor'!A1" display="Staff"/>
    <hyperlink ref="J56" location="'🍳 Equipment'!A1" display="Equip"/>
    <hyperlink ref="L56" location="'🚚 Suppliers'!A1" display="Suppliers"/>
    <hyperlink ref="N56" location="'📆 Event Calendar'!A1" display="Calendar"/>
    <hyperlink ref="B57" location="'📈 P&amp;L &amp; Reports'!A1" display="P&amp;L"/>
    <hyperlink ref="D57" location="'🧾 Tax Tracker'!A1" display="Tax"/>
    <hyperlink ref="F57" location="'✅ Checklists'!A1" display="Checks"/>
    <hyperlink ref="H57" location="'🖨️ Invoice &amp; Proposal'!A1" display="Invoice"/>
    <hyperlink ref="J57"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99A18"/>
    <pageSetUpPr fitToPage="1"/>
  </sheetPr>
  <dimension ref="A1:R57"/>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RowHeight="15" x14ac:dyDescent="0.25"/>
  <cols>
    <col min="1" max="1" width="2.85546875" customWidth="1"/>
    <col min="2" max="2" width="5.28515625" customWidth="1"/>
    <col min="3" max="3" width="10.7109375" customWidth="1"/>
    <col min="4" max="4" width="21.7109375" customWidth="1"/>
    <col min="5" max="5" width="12.7109375" customWidth="1"/>
    <col min="6" max="6" width="13.7109375" customWidth="1"/>
    <col min="7" max="7" width="8.7109375" customWidth="1"/>
    <col min="8" max="8" width="30.7109375" customWidth="1"/>
    <col min="9" max="9" width="9.7109375" customWidth="1"/>
    <col min="10" max="10" width="22.7109375" customWidth="1"/>
    <col min="11" max="13" width="11.7109375" customWidth="1"/>
    <col min="14" max="14" width="9.7109375" customWidth="1"/>
    <col min="15" max="16" width="11.7109375" customWidth="1"/>
    <col min="17" max="17" width="16.7109375" customWidth="1"/>
    <col min="18" max="18" width="24.7109375" customWidth="1"/>
  </cols>
  <sheetData>
    <row r="1" spans="2:18" ht="7" customHeight="1" x14ac:dyDescent="0.25"/>
    <row r="2" spans="2:18" ht="30" customHeight="1" x14ac:dyDescent="0.25">
      <c r="B2" s="3" t="s">
        <v>17</v>
      </c>
      <c r="C2" s="3"/>
      <c r="D2" s="3"/>
      <c r="E2" s="3"/>
      <c r="F2" s="3"/>
      <c r="G2" s="3"/>
      <c r="H2" s="3"/>
      <c r="I2" s="3"/>
      <c r="J2" s="3"/>
      <c r="K2" s="3"/>
      <c r="L2" s="3"/>
      <c r="M2" s="3"/>
      <c r="N2" s="3"/>
      <c r="O2" s="3"/>
      <c r="P2" s="4"/>
      <c r="Q2" s="4"/>
      <c r="R2" s="4"/>
    </row>
    <row r="3" spans="2:18" ht="18" customHeight="1" x14ac:dyDescent="0.25">
      <c r="B3" s="5" t="s">
        <v>222</v>
      </c>
      <c r="C3" s="5"/>
      <c r="D3" s="5"/>
      <c r="E3" s="5"/>
      <c r="F3" s="5"/>
      <c r="G3" s="5"/>
      <c r="H3" s="5"/>
      <c r="I3" s="5"/>
      <c r="J3" s="5"/>
      <c r="K3" s="5"/>
      <c r="L3" s="5"/>
      <c r="M3" s="5"/>
      <c r="N3" s="5"/>
      <c r="O3" s="5"/>
      <c r="P3" s="6" t="s">
        <v>97</v>
      </c>
      <c r="Q3" s="6"/>
      <c r="R3" s="6"/>
    </row>
    <row r="4" spans="2:18" ht="7" customHeight="1" x14ac:dyDescent="0.25"/>
    <row r="5" spans="2:18" ht="26" customHeight="1" x14ac:dyDescent="0.25">
      <c r="B5" s="50" t="str">
        <f>"Bookings: "&amp;SUMPRODUCT(('📅 Events'!$Q$8:$Q$47&lt;&gt;"")*('📅 Events'!$Q$8:$Q$47&lt;&gt;"❌ Cancelled"))</f>
        <v>Bookings: 0</v>
      </c>
      <c r="C5" s="50"/>
      <c r="D5" s="73" t="str">
        <f>"In the pipeline: "&amp;COUNTIF('📅 Events'!$Q$8:$Q$47,"📝 Quote Sent") + COUNTIF('📅 Events'!$Q$8:$Q$47,"💰 Deposit Paid") + COUNTIF('📅 Events'!$Q$8:$Q$47,"✅ Confirmed") + COUNTIF('📅 Events'!$Q$8:$Q$47,"🎉 Completed")</f>
        <v>In the pipeline: 0</v>
      </c>
      <c r="E5" s="73"/>
      <c r="F5" s="52" t="str">
        <f>"Booked value: "&amp;Currency&amp;TEXT(SUMPRODUCT(('📅 Events'!$Q$8:$Q$47&lt;&gt;"❌ Cancelled")*'📅 Events'!$L$8:$L$47),"#,##0")</f>
        <v>Booked value: $0</v>
      </c>
      <c r="G5" s="52"/>
      <c r="H5" s="74" t="str">
        <f>"Expected profit: "&amp;Currency&amp;TEXT(SUMPRODUCT(('📅 Events'!$Q$8:$Q$47&lt;&gt;"❌ Cancelled")*'📅 Events'!$L$8:$L$47)-SUMPRODUCT(('📅 Events'!$Q$8:$Q$47&lt;&gt;"❌ Cancelled")*'📅 Events'!$K$8:$K$47),"#,##0")</f>
        <v>Expected profit: $0</v>
      </c>
      <c r="I5" s="74"/>
    </row>
    <row r="6" spans="2:18" ht="7" customHeight="1" x14ac:dyDescent="0.25"/>
    <row r="7" spans="2:18" ht="36" customHeight="1" x14ac:dyDescent="0.25">
      <c r="B7" s="2" t="s">
        <v>205</v>
      </c>
      <c r="C7" s="2" t="s">
        <v>223</v>
      </c>
      <c r="D7" s="54" t="s">
        <v>49</v>
      </c>
      <c r="E7" s="55" t="s">
        <v>224</v>
      </c>
      <c r="F7" s="2" t="s">
        <v>225</v>
      </c>
      <c r="G7" s="2" t="s">
        <v>210</v>
      </c>
      <c r="H7" s="2" t="s">
        <v>226</v>
      </c>
      <c r="I7" s="2" t="s">
        <v>227</v>
      </c>
      <c r="J7" s="2" t="s">
        <v>228</v>
      </c>
      <c r="K7" s="75" t="s">
        <v>229</v>
      </c>
      <c r="L7" s="56" t="s">
        <v>230</v>
      </c>
      <c r="M7" s="2" t="s">
        <v>231</v>
      </c>
      <c r="N7" s="2" t="s">
        <v>232</v>
      </c>
      <c r="O7" s="2" t="s">
        <v>214</v>
      </c>
      <c r="P7" s="2" t="s">
        <v>57</v>
      </c>
      <c r="Q7" s="57" t="s">
        <v>42</v>
      </c>
      <c r="R7" s="2" t="s">
        <v>217</v>
      </c>
    </row>
    <row r="8" spans="2:18" ht="20" customHeight="1" x14ac:dyDescent="0.25">
      <c r="B8" s="58">
        <f>IF($C8="","",ROW()-7)</f>
        <v/>
      </c>
      <c r="C8" s="60"/>
      <c r="D8" s="14"/>
      <c r="E8" s="59"/>
      <c r="F8" s="60"/>
      <c r="G8" s="61"/>
      <c r="H8" s="64"/>
      <c r="I8" s="61"/>
      <c r="J8" s="64"/>
      <c r="K8" s="62"/>
      <c r="L8" s="62"/>
      <c r="M8" s="63">
        <f>IF(OR($K8="",$L8=""),"",ROUND($L8-$K8,2))</f>
        <v/>
      </c>
      <c r="N8" s="76">
        <f>IFERROR(IF($M8="","",$M8/$L8),"")</f>
        <v/>
      </c>
      <c r="O8" s="62"/>
      <c r="P8" s="63">
        <f>IF($L8="","",ROUND($L8-$O8,2))</f>
        <v/>
      </c>
      <c r="Q8" s="60"/>
      <c r="R8" s="64"/>
    </row>
    <row r="9" spans="2:18" ht="20" customHeight="1" x14ac:dyDescent="0.25">
      <c r="B9" s="65">
        <f>IF($C9="","",ROW()-7)</f>
        <v/>
      </c>
      <c r="C9" s="10"/>
      <c r="D9" s="9"/>
      <c r="E9" s="66"/>
      <c r="F9" s="10"/>
      <c r="G9" s="67"/>
      <c r="H9" s="69"/>
      <c r="I9" s="67"/>
      <c r="J9" s="69"/>
      <c r="K9" s="68"/>
      <c r="L9" s="68"/>
      <c r="M9" s="63">
        <f>IF(OR($K9="",$L9=""),"",ROUND($L9-$K9,2))</f>
        <v/>
      </c>
      <c r="N9" s="76">
        <f>IFERROR(IF($M9="","",$M9/$L9),"")</f>
        <v/>
      </c>
      <c r="O9" s="68"/>
      <c r="P9" s="63">
        <f>IF($L9="","",ROUND($L9-$O9,2))</f>
        <v/>
      </c>
      <c r="Q9" s="10"/>
      <c r="R9" s="69"/>
    </row>
    <row r="10" spans="2:18" ht="20" customHeight="1" x14ac:dyDescent="0.25">
      <c r="B10" s="58">
        <f>IF($C10="","",ROW()-7)</f>
        <v/>
      </c>
      <c r="C10" s="60"/>
      <c r="D10" s="14"/>
      <c r="E10" s="59"/>
      <c r="F10" s="60"/>
      <c r="G10" s="61"/>
      <c r="H10" s="64"/>
      <c r="I10" s="61"/>
      <c r="J10" s="64"/>
      <c r="K10" s="62"/>
      <c r="L10" s="62"/>
      <c r="M10" s="63">
        <f>IF(OR($K10="",$L10=""),"",ROUND($L10-$K10,2))</f>
        <v/>
      </c>
      <c r="N10" s="76">
        <f>IFERROR(IF($M10="","",$M10/$L10),"")</f>
        <v/>
      </c>
      <c r="O10" s="62"/>
      <c r="P10" s="63">
        <f>IF($L10="","",ROUND($L10-$O10,2))</f>
        <v/>
      </c>
      <c r="Q10" s="60"/>
      <c r="R10" s="64"/>
    </row>
    <row r="11" spans="2:18" ht="20" customHeight="1" x14ac:dyDescent="0.25">
      <c r="B11" s="65">
        <f>IF($C11="","",ROW()-7)</f>
        <v/>
      </c>
      <c r="C11" s="10"/>
      <c r="D11" s="9"/>
      <c r="E11" s="66"/>
      <c r="F11" s="10"/>
      <c r="G11" s="67"/>
      <c r="H11" s="69"/>
      <c r="I11" s="67"/>
      <c r="J11" s="69"/>
      <c r="K11" s="68"/>
      <c r="L11" s="68"/>
      <c r="M11" s="63">
        <f>IF(OR($K11="",$L11=""),"",ROUND($L11-$K11,2))</f>
        <v/>
      </c>
      <c r="N11" s="76">
        <f>IFERROR(IF($M11="","",$M11/$L11),"")</f>
        <v/>
      </c>
      <c r="O11" s="68"/>
      <c r="P11" s="63">
        <f>IF($L11="","",ROUND($L11-$O11,2))</f>
        <v/>
      </c>
      <c r="Q11" s="10"/>
      <c r="R11" s="69"/>
    </row>
    <row r="12" spans="2:18" ht="20" customHeight="1" x14ac:dyDescent="0.25">
      <c r="B12" s="58">
        <f>IF($C12="","",ROW()-7)</f>
        <v/>
      </c>
      <c r="C12" s="60"/>
      <c r="D12" s="14"/>
      <c r="E12" s="59"/>
      <c r="F12" s="60"/>
      <c r="G12" s="61"/>
      <c r="H12" s="64"/>
      <c r="I12" s="61"/>
      <c r="J12" s="64"/>
      <c r="K12" s="62"/>
      <c r="L12" s="62"/>
      <c r="M12" s="63">
        <f>IF(OR($K12="",$L12=""),"",ROUND($L12-$K12,2))</f>
        <v/>
      </c>
      <c r="N12" s="76">
        <f>IFERROR(IF($M12="","",$M12/$L12),"")</f>
        <v/>
      </c>
      <c r="O12" s="62"/>
      <c r="P12" s="63">
        <f>IF($L12="","",ROUND($L12-$O12,2))</f>
        <v/>
      </c>
      <c r="Q12" s="60"/>
      <c r="R12" s="64"/>
    </row>
    <row r="13" spans="2:18" ht="20" customHeight="1" x14ac:dyDescent="0.25">
      <c r="B13" s="65">
        <f>IF($C13="","",ROW()-7)</f>
        <v/>
      </c>
      <c r="C13" s="10"/>
      <c r="D13" s="9"/>
      <c r="E13" s="66"/>
      <c r="F13" s="10"/>
      <c r="G13" s="67"/>
      <c r="H13" s="69"/>
      <c r="I13" s="67"/>
      <c r="J13" s="69"/>
      <c r="K13" s="68"/>
      <c r="L13" s="68"/>
      <c r="M13" s="63">
        <f>IF(OR($K13="",$L13=""),"",ROUND($L13-$K13,2))</f>
        <v/>
      </c>
      <c r="N13" s="76">
        <f>IFERROR(IF($M13="","",$M13/$L13),"")</f>
        <v/>
      </c>
      <c r="O13" s="68"/>
      <c r="P13" s="63">
        <f>IF($L13="","",ROUND($L13-$O13,2))</f>
        <v/>
      </c>
      <c r="Q13" s="10"/>
      <c r="R13" s="69"/>
    </row>
    <row r="14" spans="2:18" ht="20" customHeight="1" x14ac:dyDescent="0.25">
      <c r="B14" s="58">
        <f>IF($C14="","",ROW()-7)</f>
        <v/>
      </c>
      <c r="C14" s="60"/>
      <c r="D14" s="14"/>
      <c r="E14" s="59"/>
      <c r="F14" s="60"/>
      <c r="G14" s="61"/>
      <c r="H14" s="64"/>
      <c r="I14" s="61"/>
      <c r="J14" s="64"/>
      <c r="K14" s="62"/>
      <c r="L14" s="62"/>
      <c r="M14" s="63">
        <f>IF(OR($K14="",$L14=""),"",ROUND($L14-$K14,2))</f>
        <v/>
      </c>
      <c r="N14" s="76">
        <f>IFERROR(IF($M14="","",$M14/$L14),"")</f>
        <v/>
      </c>
      <c r="O14" s="62"/>
      <c r="P14" s="63">
        <f>IF($L14="","",ROUND($L14-$O14,2))</f>
        <v/>
      </c>
      <c r="Q14" s="60"/>
      <c r="R14" s="64"/>
    </row>
    <row r="15" spans="2:18" ht="20" customHeight="1" x14ac:dyDescent="0.25">
      <c r="B15" s="65">
        <f>IF($C15="","",ROW()-7)</f>
        <v/>
      </c>
      <c r="C15" s="10"/>
      <c r="D15" s="9"/>
      <c r="E15" s="66"/>
      <c r="F15" s="10"/>
      <c r="G15" s="67"/>
      <c r="H15" s="69"/>
      <c r="I15" s="67"/>
      <c r="J15" s="69"/>
      <c r="K15" s="68"/>
      <c r="L15" s="68"/>
      <c r="M15" s="63">
        <f>IF(OR($K15="",$L15=""),"",ROUND($L15-$K15,2))</f>
        <v/>
      </c>
      <c r="N15" s="76">
        <f>IFERROR(IF($M15="","",$M15/$L15),"")</f>
        <v/>
      </c>
      <c r="O15" s="68"/>
      <c r="P15" s="63">
        <f>IF($L15="","",ROUND($L15-$O15,2))</f>
        <v/>
      </c>
      <c r="Q15" s="10"/>
      <c r="R15" s="69"/>
    </row>
    <row r="16" spans="2:18" ht="20" customHeight="1" x14ac:dyDescent="0.25">
      <c r="B16" s="58">
        <f>IF($C16="","",ROW()-7)</f>
        <v/>
      </c>
      <c r="C16" s="60"/>
      <c r="D16" s="14"/>
      <c r="E16" s="59"/>
      <c r="F16" s="60"/>
      <c r="G16" s="61"/>
      <c r="H16" s="64"/>
      <c r="I16" s="61"/>
      <c r="J16" s="64"/>
      <c r="K16" s="62"/>
      <c r="L16" s="62"/>
      <c r="M16" s="63">
        <f>IF(OR($K16="",$L16=""),"",ROUND($L16-$K16,2))</f>
        <v/>
      </c>
      <c r="N16" s="76">
        <f>IFERROR(IF($M16="","",$M16/$L16),"")</f>
        <v/>
      </c>
      <c r="O16" s="62"/>
      <c r="P16" s="63">
        <f>IF($L16="","",ROUND($L16-$O16,2))</f>
        <v/>
      </c>
      <c r="Q16" s="60"/>
      <c r="R16" s="64"/>
    </row>
    <row r="17" spans="2:18" ht="20" customHeight="1" x14ac:dyDescent="0.25">
      <c r="B17" s="65">
        <f>IF($C17="","",ROW()-7)</f>
        <v/>
      </c>
      <c r="C17" s="10"/>
      <c r="D17" s="9"/>
      <c r="E17" s="66"/>
      <c r="F17" s="10"/>
      <c r="G17" s="67"/>
      <c r="H17" s="69"/>
      <c r="I17" s="67"/>
      <c r="J17" s="69"/>
      <c r="K17" s="68"/>
      <c r="L17" s="68"/>
      <c r="M17" s="63">
        <f>IF(OR($K17="",$L17=""),"",ROUND($L17-$K17,2))</f>
        <v/>
      </c>
      <c r="N17" s="76">
        <f>IFERROR(IF($M17="","",$M17/$L17),"")</f>
        <v/>
      </c>
      <c r="O17" s="68"/>
      <c r="P17" s="63">
        <f>IF($L17="","",ROUND($L17-$O17,2))</f>
        <v/>
      </c>
      <c r="Q17" s="10"/>
      <c r="R17" s="69"/>
    </row>
    <row r="18" spans="2:18" ht="20" customHeight="1" x14ac:dyDescent="0.25">
      <c r="B18" s="58">
        <f>IF($C18="","",ROW()-7)</f>
        <v/>
      </c>
      <c r="C18" s="60"/>
      <c r="D18" s="14"/>
      <c r="E18" s="59"/>
      <c r="F18" s="60"/>
      <c r="G18" s="61"/>
      <c r="H18" s="64"/>
      <c r="I18" s="61"/>
      <c r="J18" s="64"/>
      <c r="K18" s="62"/>
      <c r="L18" s="62"/>
      <c r="M18" s="63">
        <f>IF(OR($K18="",$L18=""),"",ROUND($L18-$K18,2))</f>
        <v/>
      </c>
      <c r="N18" s="76">
        <f>IFERROR(IF($M18="","",$M18/$L18),"")</f>
        <v/>
      </c>
      <c r="O18" s="62"/>
      <c r="P18" s="63">
        <f>IF($L18="","",ROUND($L18-$O18,2))</f>
        <v/>
      </c>
      <c r="Q18" s="60"/>
      <c r="R18" s="64"/>
    </row>
    <row r="19" spans="2:18" ht="20" customHeight="1" x14ac:dyDescent="0.25">
      <c r="B19" s="65">
        <f>IF($C19="","",ROW()-7)</f>
        <v/>
      </c>
      <c r="C19" s="10"/>
      <c r="D19" s="9"/>
      <c r="E19" s="66"/>
      <c r="F19" s="10"/>
      <c r="G19" s="67"/>
      <c r="H19" s="69"/>
      <c r="I19" s="67"/>
      <c r="J19" s="69"/>
      <c r="K19" s="68"/>
      <c r="L19" s="68"/>
      <c r="M19" s="63">
        <f>IF(OR($K19="",$L19=""),"",ROUND($L19-$K19,2))</f>
        <v/>
      </c>
      <c r="N19" s="76">
        <f>IFERROR(IF($M19="","",$M19/$L19),"")</f>
        <v/>
      </c>
      <c r="O19" s="68"/>
      <c r="P19" s="63">
        <f>IF($L19="","",ROUND($L19-$O19,2))</f>
        <v/>
      </c>
      <c r="Q19" s="10"/>
      <c r="R19" s="69"/>
    </row>
    <row r="20" spans="2:18" ht="20" customHeight="1" x14ac:dyDescent="0.25">
      <c r="B20" s="58">
        <f>IF($C20="","",ROW()-7)</f>
        <v/>
      </c>
      <c r="C20" s="60"/>
      <c r="D20" s="14"/>
      <c r="E20" s="59"/>
      <c r="F20" s="60"/>
      <c r="G20" s="61"/>
      <c r="H20" s="64"/>
      <c r="I20" s="61"/>
      <c r="J20" s="64"/>
      <c r="K20" s="62"/>
      <c r="L20" s="62"/>
      <c r="M20" s="63">
        <f>IF(OR($K20="",$L20=""),"",ROUND($L20-$K20,2))</f>
        <v/>
      </c>
      <c r="N20" s="76">
        <f>IFERROR(IF($M20="","",$M20/$L20),"")</f>
        <v/>
      </c>
      <c r="O20" s="62"/>
      <c r="P20" s="63">
        <f>IF($L20="","",ROUND($L20-$O20,2))</f>
        <v/>
      </c>
      <c r="Q20" s="60"/>
      <c r="R20" s="64"/>
    </row>
    <row r="21" spans="2:18" ht="20" customHeight="1" x14ac:dyDescent="0.25">
      <c r="B21" s="65">
        <f>IF($C21="","",ROW()-7)</f>
        <v/>
      </c>
      <c r="C21" s="10"/>
      <c r="D21" s="9"/>
      <c r="E21" s="66"/>
      <c r="F21" s="10"/>
      <c r="G21" s="67"/>
      <c r="H21" s="69"/>
      <c r="I21" s="67"/>
      <c r="J21" s="69"/>
      <c r="K21" s="68"/>
      <c r="L21" s="68"/>
      <c r="M21" s="63">
        <f>IF(OR($K21="",$L21=""),"",ROUND($L21-$K21,2))</f>
        <v/>
      </c>
      <c r="N21" s="76">
        <f>IFERROR(IF($M21="","",$M21/$L21),"")</f>
        <v/>
      </c>
      <c r="O21" s="68"/>
      <c r="P21" s="63">
        <f>IF($L21="","",ROUND($L21-$O21,2))</f>
        <v/>
      </c>
      <c r="Q21" s="10"/>
      <c r="R21" s="69"/>
    </row>
    <row r="22" spans="2:18" ht="20" customHeight="1" x14ac:dyDescent="0.25">
      <c r="B22" s="58">
        <f>IF($C22="","",ROW()-7)</f>
        <v/>
      </c>
      <c r="C22" s="60"/>
      <c r="D22" s="14"/>
      <c r="E22" s="59"/>
      <c r="F22" s="60"/>
      <c r="G22" s="61"/>
      <c r="H22" s="64"/>
      <c r="I22" s="61"/>
      <c r="J22" s="64"/>
      <c r="K22" s="62"/>
      <c r="L22" s="62"/>
      <c r="M22" s="63">
        <f>IF(OR($K22="",$L22=""),"",ROUND($L22-$K22,2))</f>
        <v/>
      </c>
      <c r="N22" s="76">
        <f>IFERROR(IF($M22="","",$M22/$L22),"")</f>
        <v/>
      </c>
      <c r="O22" s="62"/>
      <c r="P22" s="63">
        <f>IF($L22="","",ROUND($L22-$O22,2))</f>
        <v/>
      </c>
      <c r="Q22" s="60"/>
      <c r="R22" s="64"/>
    </row>
    <row r="23" spans="2:18" ht="20" customHeight="1" x14ac:dyDescent="0.25">
      <c r="B23" s="65">
        <f>IF($C23="","",ROW()-7)</f>
        <v/>
      </c>
      <c r="C23" s="10"/>
      <c r="D23" s="9"/>
      <c r="E23" s="66"/>
      <c r="F23" s="10"/>
      <c r="G23" s="67"/>
      <c r="H23" s="69"/>
      <c r="I23" s="67"/>
      <c r="J23" s="69"/>
      <c r="K23" s="68"/>
      <c r="L23" s="68"/>
      <c r="M23" s="63">
        <f>IF(OR($K23="",$L23=""),"",ROUND($L23-$K23,2))</f>
        <v/>
      </c>
      <c r="N23" s="76">
        <f>IFERROR(IF($M23="","",$M23/$L23),"")</f>
        <v/>
      </c>
      <c r="O23" s="68"/>
      <c r="P23" s="63">
        <f>IF($L23="","",ROUND($L23-$O23,2))</f>
        <v/>
      </c>
      <c r="Q23" s="10"/>
      <c r="R23" s="69"/>
    </row>
    <row r="24" spans="2:18" ht="20" customHeight="1" x14ac:dyDescent="0.25">
      <c r="B24" s="58">
        <f>IF($C24="","",ROW()-7)</f>
        <v/>
      </c>
      <c r="C24" s="60"/>
      <c r="D24" s="14"/>
      <c r="E24" s="59"/>
      <c r="F24" s="60"/>
      <c r="G24" s="61"/>
      <c r="H24" s="64"/>
      <c r="I24" s="61"/>
      <c r="J24" s="64"/>
      <c r="K24" s="62"/>
      <c r="L24" s="62"/>
      <c r="M24" s="63">
        <f>IF(OR($K24="",$L24=""),"",ROUND($L24-$K24,2))</f>
        <v/>
      </c>
      <c r="N24" s="76">
        <f>IFERROR(IF($M24="","",$M24/$L24),"")</f>
        <v/>
      </c>
      <c r="O24" s="62"/>
      <c r="P24" s="63">
        <f>IF($L24="","",ROUND($L24-$O24,2))</f>
        <v/>
      </c>
      <c r="Q24" s="60"/>
      <c r="R24" s="64"/>
    </row>
    <row r="25" spans="2:18" ht="20" customHeight="1" x14ac:dyDescent="0.25">
      <c r="B25" s="65">
        <f>IF($C25="","",ROW()-7)</f>
        <v/>
      </c>
      <c r="C25" s="10"/>
      <c r="D25" s="9"/>
      <c r="E25" s="66"/>
      <c r="F25" s="10"/>
      <c r="G25" s="67"/>
      <c r="H25" s="69"/>
      <c r="I25" s="67"/>
      <c r="J25" s="69"/>
      <c r="K25" s="68"/>
      <c r="L25" s="68"/>
      <c r="M25" s="63">
        <f>IF(OR($K25="",$L25=""),"",ROUND($L25-$K25,2))</f>
        <v/>
      </c>
      <c r="N25" s="76">
        <f>IFERROR(IF($M25="","",$M25/$L25),"")</f>
        <v/>
      </c>
      <c r="O25" s="68"/>
      <c r="P25" s="63">
        <f>IF($L25="","",ROUND($L25-$O25,2))</f>
        <v/>
      </c>
      <c r="Q25" s="10"/>
      <c r="R25" s="69"/>
    </row>
    <row r="26" spans="2:18" ht="20" customHeight="1" x14ac:dyDescent="0.25">
      <c r="B26" s="58">
        <f>IF($C26="","",ROW()-7)</f>
        <v/>
      </c>
      <c r="C26" s="60"/>
      <c r="D26" s="14"/>
      <c r="E26" s="59"/>
      <c r="F26" s="60"/>
      <c r="G26" s="61"/>
      <c r="H26" s="64"/>
      <c r="I26" s="61"/>
      <c r="J26" s="64"/>
      <c r="K26" s="62"/>
      <c r="L26" s="62"/>
      <c r="M26" s="63">
        <f>IF(OR($K26="",$L26=""),"",ROUND($L26-$K26,2))</f>
        <v/>
      </c>
      <c r="N26" s="76">
        <f>IFERROR(IF($M26="","",$M26/$L26),"")</f>
        <v/>
      </c>
      <c r="O26" s="62"/>
      <c r="P26" s="63">
        <f>IF($L26="","",ROUND($L26-$O26,2))</f>
        <v/>
      </c>
      <c r="Q26" s="60"/>
      <c r="R26" s="64"/>
    </row>
    <row r="27" spans="2:18" ht="20" customHeight="1" x14ac:dyDescent="0.25">
      <c r="B27" s="65">
        <f>IF($C27="","",ROW()-7)</f>
        <v/>
      </c>
      <c r="C27" s="10"/>
      <c r="D27" s="9"/>
      <c r="E27" s="66"/>
      <c r="F27" s="10"/>
      <c r="G27" s="67"/>
      <c r="H27" s="69"/>
      <c r="I27" s="67"/>
      <c r="J27" s="69"/>
      <c r="K27" s="68"/>
      <c r="L27" s="68"/>
      <c r="M27" s="63">
        <f>IF(OR($K27="",$L27=""),"",ROUND($L27-$K27,2))</f>
        <v/>
      </c>
      <c r="N27" s="76">
        <f>IFERROR(IF($M27="","",$M27/$L27),"")</f>
        <v/>
      </c>
      <c r="O27" s="68"/>
      <c r="P27" s="63">
        <f>IF($L27="","",ROUND($L27-$O27,2))</f>
        <v/>
      </c>
      <c r="Q27" s="10"/>
      <c r="R27" s="69"/>
    </row>
    <row r="28" spans="2:18" ht="20" customHeight="1" x14ac:dyDescent="0.25">
      <c r="B28" s="58">
        <f>IF($C28="","",ROW()-7)</f>
        <v/>
      </c>
      <c r="C28" s="60"/>
      <c r="D28" s="14"/>
      <c r="E28" s="59"/>
      <c r="F28" s="60"/>
      <c r="G28" s="61"/>
      <c r="H28" s="64"/>
      <c r="I28" s="61"/>
      <c r="J28" s="64"/>
      <c r="K28" s="62"/>
      <c r="L28" s="62"/>
      <c r="M28" s="63">
        <f>IF(OR($K28="",$L28=""),"",ROUND($L28-$K28,2))</f>
        <v/>
      </c>
      <c r="N28" s="76">
        <f>IFERROR(IF($M28="","",$M28/$L28),"")</f>
        <v/>
      </c>
      <c r="O28" s="62"/>
      <c r="P28" s="63">
        <f>IF($L28="","",ROUND($L28-$O28,2))</f>
        <v/>
      </c>
      <c r="Q28" s="60"/>
      <c r="R28" s="64"/>
    </row>
    <row r="29" spans="2:18" ht="20" customHeight="1" x14ac:dyDescent="0.25">
      <c r="B29" s="65">
        <f>IF($C29="","",ROW()-7)</f>
        <v/>
      </c>
      <c r="C29" s="10"/>
      <c r="D29" s="9"/>
      <c r="E29" s="66"/>
      <c r="F29" s="10"/>
      <c r="G29" s="67"/>
      <c r="H29" s="69"/>
      <c r="I29" s="67"/>
      <c r="J29" s="69"/>
      <c r="K29" s="68"/>
      <c r="L29" s="68"/>
      <c r="M29" s="63">
        <f>IF(OR($K29="",$L29=""),"",ROUND($L29-$K29,2))</f>
        <v/>
      </c>
      <c r="N29" s="76">
        <f>IFERROR(IF($M29="","",$M29/$L29),"")</f>
        <v/>
      </c>
      <c r="O29" s="68"/>
      <c r="P29" s="63">
        <f>IF($L29="","",ROUND($L29-$O29,2))</f>
        <v/>
      </c>
      <c r="Q29" s="10"/>
      <c r="R29" s="69"/>
    </row>
    <row r="30" spans="2:18" ht="20" customHeight="1" x14ac:dyDescent="0.25">
      <c r="B30" s="58">
        <f>IF($C30="","",ROW()-7)</f>
        <v/>
      </c>
      <c r="C30" s="60"/>
      <c r="D30" s="14"/>
      <c r="E30" s="59"/>
      <c r="F30" s="60"/>
      <c r="G30" s="61"/>
      <c r="H30" s="64"/>
      <c r="I30" s="61"/>
      <c r="J30" s="64"/>
      <c r="K30" s="62"/>
      <c r="L30" s="62"/>
      <c r="M30" s="63">
        <f>IF(OR($K30="",$L30=""),"",ROUND($L30-$K30,2))</f>
        <v/>
      </c>
      <c r="N30" s="76">
        <f>IFERROR(IF($M30="","",$M30/$L30),"")</f>
        <v/>
      </c>
      <c r="O30" s="62"/>
      <c r="P30" s="63">
        <f>IF($L30="","",ROUND($L30-$O30,2))</f>
        <v/>
      </c>
      <c r="Q30" s="60"/>
      <c r="R30" s="64"/>
    </row>
    <row r="31" spans="2:18" ht="20" customHeight="1" x14ac:dyDescent="0.25">
      <c r="B31" s="65">
        <f>IF($C31="","",ROW()-7)</f>
        <v/>
      </c>
      <c r="C31" s="10"/>
      <c r="D31" s="9"/>
      <c r="E31" s="66"/>
      <c r="F31" s="10"/>
      <c r="G31" s="67"/>
      <c r="H31" s="69"/>
      <c r="I31" s="67"/>
      <c r="J31" s="69"/>
      <c r="K31" s="68"/>
      <c r="L31" s="68"/>
      <c r="M31" s="63">
        <f>IF(OR($K31="",$L31=""),"",ROUND($L31-$K31,2))</f>
        <v/>
      </c>
      <c r="N31" s="76">
        <f>IFERROR(IF($M31="","",$M31/$L31),"")</f>
        <v/>
      </c>
      <c r="O31" s="68"/>
      <c r="P31" s="63">
        <f>IF($L31="","",ROUND($L31-$O31,2))</f>
        <v/>
      </c>
      <c r="Q31" s="10"/>
      <c r="R31" s="69"/>
    </row>
    <row r="32" spans="2:18" ht="20" customHeight="1" x14ac:dyDescent="0.25">
      <c r="B32" s="58">
        <f>IF($C32="","",ROW()-7)</f>
        <v/>
      </c>
      <c r="C32" s="60"/>
      <c r="D32" s="14"/>
      <c r="E32" s="59"/>
      <c r="F32" s="60"/>
      <c r="G32" s="61"/>
      <c r="H32" s="64"/>
      <c r="I32" s="61"/>
      <c r="J32" s="64"/>
      <c r="K32" s="62"/>
      <c r="L32" s="62"/>
      <c r="M32" s="63">
        <f>IF(OR($K32="",$L32=""),"",ROUND($L32-$K32,2))</f>
        <v/>
      </c>
      <c r="N32" s="76">
        <f>IFERROR(IF($M32="","",$M32/$L32),"")</f>
        <v/>
      </c>
      <c r="O32" s="62"/>
      <c r="P32" s="63">
        <f>IF($L32="","",ROUND($L32-$O32,2))</f>
        <v/>
      </c>
      <c r="Q32" s="60"/>
      <c r="R32" s="64"/>
    </row>
    <row r="33" spans="2:18" ht="20" customHeight="1" x14ac:dyDescent="0.25">
      <c r="B33" s="65">
        <f>IF($C33="","",ROW()-7)</f>
        <v/>
      </c>
      <c r="C33" s="10"/>
      <c r="D33" s="9"/>
      <c r="E33" s="66"/>
      <c r="F33" s="10"/>
      <c r="G33" s="67"/>
      <c r="H33" s="69"/>
      <c r="I33" s="67"/>
      <c r="J33" s="69"/>
      <c r="K33" s="68"/>
      <c r="L33" s="68"/>
      <c r="M33" s="63">
        <f>IF(OR($K33="",$L33=""),"",ROUND($L33-$K33,2))</f>
        <v/>
      </c>
      <c r="N33" s="76">
        <f>IFERROR(IF($M33="","",$M33/$L33),"")</f>
        <v/>
      </c>
      <c r="O33" s="68"/>
      <c r="P33" s="63">
        <f>IF($L33="","",ROUND($L33-$O33,2))</f>
        <v/>
      </c>
      <c r="Q33" s="10"/>
      <c r="R33" s="69"/>
    </row>
    <row r="34" spans="2:18" ht="20" customHeight="1" x14ac:dyDescent="0.25">
      <c r="B34" s="58">
        <f>IF($C34="","",ROW()-7)</f>
        <v/>
      </c>
      <c r="C34" s="60"/>
      <c r="D34" s="14"/>
      <c r="E34" s="59"/>
      <c r="F34" s="60"/>
      <c r="G34" s="61"/>
      <c r="H34" s="64"/>
      <c r="I34" s="61"/>
      <c r="J34" s="64"/>
      <c r="K34" s="62"/>
      <c r="L34" s="62"/>
      <c r="M34" s="63">
        <f>IF(OR($K34="",$L34=""),"",ROUND($L34-$K34,2))</f>
        <v/>
      </c>
      <c r="N34" s="76">
        <f>IFERROR(IF($M34="","",$M34/$L34),"")</f>
        <v/>
      </c>
      <c r="O34" s="62"/>
      <c r="P34" s="63">
        <f>IF($L34="","",ROUND($L34-$O34,2))</f>
        <v/>
      </c>
      <c r="Q34" s="60"/>
      <c r="R34" s="64"/>
    </row>
    <row r="35" spans="2:18" ht="20" customHeight="1" x14ac:dyDescent="0.25">
      <c r="B35" s="65">
        <f>IF($C35="","",ROW()-7)</f>
        <v/>
      </c>
      <c r="C35" s="10"/>
      <c r="D35" s="9"/>
      <c r="E35" s="66"/>
      <c r="F35" s="10"/>
      <c r="G35" s="67"/>
      <c r="H35" s="69"/>
      <c r="I35" s="67"/>
      <c r="J35" s="69"/>
      <c r="K35" s="68"/>
      <c r="L35" s="68"/>
      <c r="M35" s="63">
        <f>IF(OR($K35="",$L35=""),"",ROUND($L35-$K35,2))</f>
        <v/>
      </c>
      <c r="N35" s="76">
        <f>IFERROR(IF($M35="","",$M35/$L35),"")</f>
        <v/>
      </c>
      <c r="O35" s="68"/>
      <c r="P35" s="63">
        <f>IF($L35="","",ROUND($L35-$O35,2))</f>
        <v/>
      </c>
      <c r="Q35" s="10"/>
      <c r="R35" s="69"/>
    </row>
    <row r="36" spans="2:18" ht="20" customHeight="1" x14ac:dyDescent="0.25">
      <c r="B36" s="58">
        <f>IF($C36="","",ROW()-7)</f>
        <v/>
      </c>
      <c r="C36" s="60"/>
      <c r="D36" s="14"/>
      <c r="E36" s="59"/>
      <c r="F36" s="60"/>
      <c r="G36" s="61"/>
      <c r="H36" s="64"/>
      <c r="I36" s="61"/>
      <c r="J36" s="64"/>
      <c r="K36" s="62"/>
      <c r="L36" s="62"/>
      <c r="M36" s="63">
        <f>IF(OR($K36="",$L36=""),"",ROUND($L36-$K36,2))</f>
        <v/>
      </c>
      <c r="N36" s="76">
        <f>IFERROR(IF($M36="","",$M36/$L36),"")</f>
        <v/>
      </c>
      <c r="O36" s="62"/>
      <c r="P36" s="63">
        <f>IF($L36="","",ROUND($L36-$O36,2))</f>
        <v/>
      </c>
      <c r="Q36" s="60"/>
      <c r="R36" s="64"/>
    </row>
    <row r="37" spans="2:18" ht="20" customHeight="1" x14ac:dyDescent="0.25">
      <c r="B37" s="65">
        <f>IF($C37="","",ROW()-7)</f>
        <v/>
      </c>
      <c r="C37" s="10"/>
      <c r="D37" s="9"/>
      <c r="E37" s="66"/>
      <c r="F37" s="10"/>
      <c r="G37" s="67"/>
      <c r="H37" s="69"/>
      <c r="I37" s="67"/>
      <c r="J37" s="69"/>
      <c r="K37" s="68"/>
      <c r="L37" s="68"/>
      <c r="M37" s="63">
        <f>IF(OR($K37="",$L37=""),"",ROUND($L37-$K37,2))</f>
        <v/>
      </c>
      <c r="N37" s="76">
        <f>IFERROR(IF($M37="","",$M37/$L37),"")</f>
        <v/>
      </c>
      <c r="O37" s="68"/>
      <c r="P37" s="63">
        <f>IF($L37="","",ROUND($L37-$O37,2))</f>
        <v/>
      </c>
      <c r="Q37" s="10"/>
      <c r="R37" s="69"/>
    </row>
    <row r="38" spans="2:18" ht="20" customHeight="1" x14ac:dyDescent="0.25">
      <c r="B38" s="58">
        <f>IF($C38="","",ROW()-7)</f>
        <v/>
      </c>
      <c r="C38" s="60"/>
      <c r="D38" s="14"/>
      <c r="E38" s="59"/>
      <c r="F38" s="60"/>
      <c r="G38" s="61"/>
      <c r="H38" s="64"/>
      <c r="I38" s="61"/>
      <c r="J38" s="64"/>
      <c r="K38" s="62"/>
      <c r="L38" s="62"/>
      <c r="M38" s="63">
        <f>IF(OR($K38="",$L38=""),"",ROUND($L38-$K38,2))</f>
        <v/>
      </c>
      <c r="N38" s="76">
        <f>IFERROR(IF($M38="","",$M38/$L38),"")</f>
        <v/>
      </c>
      <c r="O38" s="62"/>
      <c r="P38" s="63">
        <f>IF($L38="","",ROUND($L38-$O38,2))</f>
        <v/>
      </c>
      <c r="Q38" s="60"/>
      <c r="R38" s="64"/>
    </row>
    <row r="39" spans="2:18" ht="20" customHeight="1" x14ac:dyDescent="0.25">
      <c r="B39" s="65">
        <f>IF($C39="","",ROW()-7)</f>
        <v/>
      </c>
      <c r="C39" s="10"/>
      <c r="D39" s="9"/>
      <c r="E39" s="66"/>
      <c r="F39" s="10"/>
      <c r="G39" s="67"/>
      <c r="H39" s="69"/>
      <c r="I39" s="67"/>
      <c r="J39" s="69"/>
      <c r="K39" s="68"/>
      <c r="L39" s="68"/>
      <c r="M39" s="63">
        <f>IF(OR($K39="",$L39=""),"",ROUND($L39-$K39,2))</f>
        <v/>
      </c>
      <c r="N39" s="76">
        <f>IFERROR(IF($M39="","",$M39/$L39),"")</f>
        <v/>
      </c>
      <c r="O39" s="68"/>
      <c r="P39" s="63">
        <f>IF($L39="","",ROUND($L39-$O39,2))</f>
        <v/>
      </c>
      <c r="Q39" s="10"/>
      <c r="R39" s="69"/>
    </row>
    <row r="40" spans="2:18" ht="20" customHeight="1" x14ac:dyDescent="0.25">
      <c r="B40" s="58">
        <f>IF($C40="","",ROW()-7)</f>
        <v/>
      </c>
      <c r="C40" s="60"/>
      <c r="D40" s="14"/>
      <c r="E40" s="59"/>
      <c r="F40" s="60"/>
      <c r="G40" s="61"/>
      <c r="H40" s="64"/>
      <c r="I40" s="61"/>
      <c r="J40" s="64"/>
      <c r="K40" s="62"/>
      <c r="L40" s="62"/>
      <c r="M40" s="63">
        <f>IF(OR($K40="",$L40=""),"",ROUND($L40-$K40,2))</f>
        <v/>
      </c>
      <c r="N40" s="76">
        <f>IFERROR(IF($M40="","",$M40/$L40),"")</f>
        <v/>
      </c>
      <c r="O40" s="62"/>
      <c r="P40" s="63">
        <f>IF($L40="","",ROUND($L40-$O40,2))</f>
        <v/>
      </c>
      <c r="Q40" s="60"/>
      <c r="R40" s="64"/>
    </row>
    <row r="41" spans="2:18" ht="20" customHeight="1" x14ac:dyDescent="0.25">
      <c r="B41" s="65">
        <f>IF($C41="","",ROW()-7)</f>
        <v/>
      </c>
      <c r="C41" s="10"/>
      <c r="D41" s="9"/>
      <c r="E41" s="66"/>
      <c r="F41" s="10"/>
      <c r="G41" s="67"/>
      <c r="H41" s="69"/>
      <c r="I41" s="67"/>
      <c r="J41" s="69"/>
      <c r="K41" s="68"/>
      <c r="L41" s="68"/>
      <c r="M41" s="63">
        <f>IF(OR($K41="",$L41=""),"",ROUND($L41-$K41,2))</f>
        <v/>
      </c>
      <c r="N41" s="76">
        <f>IFERROR(IF($M41="","",$M41/$L41),"")</f>
        <v/>
      </c>
      <c r="O41" s="68"/>
      <c r="P41" s="63">
        <f>IF($L41="","",ROUND($L41-$O41,2))</f>
        <v/>
      </c>
      <c r="Q41" s="10"/>
      <c r="R41" s="69"/>
    </row>
    <row r="42" spans="2:18" ht="20" customHeight="1" x14ac:dyDescent="0.25">
      <c r="B42" s="58">
        <f>IF($C42="","",ROW()-7)</f>
        <v/>
      </c>
      <c r="C42" s="60"/>
      <c r="D42" s="14"/>
      <c r="E42" s="59"/>
      <c r="F42" s="60"/>
      <c r="G42" s="61"/>
      <c r="H42" s="64"/>
      <c r="I42" s="61"/>
      <c r="J42" s="64"/>
      <c r="K42" s="62"/>
      <c r="L42" s="62"/>
      <c r="M42" s="63">
        <f>IF(OR($K42="",$L42=""),"",ROUND($L42-$K42,2))</f>
        <v/>
      </c>
      <c r="N42" s="76">
        <f>IFERROR(IF($M42="","",$M42/$L42),"")</f>
        <v/>
      </c>
      <c r="O42" s="62"/>
      <c r="P42" s="63">
        <f>IF($L42="","",ROUND($L42-$O42,2))</f>
        <v/>
      </c>
      <c r="Q42" s="60"/>
      <c r="R42" s="64"/>
    </row>
    <row r="43" spans="2:18" ht="20" customHeight="1" x14ac:dyDescent="0.25">
      <c r="B43" s="65">
        <f>IF($C43="","",ROW()-7)</f>
        <v/>
      </c>
      <c r="C43" s="10"/>
      <c r="D43" s="9"/>
      <c r="E43" s="66"/>
      <c r="F43" s="10"/>
      <c r="G43" s="67"/>
      <c r="H43" s="69"/>
      <c r="I43" s="67"/>
      <c r="J43" s="69"/>
      <c r="K43" s="68"/>
      <c r="L43" s="68"/>
      <c r="M43" s="63">
        <f>IF(OR($K43="",$L43=""),"",ROUND($L43-$K43,2))</f>
        <v/>
      </c>
      <c r="N43" s="76">
        <f>IFERROR(IF($M43="","",$M43/$L43),"")</f>
        <v/>
      </c>
      <c r="O43" s="68"/>
      <c r="P43" s="63">
        <f>IF($L43="","",ROUND($L43-$O43,2))</f>
        <v/>
      </c>
      <c r="Q43" s="10"/>
      <c r="R43" s="69"/>
    </row>
    <row r="44" spans="2:18" ht="20" customHeight="1" x14ac:dyDescent="0.25">
      <c r="B44" s="58">
        <f>IF($C44="","",ROW()-7)</f>
        <v/>
      </c>
      <c r="C44" s="60"/>
      <c r="D44" s="14"/>
      <c r="E44" s="59"/>
      <c r="F44" s="60"/>
      <c r="G44" s="61"/>
      <c r="H44" s="64"/>
      <c r="I44" s="61"/>
      <c r="J44" s="64"/>
      <c r="K44" s="62"/>
      <c r="L44" s="62"/>
      <c r="M44" s="63">
        <f>IF(OR($K44="",$L44=""),"",ROUND($L44-$K44,2))</f>
        <v/>
      </c>
      <c r="N44" s="76">
        <f>IFERROR(IF($M44="","",$M44/$L44),"")</f>
        <v/>
      </c>
      <c r="O44" s="62"/>
      <c r="P44" s="63">
        <f>IF($L44="","",ROUND($L44-$O44,2))</f>
        <v/>
      </c>
      <c r="Q44" s="60"/>
      <c r="R44" s="64"/>
    </row>
    <row r="45" spans="2:18" ht="20" customHeight="1" x14ac:dyDescent="0.25">
      <c r="B45" s="65">
        <f>IF($C45="","",ROW()-7)</f>
        <v/>
      </c>
      <c r="C45" s="10"/>
      <c r="D45" s="9"/>
      <c r="E45" s="66"/>
      <c r="F45" s="10"/>
      <c r="G45" s="67"/>
      <c r="H45" s="69"/>
      <c r="I45" s="67"/>
      <c r="J45" s="69"/>
      <c r="K45" s="68"/>
      <c r="L45" s="68"/>
      <c r="M45" s="63">
        <f>IF(OR($K45="",$L45=""),"",ROUND($L45-$K45,2))</f>
        <v/>
      </c>
      <c r="N45" s="76">
        <f>IFERROR(IF($M45="","",$M45/$L45),"")</f>
        <v/>
      </c>
      <c r="O45" s="68"/>
      <c r="P45" s="63">
        <f>IF($L45="","",ROUND($L45-$O45,2))</f>
        <v/>
      </c>
      <c r="Q45" s="10"/>
      <c r="R45" s="69"/>
    </row>
    <row r="46" spans="2:18" ht="20" customHeight="1" x14ac:dyDescent="0.25">
      <c r="B46" s="58">
        <f>IF($C46="","",ROW()-7)</f>
        <v/>
      </c>
      <c r="C46" s="60"/>
      <c r="D46" s="14"/>
      <c r="E46" s="59"/>
      <c r="F46" s="60"/>
      <c r="G46" s="61"/>
      <c r="H46" s="64"/>
      <c r="I46" s="61"/>
      <c r="J46" s="64"/>
      <c r="K46" s="62"/>
      <c r="L46" s="62"/>
      <c r="M46" s="63">
        <f>IF(OR($K46="",$L46=""),"",ROUND($L46-$K46,2))</f>
        <v/>
      </c>
      <c r="N46" s="76">
        <f>IFERROR(IF($M46="","",$M46/$L46),"")</f>
        <v/>
      </c>
      <c r="O46" s="62"/>
      <c r="P46" s="63">
        <f>IF($L46="","",ROUND($L46-$O46,2))</f>
        <v/>
      </c>
      <c r="Q46" s="60"/>
      <c r="R46" s="64"/>
    </row>
    <row r="47" spans="2:18" ht="20" customHeight="1" x14ac:dyDescent="0.25">
      <c r="B47" s="65">
        <f>IF($C47="","",ROW()-7)</f>
        <v/>
      </c>
      <c r="C47" s="10"/>
      <c r="D47" s="9"/>
      <c r="E47" s="66"/>
      <c r="F47" s="10"/>
      <c r="G47" s="67"/>
      <c r="H47" s="69"/>
      <c r="I47" s="67"/>
      <c r="J47" s="69"/>
      <c r="K47" s="68"/>
      <c r="L47" s="68"/>
      <c r="M47" s="63">
        <f>IF(OR($K47="",$L47=""),"",ROUND($L47-$K47,2))</f>
        <v/>
      </c>
      <c r="N47" s="76">
        <f>IFERROR(IF($M47="","",$M47/$L47),"")</f>
        <v/>
      </c>
      <c r="O47" s="68"/>
      <c r="P47" s="63">
        <f>IF($L47="","",ROUND($L47-$O47,2))</f>
        <v/>
      </c>
      <c r="Q47" s="10"/>
      <c r="R47" s="69"/>
    </row>
    <row r="48" spans="2:18" ht="24" customHeight="1" x14ac:dyDescent="0.25">
      <c r="B48" s="70" t="s">
        <v>218</v>
      </c>
      <c r="C48" s="70"/>
      <c r="D48" s="71"/>
      <c r="E48" s="71"/>
      <c r="F48" s="71"/>
      <c r="G48" s="72">
        <f>SUMPRODUCT(--('📅 Events'!$E$8:$E$47&lt;&gt;""),'📅 Events'!$G$8:$G$47)</f>
        <v>0</v>
      </c>
      <c r="H48" s="71"/>
      <c r="I48" s="72">
        <f>SUMPRODUCT(--('📅 Events'!$E$8:$E$47&lt;&gt;""),'📅 Events'!$I$8:$I$47)</f>
        <v>0</v>
      </c>
      <c r="J48" s="71"/>
      <c r="K48" s="72">
        <f>SUMPRODUCT(--('📅 Events'!$E$8:$E$47&lt;&gt;""),'📅 Events'!$K$8:$K$47)</f>
        <v>0</v>
      </c>
      <c r="L48" s="72">
        <f>SUMPRODUCT(--('📅 Events'!$E$8:$E$47&lt;&gt;""),'📅 Events'!$L$8:$L$47)</f>
        <v>0</v>
      </c>
      <c r="M48" s="72">
        <f>SUMPRODUCT(--('📅 Events'!$E$8:$E$47&lt;&gt;""),'📅 Events'!$M$8:$M$47)</f>
        <v>0</v>
      </c>
      <c r="N48" s="71"/>
      <c r="O48" s="72">
        <f>SUMPRODUCT(--('📅 Events'!$E$8:$E$47&lt;&gt;""),'📅 Events'!$O$8:$O$47)</f>
        <v>0</v>
      </c>
      <c r="P48" s="72">
        <f>SUM('📅 Events'!$L$8:$L$47)-SUM('📅 Events'!$O$8:$O$47)</f>
        <v>0</v>
      </c>
      <c r="Q48" s="71"/>
      <c r="R48" s="71"/>
    </row>
    <row r="50" spans="2:17" ht="22" customHeight="1" x14ac:dyDescent="0.25">
      <c r="B50" s="15" t="s">
        <v>219</v>
      </c>
      <c r="C50" s="15"/>
      <c r="D50" s="15"/>
      <c r="E50" s="15"/>
      <c r="F50" s="15"/>
      <c r="G50" s="15"/>
      <c r="H50" s="15"/>
      <c r="I50" s="15"/>
      <c r="J50" s="15"/>
      <c r="K50" s="15"/>
      <c r="L50" s="15"/>
      <c r="M50" s="15"/>
      <c r="N50" s="15"/>
      <c r="O50" s="15"/>
      <c r="P50" s="15"/>
      <c r="Q50" s="15"/>
    </row>
    <row r="51" spans="2:17" ht="37.2" customHeight="1" x14ac:dyDescent="0.25">
      <c r="B51" s="22" t="s">
        <v>233</v>
      </c>
      <c r="C51" s="22"/>
      <c r="D51" s="22"/>
      <c r="E51" s="22"/>
      <c r="F51" s="22"/>
      <c r="G51" s="22"/>
      <c r="H51" s="22"/>
      <c r="I51" s="22"/>
      <c r="J51" s="22"/>
      <c r="K51" s="22"/>
      <c r="L51" s="22"/>
      <c r="M51" s="22"/>
      <c r="N51" s="22"/>
      <c r="O51" s="22"/>
      <c r="P51" s="22"/>
      <c r="Q51" s="22"/>
    </row>
    <row r="55" spans="2:17" x14ac:dyDescent="0.25">
      <c r="B55" s="23" t="s">
        <v>202</v>
      </c>
      <c r="C55" s="23"/>
      <c r="D55" s="24" t="s">
        <v>164</v>
      </c>
      <c r="E55" s="24"/>
      <c r="F55" s="25" t="s">
        <v>165</v>
      </c>
      <c r="G55" s="25"/>
      <c r="H55" s="26" t="s">
        <v>234</v>
      </c>
      <c r="I55" s="26"/>
      <c r="J55" s="27" t="s">
        <v>166</v>
      </c>
      <c r="K55" s="27"/>
      <c r="L55" s="28" t="s">
        <v>167</v>
      </c>
      <c r="M55" s="28"/>
      <c r="N55" s="29" t="s">
        <v>168</v>
      </c>
      <c r="O55" s="29"/>
      <c r="P55" s="30" t="s">
        <v>169</v>
      </c>
      <c r="Q55" s="30"/>
    </row>
    <row r="56" spans="2:17" ht="24" customHeight="1" x14ac:dyDescent="0.25">
      <c r="B56" s="24" t="s">
        <v>170</v>
      </c>
      <c r="C56" s="24"/>
      <c r="D56" s="26" t="s">
        <v>171</v>
      </c>
      <c r="E56" s="26"/>
      <c r="F56" s="23" t="s">
        <v>172</v>
      </c>
      <c r="G56" s="23"/>
      <c r="H56" s="24" t="s">
        <v>173</v>
      </c>
      <c r="I56" s="24"/>
      <c r="J56" s="25" t="s">
        <v>174</v>
      </c>
      <c r="K56" s="25"/>
      <c r="L56" s="26" t="s">
        <v>175</v>
      </c>
      <c r="M56" s="26"/>
      <c r="N56" s="27" t="s">
        <v>176</v>
      </c>
      <c r="O56" s="27"/>
      <c r="P56" s="28" t="s">
        <v>177</v>
      </c>
      <c r="Q56" s="28"/>
    </row>
    <row r="57" spans="2:17" ht="24" customHeight="1" x14ac:dyDescent="0.25">
      <c r="B57" s="29" t="s">
        <v>178</v>
      </c>
      <c r="C57" s="29"/>
      <c r="D57" s="30" t="s">
        <v>179</v>
      </c>
      <c r="E57" s="30"/>
      <c r="F57" s="24" t="s">
        <v>180</v>
      </c>
      <c r="G57" s="24"/>
    </row>
  </sheetData>
  <mergeCells count="29">
    <mergeCell ref="B2:O2"/>
    <mergeCell ref="B3:O3"/>
    <mergeCell ref="P3:R3"/>
    <mergeCell ref="B5:C5"/>
    <mergeCell ref="D5:E5"/>
    <mergeCell ref="F5:G5"/>
    <mergeCell ref="H5:I5"/>
    <mergeCell ref="B48:C48"/>
    <mergeCell ref="B50:Q50"/>
    <mergeCell ref="B51:Q51"/>
    <mergeCell ref="B55:C55"/>
    <mergeCell ref="D55:E55"/>
    <mergeCell ref="F55:G55"/>
    <mergeCell ref="H55:I55"/>
    <mergeCell ref="J55:K55"/>
    <mergeCell ref="L55:M55"/>
    <mergeCell ref="N55:O55"/>
    <mergeCell ref="P55:Q55"/>
    <mergeCell ref="B56:C56"/>
    <mergeCell ref="D56:E56"/>
    <mergeCell ref="F56:G56"/>
    <mergeCell ref="H56:I56"/>
    <mergeCell ref="J56:K56"/>
    <mergeCell ref="L56:M56"/>
    <mergeCell ref="N56:O56"/>
    <mergeCell ref="P56:Q56"/>
    <mergeCell ref="B57:C57"/>
    <mergeCell ref="D57:E57"/>
    <mergeCell ref="F57:G57"/>
  </mergeCells>
  <conditionalFormatting sqref="E8:E47">
    <cfRule type="expression" dxfId="7" priority="7">
      <formula>AND($E8&lt;&gt;"",$E8&lt;TODAY(),$Q8&lt;&gt;"🎉 Completed",$Q8&lt;&gt;"❌ Cancelled")</formula>
    </cfRule>
    <cfRule type="expression" dxfId="8" priority="8">
      <formula>AND($E8&lt;&gt;"",$E8&gt;=TODAY(),$E8-TODAY()&lt;=DueSoonDays)</formula>
    </cfRule>
  </conditionalFormatting>
  <conditionalFormatting sqref="N8:N47">
    <cfRule type="dataBar" priority="9">
      <dataBar>
        <cfvo type="num" val="0"/>
        <cfvo type="num" val="1"/>
        <color rgb="FF56806A"/>
      </dataBar>
      <extLst>
        <ext xmlns:x14="http://schemas.microsoft.com/office/spreadsheetml/2009/9/main" uri="{B025F937-C7B1-47D3-B67F-A62EFF666E3E}">
          <x14:id>{DA7ABA51-AAAA-BBBB-0005-000000000001}</x14:id>
        </ext>
      </extLst>
    </cfRule>
  </conditionalFormatting>
  <conditionalFormatting sqref="Q8:Q47">
    <cfRule type="expression" dxfId="4" priority="1">
      <formula>$Q8="💬 Inquiry"</formula>
    </cfRule>
    <cfRule type="expression" dxfId="5" priority="2">
      <formula>$Q8="📝 Quote Sent"</formula>
    </cfRule>
    <cfRule type="expression" dxfId="1" priority="3">
      <formula>$Q8="💰 Deposit Paid"</formula>
    </cfRule>
    <cfRule type="expression" dxfId="2" priority="4">
      <formula>$Q8="✅ Confirmed"</formula>
    </cfRule>
    <cfRule type="expression" dxfId="6" priority="5">
      <formula>$Q8="🎉 Completed"</formula>
    </cfRule>
    <cfRule type="expression" dxfId="0" priority="6">
      <formula>$Q8="❌ Cancelled"</formula>
    </cfRule>
  </conditionalFormatting>
  <dataValidations count="10">
    <dataValidation type="list" allowBlank="1" showInputMessage="1" promptTitle="Event type" prompt="Pick from your list (edit it on Setup)." sqref="F8:F47">
      <formula1>EventTypes</formula1>
    </dataValidation>
    <dataValidation type="list" allowBlank="1" showInputMessage="1" promptTitle="Status" prompt="Inquiry → Quote sent → Deposit paid → Confirmed → Completed." sqref="Q8:Q47">
      <formula1>EventStatuses</formula1>
    </dataValidation>
    <dataValidation type="list" allowBlank="1" showInputMessage="1" showErrorMessage="1" promptTitle="Client" prompt="Pick a client from the Clients tab (or type a new name and add them there)." sqref="D8:D47">
      <formula1>ClientsList</formula1>
    </dataValidation>
    <dataValidation type="list" errorStyle="warning" allowBlank="1" showInputMessage="1" showErrorMessage="1" errorTitle="Not on the menu list" error="That's not one of your priced menu items - continue anyway?" promptTitle="Menu" prompt="Pick a dish from Menu Costing, or type a combination (comma separated)." sqref="H8:H47">
      <formula1>MenuItems</formula1>
    </dataValidation>
    <dataValidation type="date" errorStyle="warning" allowBlank="1" showInputMessage="1" showErrorMessage="1" errorTitle="That's not a date" error="Enter a date between 2000 and 2100." promptTitle="Date" prompt="Type a date, or pick one from the calendar picker." sqref="E8:E47">
      <formula1>36526</formula1>
      <formula2>73415</formula2>
    </dataValidation>
    <dataValidation type="whole" errorStyle="warning" allowBlank="1" showInputMessage="1" showErrorMessage="1" errorTitle="Whole numbers only" error="Please enter a whole number." sqref="G8:G47">
      <formula1>0</formula1>
      <formula2>100000</formula2>
    </dataValidation>
    <dataValidation type="whole" errorStyle="warning" allowBlank="1" showInputMessage="1" showErrorMessage="1" errorTitle="Whole numbers only" error="Please enter a whole number." sqref="I8:I47">
      <formula1>0</formula1>
      <formula2>100000</formula2>
    </dataValidation>
    <dataValidation type="decimal" operator="greaterThanOrEqual" errorStyle="warning" allowBlank="1" showInputMessage="1" showErrorMessage="1" errorTitle="Enter money" error="Please enter a positive number (no currency symbol) - the symbol comes from Setup." sqref="K8:K47">
      <formula1>0</formula1>
    </dataValidation>
    <dataValidation type="decimal" operator="greaterThanOrEqual" errorStyle="warning" allowBlank="1" showInputMessage="1" showErrorMessage="1" errorTitle="Enter money" error="Please enter a positive number (no currency symbol) - the symbol comes from Setup." sqref="L8:L47">
      <formula1>0</formula1>
    </dataValidation>
    <dataValidation type="decimal" operator="greaterThanOrEqual" errorStyle="warning" allowBlank="1" showInputMessage="1" showErrorMessage="1" errorTitle="Enter money" error="Please enter a positive number (no currency symbol) - the symbol comes from Setup." sqref="O8:O47">
      <formula1>0</formula1>
    </dataValidation>
  </dataValidations>
  <hyperlinks>
    <hyperlink ref="P3" location="'📊 Dashboard'!A1" display="🏠  Back to Dashboard"/>
    <hyperlink ref="B55" location="'⚙️ Setup'!A1" display="Setup"/>
    <hyperlink ref="D55" location="'📊 Dashboard'!A1" display="🏠 Home"/>
    <hyperlink ref="F55" location="'👥 Clients'!A1" display="Clients"/>
    <hyperlink ref="H55" location="'📅 Events'!A1" display="▶ Events"/>
    <hyperlink ref="J55" location="'🧮 Quote Calculator'!A1" display="Quote"/>
    <hyperlink ref="L55" location="'🍽️ Menu Costing'!A1" display="Menu"/>
    <hyperlink ref="N55" location="'📦 Inventory'!A1" display="Stock"/>
    <hyperlink ref="P55" location="'🛒 Shopping List'!A1" display="Shop"/>
    <hyperlink ref="B56" location="'💸 Expenses'!A1" display="Expenses"/>
    <hyperlink ref="D56" location="'💰 Payments'!A1" display="Payments"/>
    <hyperlink ref="F56" location="'👷 Staff &amp; Labor'!A1" display="Staff"/>
    <hyperlink ref="H56" location="'🍳 Equipment'!A1" display="Equip"/>
    <hyperlink ref="J56" location="'🚚 Suppliers'!A1" display="Suppliers"/>
    <hyperlink ref="L56" location="'📆 Event Calendar'!A1" display="Calendar"/>
    <hyperlink ref="N56" location="'📈 P&amp;L &amp; Reports'!A1" display="P&amp;L"/>
    <hyperlink ref="P56" location="'🧾 Tax Tracker'!A1" display="Tax"/>
    <hyperlink ref="B57" location="'✅ Checklists'!A1" display="Checks"/>
    <hyperlink ref="D57" location="'🖨️ Invoice &amp; Proposal'!A1" display="Invoice"/>
    <hyperlink ref="F57"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extLst>
    <ext xmlns:x14="http://schemas.microsoft.com/office/spreadsheetml/2009/9/main" uri="{78C0D931-6437-407d-A8EE-F0AAD7539E65}">
      <x14:conditionalFormattings>
        <x14:conditionalFormatting xmlns:xm="http://schemas.microsoft.com/office/excel/2006/main">
          <x14:cfRule type="dataBar" id="{DA7ABA51-AAAA-BBBB-0005-000000000001}">
            <x14:dataBar minLength="0" maxLength="100" border="1" gradient="0" negativeBarBorderColorSameAsPositive="0">
              <x14:cfvo type="num">
                <xm:f>0</xm:f>
              </x14:cfvo>
              <x14:cfvo type="num">
                <xm:f>1</xm:f>
              </x14:cfvo>
              <x14:borderColor rgb="FF56806A"/>
              <x14:negativeFillColor rgb="FFFF0000"/>
              <x14:negativeBorderColor rgb="FFFF0000"/>
              <x14:axisColor rgb="FF000000"/>
            </x14:dataBar>
          </x14:cfRule>
          <xm:sqref>N8:N47</xm:sqref>
        </x14:conditionalFormatting>
      </x14:conditionalFormattings>
    </ext>
  </extLst>
</worksheet>
</file>

<file path=xl/worksheets/sheet6.xml><?xml version="1.0" encoding="utf-8"?>
<worksheet xmlns="http://schemas.openxmlformats.org/spreadsheetml/2006/main" xmlns:r="http://schemas.openxmlformats.org/officeDocument/2006/relationships">
  <sheetPr>
    <tabColor rgb="FF3E6E8E"/>
    <pageSetUpPr fitToPage="1"/>
  </sheetPr>
  <dimension ref="A1:G41"/>
  <sheetViews>
    <sheetView showGridLines="0" workbookViewId="0"/>
  </sheetViews>
  <sheetFormatPr defaultRowHeight="15"/>
  <cols>
    <col min="1" max="1" width="2.85546875" customWidth="1"/>
    <col min="2" max="2" width="25.7109375" customWidth="1"/>
    <col min="3" max="3" width="16.7109375" customWidth="1"/>
    <col min="4" max="4" width="3.7109375" customWidth="1"/>
    <col min="5" max="5" width="25.7109375" customWidth="1"/>
    <col min="6" max="6" width="18.7109375" customWidth="1"/>
    <col min="7" max="7" width="3.7109375" customWidth="1"/>
  </cols>
  <sheetData>
    <row r="1" spans="2:6" ht="7" customHeight="1"/>
    <row r="2" spans="2:6" ht="30" customHeight="1">
      <c r="B2" s="3" t="s">
        <v>235</v>
      </c>
      <c r="C2" s="3"/>
      <c r="D2" s="4"/>
      <c r="E2" s="4"/>
      <c r="F2" s="4"/>
    </row>
    <row r="3" spans="2:6" ht="18" customHeight="1">
      <c r="B3" s="5" t="s">
        <v>236</v>
      </c>
      <c r="C3" s="5"/>
      <c r="D3" s="6" t="s">
        <v>97</v>
      </c>
      <c r="E3" s="6"/>
      <c r="F3" s="6"/>
    </row>
    <row r="4" spans="2:6" ht="7" customHeight="1"/>
    <row r="5" spans="2:6" ht="26" customHeight="1"/>
    <row r="6" spans="2:6" ht="7" customHeight="1"/>
    <row r="7" spans="2:6" ht="21" customHeight="1"/>
    <row r="8" spans="2:6" ht="21" customHeight="1">
      <c r="B8" s="7" t="s">
        <v>237</v>
      </c>
      <c r="C8" s="7"/>
      <c r="D8" s="77" t="s">
        <v>238</v>
      </c>
      <c r="E8" s="77"/>
    </row>
    <row r="9" spans="2:6" ht="21" customHeight="1"/>
    <row r="10" spans="2:6" ht="21" customHeight="1">
      <c r="B10" s="8" t="s">
        <v>239</v>
      </c>
      <c r="C10" s="9"/>
    </row>
    <row r="11" spans="2:6" ht="21" customHeight="1">
      <c r="B11" s="8" t="s">
        <v>240</v>
      </c>
      <c r="C11" s="66"/>
    </row>
    <row r="12" spans="2:6" ht="21" customHeight="1">
      <c r="B12" s="8" t="s">
        <v>210</v>
      </c>
      <c r="C12" s="67"/>
    </row>
    <row r="13" spans="2:6" ht="21" customHeight="1"/>
    <row r="14" spans="2:6" ht="21" customHeight="1">
      <c r="B14" s="8" t="s">
        <v>241</v>
      </c>
      <c r="C14" s="68"/>
      <c r="D14" s="78" t="s">
        <v>248</v>
      </c>
      <c r="E14" s="79">
        <f>IF($C$12="","",ROUND($C$12*$C$14,2))</f>
        <v/>
      </c>
    </row>
    <row r="15" spans="2:6" ht="21" customHeight="1">
      <c r="B15" s="8" t="s">
        <v>242</v>
      </c>
      <c r="C15" s="68"/>
      <c r="D15" s="78" t="s">
        <v>249</v>
      </c>
      <c r="E15" s="79">
        <f>IF($C$12="","",ROUND($C$12*$C$14+$C$15+$C$16+$C$17+$C$18,2))</f>
        <v/>
      </c>
    </row>
    <row r="16" spans="2:6" ht="21" customHeight="1">
      <c r="B16" s="8" t="s">
        <v>243</v>
      </c>
      <c r="C16" s="68"/>
      <c r="D16" s="80" t="s">
        <v>250</v>
      </c>
      <c r="E16" s="81">
        <f>IF($E$15="","",ROUND($E$15/(1-$C$20),2))</f>
        <v/>
      </c>
    </row>
    <row r="17" spans="1:7" ht="21" customHeight="1">
      <c r="B17" s="8" t="s">
        <v>244</v>
      </c>
      <c r="C17" s="68"/>
      <c r="D17" s="78" t="s">
        <v>251</v>
      </c>
      <c r="E17" s="79">
        <f>IF($E$16="","",ROUND($E$16/$C$12,2))</f>
        <v/>
      </c>
    </row>
    <row r="18" spans="1:7" ht="21" customHeight="1">
      <c r="B18" s="8" t="s">
        <v>245</v>
      </c>
      <c r="C18" s="68"/>
      <c r="D18" s="78" t="s">
        <v>252</v>
      </c>
      <c r="E18" s="79">
        <f>IF($E$16="","",ROUND($E$16-$E$15,2))</f>
        <v/>
      </c>
    </row>
    <row r="19" spans="1:7" ht="21" customHeight="1">
      <c r="D19" s="78" t="s">
        <v>232</v>
      </c>
      <c r="E19" s="79">
        <f>IFERROR(IF($E$18="","",$E$18/$E$16),"")</f>
        <v/>
      </c>
    </row>
    <row r="20" spans="1:7" ht="21" customHeight="1">
      <c r="B20" s="8" t="s">
        <v>246</v>
      </c>
      <c r="C20" s="11">
        <f>DefaultMargin</f>
        <v>0.35</v>
      </c>
      <c r="D20" s="78" t="s">
        <v>111</v>
      </c>
      <c r="E20" s="79">
        <f>IF($E$16="","",ROUND($E$16*$C$21,2))</f>
        <v/>
      </c>
    </row>
    <row r="21" spans="1:7" ht="21" customHeight="1">
      <c r="B21" s="8" t="s">
        <v>247</v>
      </c>
      <c r="C21" s="11">
        <f>DepositPct</f>
        <v>0.4</v>
      </c>
      <c r="D21" s="78" t="s">
        <v>253</v>
      </c>
      <c r="E21" s="79">
        <f>IF($E$16="","",ROUND($E$16*(1-$C$21),2))</f>
        <v/>
      </c>
    </row>
    <row r="22" spans="1:7" ht="21" customHeight="1">
      <c r="D22" s="78" t="s">
        <v>254</v>
      </c>
      <c r="E22" s="79">
        <f>IF($E$15="","",ROUND($E$15/$C$12,2))</f>
        <v/>
      </c>
    </row>
    <row r="23" spans="1:7" ht="21" customHeight="1"/>
    <row r="24" spans="1:7" ht="21" customHeight="1">
      <c r="B24" s="82">
        <f>IF($E$16="","",Currency&amp;TEXT($E$16,"#,##0.00")&amp;" for the event   ·   "&amp;Currency&amp;TEXT($E$17,"#,##0.00")&amp;" per guest")</f>
        <v/>
      </c>
      <c r="C24" s="82"/>
      <c r="D24" s="82"/>
      <c r="E24" s="82"/>
      <c r="F24" s="82"/>
    </row>
    <row r="25" spans="1:7" ht="21" customHeight="1">
      <c r="B25" s="82"/>
      <c r="C25" s="82"/>
      <c r="D25" s="82"/>
      <c r="E25" s="82"/>
      <c r="F25" s="82"/>
    </row>
    <row r="26" spans="1:7" ht="8" customHeight="1">
      <c r="A26" s="4"/>
      <c r="B26" s="4"/>
      <c r="C26" s="4"/>
      <c r="D26" s="4"/>
      <c r="E26" s="4"/>
      <c r="F26" s="4"/>
      <c r="G26" s="4"/>
    </row>
    <row r="27" spans="1:7" ht="22" customHeight="1">
      <c r="B27" s="15" t="s">
        <v>255</v>
      </c>
      <c r="C27" s="15"/>
      <c r="D27" s="15"/>
      <c r="E27" s="15"/>
      <c r="F27" s="15"/>
    </row>
    <row r="28" spans="1:7" ht="37.2" customHeight="1">
      <c r="B28" s="22" t="s">
        <v>256</v>
      </c>
      <c r="C28" s="22"/>
      <c r="D28" s="22"/>
      <c r="E28" s="22"/>
      <c r="F28" s="22"/>
    </row>
    <row r="29" spans="1:7" ht="37.2" customHeight="1">
      <c r="B29" s="22" t="s">
        <v>257</v>
      </c>
      <c r="C29" s="22"/>
      <c r="D29" s="22"/>
      <c r="E29" s="22"/>
      <c r="F29" s="22"/>
    </row>
    <row r="30" spans="1:7" ht="37.2" customHeight="1">
      <c r="B30" s="22" t="s">
        <v>258</v>
      </c>
      <c r="C30" s="22"/>
      <c r="D30" s="22"/>
      <c r="E30" s="22"/>
      <c r="F30" s="22"/>
    </row>
    <row r="31" spans="1:7" ht="21" customHeight="1"/>
    <row r="32" spans="1:7" ht="21" customHeight="1">
      <c r="B32" s="23" t="s">
        <v>202</v>
      </c>
      <c r="C32" s="23"/>
      <c r="D32" s="24" t="s">
        <v>164</v>
      </c>
      <c r="E32" s="24"/>
    </row>
    <row r="33" spans="2:5" ht="24" customHeight="1">
      <c r="B33" s="25" t="s">
        <v>165</v>
      </c>
      <c r="C33" s="25"/>
      <c r="D33" s="26" t="s">
        <v>17</v>
      </c>
      <c r="E33" s="26"/>
    </row>
    <row r="34" spans="2:5" ht="24" customHeight="1">
      <c r="B34" s="27" t="s">
        <v>259</v>
      </c>
      <c r="C34" s="27"/>
      <c r="D34" s="28" t="s">
        <v>167</v>
      </c>
      <c r="E34" s="28"/>
    </row>
    <row r="35" spans="2:5" ht="24" customHeight="1">
      <c r="B35" s="29" t="s">
        <v>168</v>
      </c>
      <c r="C35" s="29"/>
      <c r="D35" s="30" t="s">
        <v>169</v>
      </c>
      <c r="E35" s="30"/>
    </row>
    <row r="36" spans="2:5" ht="24" customHeight="1">
      <c r="B36" s="24" t="s">
        <v>170</v>
      </c>
      <c r="C36" s="24"/>
      <c r="D36" s="26" t="s">
        <v>171</v>
      </c>
      <c r="E36" s="26"/>
    </row>
    <row r="37" spans="2:5" ht="24" customHeight="1">
      <c r="B37" s="23" t="s">
        <v>172</v>
      </c>
      <c r="C37" s="23"/>
      <c r="D37" s="24" t="s">
        <v>173</v>
      </c>
      <c r="E37" s="24"/>
    </row>
    <row r="38" spans="2:5" ht="24" customHeight="1">
      <c r="B38" s="25" t="s">
        <v>174</v>
      </c>
      <c r="C38" s="25"/>
      <c r="D38" s="26" t="s">
        <v>175</v>
      </c>
      <c r="E38" s="26"/>
    </row>
    <row r="39" spans="2:5" ht="24" customHeight="1">
      <c r="B39" s="27" t="s">
        <v>176</v>
      </c>
      <c r="C39" s="27"/>
      <c r="D39" s="28" t="s">
        <v>177</v>
      </c>
      <c r="E39" s="28"/>
    </row>
    <row r="40" spans="2:5" ht="24" customHeight="1">
      <c r="B40" s="29" t="s">
        <v>178</v>
      </c>
      <c r="C40" s="29"/>
      <c r="D40" s="30" t="s">
        <v>179</v>
      </c>
      <c r="E40" s="30"/>
    </row>
    <row r="41" spans="2:5" ht="24" customHeight="1">
      <c r="B41" s="24" t="s">
        <v>180</v>
      </c>
      <c r="C41" s="24"/>
    </row>
  </sheetData>
  <mergeCells count="29">
    <mergeCell ref="B2:C2"/>
    <mergeCell ref="B3:C3"/>
    <mergeCell ref="D3:F3"/>
    <mergeCell ref="B8:C8"/>
    <mergeCell ref="D8:E8"/>
    <mergeCell ref="B24:F25"/>
    <mergeCell ref="B27:F27"/>
    <mergeCell ref="B28:F28"/>
    <mergeCell ref="B29:F29"/>
    <mergeCell ref="B30:F30"/>
    <mergeCell ref="B32:C32"/>
    <mergeCell ref="D32:E32"/>
    <mergeCell ref="B33:C33"/>
    <mergeCell ref="D33:E33"/>
    <mergeCell ref="B34:C34"/>
    <mergeCell ref="D34:E34"/>
    <mergeCell ref="B35:C35"/>
    <mergeCell ref="D35:E35"/>
    <mergeCell ref="B36:C36"/>
    <mergeCell ref="D36:E36"/>
    <mergeCell ref="B37:C37"/>
    <mergeCell ref="D37:E37"/>
    <mergeCell ref="B38:C38"/>
    <mergeCell ref="D38:E38"/>
    <mergeCell ref="B39:C39"/>
    <mergeCell ref="D39:E39"/>
    <mergeCell ref="B40:C40"/>
    <mergeCell ref="D40:E40"/>
    <mergeCell ref="B41:C41"/>
  </mergeCells>
  <dataValidations count="9">
    <dataValidation type="whole" errorStyle="warning" allowBlank="1" showInputMessage="1" showErrorMessage="1" errorTitle="Guest count" error="Enter the headcount as a whole number." sqref="C12">
      <formula1>1</formula1>
      <formula2>100000</formula2>
    </dataValidation>
    <dataValidation type="decimal" errorStyle="warning" allowBlank="1" showInputMessage="1" showErrorMessage="1" errorTitle="Cost" error="Enter a positive number - no currency symbol." sqref="C14">
      <formula1>0</formula1>
      <formula2>1000000</formula2>
    </dataValidation>
    <dataValidation type="decimal" errorStyle="warning" allowBlank="1" showInputMessage="1" showErrorMessage="1" errorTitle="Cost" error="Enter a positive number - no currency symbol." sqref="C15">
      <formula1>0</formula1>
      <formula2>1000000</formula2>
    </dataValidation>
    <dataValidation type="decimal" errorStyle="warning" allowBlank="1" showInputMessage="1" showErrorMessage="1" errorTitle="Cost" error="Enter a positive number - no currency symbol." sqref="C16">
      <formula1>0</formula1>
      <formula2>1000000</formula2>
    </dataValidation>
    <dataValidation type="decimal" errorStyle="warning" allowBlank="1" showInputMessage="1" showErrorMessage="1" errorTitle="Cost" error="Enter a positive number - no currency symbol." sqref="C17">
      <formula1>0</formula1>
      <formula2>1000000</formula2>
    </dataValidation>
    <dataValidation type="decimal" errorStyle="warning" allowBlank="1" showInputMessage="1" showErrorMessage="1" errorTitle="Cost" error="Enter a positive number - no currency symbol." sqref="C18">
      <formula1>0</formula1>
      <formula2>1000000</formula2>
    </dataValidation>
    <dataValidation type="decimal" errorStyle="warning" allowBlank="1" showInputMessage="1" showErrorMessage="1" errorTitle="Margin" error="Enter a share between 0% and 90%." sqref="C20">
      <formula1>0</formula1>
      <formula2>0.9</formula2>
    </dataValidation>
    <dataValidation type="decimal" errorStyle="warning" allowBlank="1" showInputMessage="1" showErrorMessage="1" errorTitle="Deposit" error="Enter a share between 0% and 100%." sqref="C21">
      <formula1>0</formula1>
      <formula2>1</formula2>
    </dataValidation>
    <dataValidation type="date" errorStyle="warning" allowBlank="1" showInputMessage="1" showErrorMessage="1" errorTitle="That's not a date" error="Enter a date between 2000 and 2100." promptTitle="Date" prompt="Type a date, or pick one from the calendar." sqref="C11">
      <formula1>36526</formula1>
      <formula2>73415</formula2>
    </dataValidation>
  </dataValidations>
  <hyperlinks>
    <hyperlink ref="D3" location="'📊 Dashboard'!A1" display="🏠  Back to Dashboard"/>
    <hyperlink ref="B32" location="'⚙️ Setup'!A1" display="Setup"/>
    <hyperlink ref="D32" location="'📊 Dashboard'!A1" display="🏠 Home"/>
    <hyperlink ref="B33" location="'👥 Clients'!A1" display="Clients"/>
    <hyperlink ref="D33" location="'📅 Events'!A1" display="Events"/>
    <hyperlink ref="B34" location="'🧮 Quote Calculator'!A1" display="▶ Quote"/>
    <hyperlink ref="D34" location="'🍽️ Menu Costing'!A1" display="Menu"/>
    <hyperlink ref="B35" location="'📦 Inventory'!A1" display="Stock"/>
    <hyperlink ref="D35" location="'🛒 Shopping List'!A1" display="Shop"/>
    <hyperlink ref="B36" location="'💸 Expenses'!A1" display="Expenses"/>
    <hyperlink ref="D36" location="'💰 Payments'!A1" display="Payments"/>
    <hyperlink ref="B37" location="'👷 Staff &amp; Labor'!A1" display="Staff"/>
    <hyperlink ref="D37" location="'🍳 Equipment'!A1" display="Equip"/>
    <hyperlink ref="B38" location="'🚚 Suppliers'!A1" display="Suppliers"/>
    <hyperlink ref="D38" location="'📆 Event Calendar'!A1" display="Calendar"/>
    <hyperlink ref="B39" location="'📈 P&amp;L &amp; Reports'!A1" display="P&amp;L"/>
    <hyperlink ref="D39" location="'🧾 Tax Tracker'!A1" display="Tax"/>
    <hyperlink ref="B40" location="'✅ Checklists'!A1" display="Checks"/>
    <hyperlink ref="D40" location="'🖨️ Invoice &amp; Proposal'!A1" display="Invoice"/>
    <hyperlink ref="B41" location="'📖 Start Here'!A1" display="Help"/>
  </hyperlinks>
  <pageMargins left="0.4" right="0.4" top="0.5" bottom="0.5" header="0.3" footer="0.3"/>
  <pageSetup paperSize="9" fitToHeight="0" orientation="portrait"/>
  <headerFooter>
    <oddHeader>&amp;L&amp;"Calibri,Bold"&amp;11Catering Business Manager&amp;R&amp;"Calibri,Italic"&amp;9Page &amp;P of &amp;N</oddHeader>
    <oddFooter>&amp;C&amp;"Calibri,Italic"&amp;8&amp;A  •  Ultimate Catering Business Spreadsheet v1.0  •  personal licence</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23A3A"/>
    <pageSetUpPr fitToPage="1"/>
  </sheetPr>
  <dimension ref="A1:K68"/>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RowHeight="15" x14ac:dyDescent="0.25"/>
  <cols>
    <col min="1" max="1" width="2.85546875" customWidth="1"/>
    <col min="2" max="2" width="5.28515625" customWidth="1"/>
    <col min="3" max="3" width="24.7109375" customWidth="1"/>
    <col min="4" max="4" width="12.7109375" customWidth="1"/>
    <col min="5" max="5" width="34.7109375" customWidth="1"/>
    <col min="6" max="7" width="12.7109375" customWidth="1"/>
    <col min="8" max="9" width="11.7109375" customWidth="1"/>
    <col min="10" max="10" width="9.7109375" customWidth="1"/>
    <col min="11" max="11" width="24.7109375" customWidth="1"/>
  </cols>
  <sheetData>
    <row r="1" spans="2:11" ht="7" customHeight="1" x14ac:dyDescent="0.25"/>
    <row r="2" spans="2:11" ht="30" customHeight="1" x14ac:dyDescent="0.25">
      <c r="B2" s="3" t="s">
        <v>260</v>
      </c>
      <c r="C2" s="3"/>
      <c r="D2" s="3"/>
      <c r="E2" s="3"/>
      <c r="F2" s="3"/>
      <c r="G2" s="3"/>
      <c r="H2" s="3"/>
      <c r="I2" s="4"/>
      <c r="J2" s="4"/>
      <c r="K2" s="4"/>
    </row>
    <row r="3" spans="2:11" ht="18" customHeight="1" x14ac:dyDescent="0.25">
      <c r="B3" s="5" t="s">
        <v>261</v>
      </c>
      <c r="C3" s="5"/>
      <c r="D3" s="5"/>
      <c r="E3" s="5"/>
      <c r="F3" s="5"/>
      <c r="G3" s="5"/>
      <c r="H3" s="5"/>
      <c r="I3" s="6" t="s">
        <v>97</v>
      </c>
      <c r="J3" s="6"/>
      <c r="K3" s="6"/>
    </row>
    <row r="4" spans="2:11" ht="7" customHeight="1" x14ac:dyDescent="0.25"/>
    <row r="5" spans="2:11" ht="26" customHeight="1" x14ac:dyDescent="0.25">
      <c r="B5" s="50" t="str">
        <f>"Dishes priced: "&amp;COUNTA('🍽️ Menu Costing'!$C$8:$C$37)</f>
        <v>Dishes priced: 0</v>
      </c>
      <c r="C5" s="50"/>
      <c r="D5" s="83" t="str">
        <f>"Avg cost: "&amp;Currency&amp;TEXT(IFERROR(AVERAGE('🍽️ Menu Costing'!$G$8:$G$37),0),"0.00")</f>
        <v>Avg cost: $0.00</v>
      </c>
      <c r="E5" s="83"/>
      <c r="F5" s="52" t="str">
        <f>"Avg price: "&amp;Currency&amp;TEXT(IFERROR(AVERAGE('🍽️ Menu Costing'!$H$8:$H$37),0),"0.00")</f>
        <v>Avg price: $0.00</v>
      </c>
      <c r="G5" s="52"/>
      <c r="H5" s="74" t="str">
        <f>"Avg margin: "&amp;TEXT('_Data'!$AF$34,"0%")</f>
        <v>Avg margin: 0%</v>
      </c>
      <c r="I5" s="74"/>
    </row>
    <row r="6" spans="2:11" ht="7" customHeight="1" x14ac:dyDescent="0.25"/>
    <row r="7" spans="2:11" ht="36" customHeight="1" x14ac:dyDescent="0.25">
      <c r="B7" s="2" t="s">
        <v>205</v>
      </c>
      <c r="C7" s="54" t="s">
        <v>51</v>
      </c>
      <c r="D7" s="2" t="s">
        <v>262</v>
      </c>
      <c r="E7" s="2" t="s">
        <v>263</v>
      </c>
      <c r="F7" s="2" t="s">
        <v>264</v>
      </c>
      <c r="G7" s="75" t="s">
        <v>265</v>
      </c>
      <c r="H7" s="56" t="s">
        <v>266</v>
      </c>
      <c r="I7" s="2" t="s">
        <v>231</v>
      </c>
      <c r="J7" s="2" t="s">
        <v>232</v>
      </c>
      <c r="K7" s="2" t="s">
        <v>217</v>
      </c>
    </row>
    <row r="8" spans="2:11" ht="20" customHeight="1" x14ac:dyDescent="0.25">
      <c r="B8" s="58">
        <f>IF($C8="","",ROW()-7)</f>
        <v/>
      </c>
      <c r="C8" s="14"/>
      <c r="D8" s="60"/>
      <c r="E8" s="64"/>
      <c r="F8" s="60"/>
      <c r="G8" s="62"/>
      <c r="H8" s="62"/>
      <c r="I8" s="63">
        <f>IF(OR($G8="",$H8=""),"",ROUND($H8-$G8,2))</f>
        <v/>
      </c>
      <c r="J8" s="76">
        <f>IFERROR(IF($I8="","",$I8/$H8),"")</f>
        <v/>
      </c>
      <c r="K8" s="64"/>
    </row>
    <row r="9" spans="2:11" ht="20" customHeight="1" x14ac:dyDescent="0.25">
      <c r="B9" s="65">
        <f>IF($C9="","",ROW()-7)</f>
        <v/>
      </c>
      <c r="C9" s="9"/>
      <c r="D9" s="10"/>
      <c r="E9" s="69"/>
      <c r="F9" s="10"/>
      <c r="G9" s="68"/>
      <c r="H9" s="68"/>
      <c r="I9" s="63">
        <f>IF(OR($G9="",$H9=""),"",ROUND($H9-$G9,2))</f>
        <v/>
      </c>
      <c r="J9" s="76">
        <f>IFERROR(IF($I9="","",$I9/$H9),"")</f>
        <v/>
      </c>
      <c r="K9" s="69"/>
    </row>
    <row r="10" spans="2:11" ht="20" customHeight="1" x14ac:dyDescent="0.25">
      <c r="B10" s="58">
        <f>IF($C10="","",ROW()-7)</f>
        <v/>
      </c>
      <c r="C10" s="14"/>
      <c r="D10" s="60"/>
      <c r="E10" s="64"/>
      <c r="F10" s="60"/>
      <c r="G10" s="62"/>
      <c r="H10" s="62"/>
      <c r="I10" s="63">
        <f>IF(OR($G10="",$H10=""),"",ROUND($H10-$G10,2))</f>
        <v/>
      </c>
      <c r="J10" s="76">
        <f>IFERROR(IF($I10="","",$I10/$H10),"")</f>
        <v/>
      </c>
      <c r="K10" s="64"/>
    </row>
    <row r="11" spans="2:11" ht="20" customHeight="1" x14ac:dyDescent="0.25">
      <c r="B11" s="65">
        <f>IF($C11="","",ROW()-7)</f>
        <v/>
      </c>
      <c r="C11" s="9"/>
      <c r="D11" s="10"/>
      <c r="E11" s="69"/>
      <c r="F11" s="10"/>
      <c r="G11" s="68"/>
      <c r="H11" s="68"/>
      <c r="I11" s="63">
        <f>IF(OR($G11="",$H11=""),"",ROUND($H11-$G11,2))</f>
        <v/>
      </c>
      <c r="J11" s="76">
        <f>IFERROR(IF($I11="","",$I11/$H11),"")</f>
        <v/>
      </c>
      <c r="K11" s="69"/>
    </row>
    <row r="12" spans="2:11" ht="20" customHeight="1" x14ac:dyDescent="0.25">
      <c r="B12" s="58">
        <f>IF($C12="","",ROW()-7)</f>
        <v/>
      </c>
      <c r="C12" s="14"/>
      <c r="D12" s="60"/>
      <c r="E12" s="64"/>
      <c r="F12" s="60"/>
      <c r="G12" s="62"/>
      <c r="H12" s="62"/>
      <c r="I12" s="63">
        <f>IF(OR($G12="",$H12=""),"",ROUND($H12-$G12,2))</f>
        <v/>
      </c>
      <c r="J12" s="76">
        <f>IFERROR(IF($I12="","",$I12/$H12),"")</f>
        <v/>
      </c>
      <c r="K12" s="64"/>
    </row>
    <row r="13" spans="2:11" ht="20" customHeight="1" x14ac:dyDescent="0.25">
      <c r="B13" s="65">
        <f>IF($C13="","",ROW()-7)</f>
        <v/>
      </c>
      <c r="C13" s="9"/>
      <c r="D13" s="10"/>
      <c r="E13" s="69"/>
      <c r="F13" s="10"/>
      <c r="G13" s="68"/>
      <c r="H13" s="68"/>
      <c r="I13" s="63">
        <f>IF(OR($G13="",$H13=""),"",ROUND($H13-$G13,2))</f>
        <v/>
      </c>
      <c r="J13" s="76">
        <f>IFERROR(IF($I13="","",$I13/$H13),"")</f>
        <v/>
      </c>
      <c r="K13" s="69"/>
    </row>
    <row r="14" spans="2:11" ht="20" customHeight="1" x14ac:dyDescent="0.25">
      <c r="B14" s="58">
        <f>IF($C14="","",ROW()-7)</f>
        <v/>
      </c>
      <c r="C14" s="14"/>
      <c r="D14" s="60"/>
      <c r="E14" s="64"/>
      <c r="F14" s="60"/>
      <c r="G14" s="62"/>
      <c r="H14" s="62"/>
      <c r="I14" s="63">
        <f>IF(OR($G14="",$H14=""),"",ROUND($H14-$G14,2))</f>
        <v/>
      </c>
      <c r="J14" s="76">
        <f>IFERROR(IF($I14="","",$I14/$H14),"")</f>
        <v/>
      </c>
      <c r="K14" s="64"/>
    </row>
    <row r="15" spans="2:11" ht="20" customHeight="1" x14ac:dyDescent="0.25">
      <c r="B15" s="65">
        <f>IF($C15="","",ROW()-7)</f>
        <v/>
      </c>
      <c r="C15" s="9"/>
      <c r="D15" s="10"/>
      <c r="E15" s="69"/>
      <c r="F15" s="10"/>
      <c r="G15" s="68"/>
      <c r="H15" s="68"/>
      <c r="I15" s="63">
        <f>IF(OR($G15="",$H15=""),"",ROUND($H15-$G15,2))</f>
        <v/>
      </c>
      <c r="J15" s="76">
        <f>IFERROR(IF($I15="","",$I15/$H15),"")</f>
        <v/>
      </c>
      <c r="K15" s="69"/>
    </row>
    <row r="16" spans="2:11" ht="20" customHeight="1" x14ac:dyDescent="0.25">
      <c r="B16" s="58">
        <f>IF($C16="","",ROW()-7)</f>
        <v/>
      </c>
      <c r="C16" s="14"/>
      <c r="D16" s="60"/>
      <c r="E16" s="64"/>
      <c r="F16" s="60"/>
      <c r="G16" s="62"/>
      <c r="H16" s="62"/>
      <c r="I16" s="63">
        <f>IF(OR($G16="",$H16=""),"",ROUND($H16-$G16,2))</f>
        <v/>
      </c>
      <c r="J16" s="76">
        <f>IFERROR(IF($I16="","",$I16/$H16),"")</f>
        <v/>
      </c>
      <c r="K16" s="64"/>
    </row>
    <row r="17" spans="2:11" ht="20" customHeight="1" x14ac:dyDescent="0.25">
      <c r="B17" s="65">
        <f>IF($C17="","",ROW()-7)</f>
        <v/>
      </c>
      <c r="C17" s="9"/>
      <c r="D17" s="10"/>
      <c r="E17" s="69"/>
      <c r="F17" s="10"/>
      <c r="G17" s="68"/>
      <c r="H17" s="68"/>
      <c r="I17" s="63">
        <f>IF(OR($G17="",$H17=""),"",ROUND($H17-$G17,2))</f>
        <v/>
      </c>
      <c r="J17" s="76">
        <f>IFERROR(IF($I17="","",$I17/$H17),"")</f>
        <v/>
      </c>
      <c r="K17" s="69"/>
    </row>
    <row r="18" spans="2:11" ht="20" customHeight="1" x14ac:dyDescent="0.25">
      <c r="B18" s="58">
        <f>IF($C18="","",ROW()-7)</f>
        <v/>
      </c>
      <c r="C18" s="14"/>
      <c r="D18" s="60"/>
      <c r="E18" s="64"/>
      <c r="F18" s="60"/>
      <c r="G18" s="62"/>
      <c r="H18" s="62"/>
      <c r="I18" s="63">
        <f>IF(OR($G18="",$H18=""),"",ROUND($H18-$G18,2))</f>
        <v/>
      </c>
      <c r="J18" s="76">
        <f>IFERROR(IF($I18="","",$I18/$H18),"")</f>
        <v/>
      </c>
      <c r="K18" s="64"/>
    </row>
    <row r="19" spans="2:11" ht="20" customHeight="1" x14ac:dyDescent="0.25">
      <c r="B19" s="65">
        <f>IF($C19="","",ROW()-7)</f>
        <v/>
      </c>
      <c r="C19" s="9"/>
      <c r="D19" s="10"/>
      <c r="E19" s="69"/>
      <c r="F19" s="10"/>
      <c r="G19" s="68"/>
      <c r="H19" s="68"/>
      <c r="I19" s="63">
        <f>IF(OR($G19="",$H19=""),"",ROUND($H19-$G19,2))</f>
        <v/>
      </c>
      <c r="J19" s="76">
        <f>IFERROR(IF($I19="","",$I19/$H19),"")</f>
        <v/>
      </c>
      <c r="K19" s="69"/>
    </row>
    <row r="20" spans="2:11" ht="20" customHeight="1" x14ac:dyDescent="0.25">
      <c r="B20" s="58">
        <f>IF($C20="","",ROW()-7)</f>
        <v/>
      </c>
      <c r="C20" s="14"/>
      <c r="D20" s="60"/>
      <c r="E20" s="64"/>
      <c r="F20" s="60"/>
      <c r="G20" s="62"/>
      <c r="H20" s="62"/>
      <c r="I20" s="63">
        <f>IF(OR($G20="",$H20=""),"",ROUND($H20-$G20,2))</f>
        <v/>
      </c>
      <c r="J20" s="76">
        <f>IFERROR(IF($I20="","",$I20/$H20),"")</f>
        <v/>
      </c>
      <c r="K20" s="64"/>
    </row>
    <row r="21" spans="2:11" ht="20" customHeight="1" x14ac:dyDescent="0.25">
      <c r="B21" s="65">
        <f>IF($C21="","",ROW()-7)</f>
        <v/>
      </c>
      <c r="C21" s="9"/>
      <c r="D21" s="10"/>
      <c r="E21" s="69"/>
      <c r="F21" s="10"/>
      <c r="G21" s="68"/>
      <c r="H21" s="68"/>
      <c r="I21" s="63">
        <f>IF(OR($G21="",$H21=""),"",ROUND($H21-$G21,2))</f>
        <v/>
      </c>
      <c r="J21" s="76">
        <f>IFERROR(IF($I21="","",$I21/$H21),"")</f>
        <v/>
      </c>
      <c r="K21" s="69"/>
    </row>
    <row r="22" spans="2:11" ht="20" customHeight="1" x14ac:dyDescent="0.25">
      <c r="B22" s="58">
        <f>IF($C22="","",ROW()-7)</f>
        <v/>
      </c>
      <c r="C22" s="14"/>
      <c r="D22" s="60"/>
      <c r="E22" s="64"/>
      <c r="F22" s="60"/>
      <c r="G22" s="62"/>
      <c r="H22" s="62"/>
      <c r="I22" s="63">
        <f>IF(OR($G22="",$H22=""),"",ROUND($H22-$G22,2))</f>
        <v/>
      </c>
      <c r="J22" s="76">
        <f>IFERROR(IF($I22="","",$I22/$H22),"")</f>
        <v/>
      </c>
      <c r="K22" s="64"/>
    </row>
    <row r="23" spans="2:11" ht="20" customHeight="1" x14ac:dyDescent="0.25">
      <c r="B23" s="65">
        <f>IF($C23="","",ROW()-7)</f>
        <v/>
      </c>
      <c r="C23" s="9"/>
      <c r="D23" s="10"/>
      <c r="E23" s="69"/>
      <c r="F23" s="10"/>
      <c r="G23" s="68"/>
      <c r="H23" s="68"/>
      <c r="I23" s="63">
        <f>IF(OR($G23="",$H23=""),"",ROUND($H23-$G23,2))</f>
        <v/>
      </c>
      <c r="J23" s="76">
        <f>IFERROR(IF($I23="","",$I23/$H23),"")</f>
        <v/>
      </c>
      <c r="K23" s="69"/>
    </row>
    <row r="24" spans="2:11" ht="20" customHeight="1" x14ac:dyDescent="0.25">
      <c r="B24" s="58">
        <f>IF($C24="","",ROW()-7)</f>
        <v/>
      </c>
      <c r="C24" s="14"/>
      <c r="D24" s="60"/>
      <c r="E24" s="64"/>
      <c r="F24" s="60"/>
      <c r="G24" s="62"/>
      <c r="H24" s="62"/>
      <c r="I24" s="63">
        <f>IF(OR($G24="",$H24=""),"",ROUND($H24-$G24,2))</f>
        <v/>
      </c>
      <c r="J24" s="76">
        <f>IFERROR(IF($I24="","",$I24/$H24),"")</f>
        <v/>
      </c>
      <c r="K24" s="64"/>
    </row>
    <row r="25" spans="2:11" ht="20" customHeight="1" x14ac:dyDescent="0.25">
      <c r="B25" s="65">
        <f>IF($C25="","",ROW()-7)</f>
        <v/>
      </c>
      <c r="C25" s="9"/>
      <c r="D25" s="10"/>
      <c r="E25" s="69"/>
      <c r="F25" s="10"/>
      <c r="G25" s="68"/>
      <c r="H25" s="68"/>
      <c r="I25" s="63">
        <f>IF(OR($G25="",$H25=""),"",ROUND($H25-$G25,2))</f>
        <v/>
      </c>
      <c r="J25" s="76">
        <f>IFERROR(IF($I25="","",$I25/$H25),"")</f>
        <v/>
      </c>
      <c r="K25" s="69"/>
    </row>
    <row r="26" spans="2:11" ht="20" customHeight="1" x14ac:dyDescent="0.25">
      <c r="B26" s="58">
        <f>IF($C26="","",ROW()-7)</f>
        <v/>
      </c>
      <c r="C26" s="14"/>
      <c r="D26" s="60"/>
      <c r="E26" s="64"/>
      <c r="F26" s="60"/>
      <c r="G26" s="62"/>
      <c r="H26" s="62"/>
      <c r="I26" s="63">
        <f>IF(OR($G26="",$H26=""),"",ROUND($H26-$G26,2))</f>
        <v/>
      </c>
      <c r="J26" s="76">
        <f>IFERROR(IF($I26="","",$I26/$H26),"")</f>
        <v/>
      </c>
      <c r="K26" s="64"/>
    </row>
    <row r="27" spans="2:11" ht="20" customHeight="1" x14ac:dyDescent="0.25">
      <c r="B27" s="65">
        <f>IF($C27="","",ROW()-7)</f>
        <v/>
      </c>
      <c r="C27" s="9"/>
      <c r="D27" s="10"/>
      <c r="E27" s="69"/>
      <c r="F27" s="10"/>
      <c r="G27" s="68"/>
      <c r="H27" s="68"/>
      <c r="I27" s="63">
        <f>IF(OR($G27="",$H27=""),"",ROUND($H27-$G27,2))</f>
        <v/>
      </c>
      <c r="J27" s="76">
        <f>IFERROR(IF($I27="","",$I27/$H27),"")</f>
        <v/>
      </c>
      <c r="K27" s="69"/>
    </row>
    <row r="28" spans="2:11" ht="20" customHeight="1" x14ac:dyDescent="0.25">
      <c r="B28" s="58">
        <f>IF($C28="","",ROW()-7)</f>
        <v/>
      </c>
      <c r="C28" s="14"/>
      <c r="D28" s="60"/>
      <c r="E28" s="64"/>
      <c r="F28" s="60"/>
      <c r="G28" s="62"/>
      <c r="H28" s="62"/>
      <c r="I28" s="63">
        <f>IF(OR($G28="",$H28=""),"",ROUND($H28-$G28,2))</f>
        <v/>
      </c>
      <c r="J28" s="76">
        <f>IFERROR(IF($I28="","",$I28/$H28),"")</f>
        <v/>
      </c>
      <c r="K28" s="64"/>
    </row>
    <row r="29" spans="2:11" ht="20" customHeight="1" x14ac:dyDescent="0.25">
      <c r="B29" s="65">
        <f>IF($C29="","",ROW()-7)</f>
        <v/>
      </c>
      <c r="C29" s="9"/>
      <c r="D29" s="10"/>
      <c r="E29" s="69"/>
      <c r="F29" s="10"/>
      <c r="G29" s="68"/>
      <c r="H29" s="68"/>
      <c r="I29" s="63">
        <f>IF(OR($G29="",$H29=""),"",ROUND($H29-$G29,2))</f>
        <v/>
      </c>
      <c r="J29" s="76">
        <f>IFERROR(IF($I29="","",$I29/$H29),"")</f>
        <v/>
      </c>
      <c r="K29" s="69"/>
    </row>
    <row r="30" spans="2:11" ht="20" customHeight="1" x14ac:dyDescent="0.25">
      <c r="B30" s="58">
        <f>IF($C30="","",ROW()-7)</f>
        <v/>
      </c>
      <c r="C30" s="14"/>
      <c r="D30" s="60"/>
      <c r="E30" s="64"/>
      <c r="F30" s="60"/>
      <c r="G30" s="62"/>
      <c r="H30" s="62"/>
      <c r="I30" s="63">
        <f>IF(OR($G30="",$H30=""),"",ROUND($H30-$G30,2))</f>
        <v/>
      </c>
      <c r="J30" s="76">
        <f>IFERROR(IF($I30="","",$I30/$H30),"")</f>
        <v/>
      </c>
      <c r="K30" s="64"/>
    </row>
    <row r="31" spans="2:11" ht="20" customHeight="1" x14ac:dyDescent="0.25">
      <c r="B31" s="65">
        <f>IF($C31="","",ROW()-7)</f>
        <v/>
      </c>
      <c r="C31" s="9"/>
      <c r="D31" s="10"/>
      <c r="E31" s="69"/>
      <c r="F31" s="10"/>
      <c r="G31" s="68"/>
      <c r="H31" s="68"/>
      <c r="I31" s="63">
        <f>IF(OR($G31="",$H31=""),"",ROUND($H31-$G31,2))</f>
        <v/>
      </c>
      <c r="J31" s="76">
        <f>IFERROR(IF($I31="","",$I31/$H31),"")</f>
        <v/>
      </c>
      <c r="K31" s="69"/>
    </row>
    <row r="32" spans="2:11" ht="20" customHeight="1" x14ac:dyDescent="0.25">
      <c r="B32" s="58">
        <f>IF($C32="","",ROW()-7)</f>
        <v/>
      </c>
      <c r="C32" s="14"/>
      <c r="D32" s="60"/>
      <c r="E32" s="64"/>
      <c r="F32" s="60"/>
      <c r="G32" s="62"/>
      <c r="H32" s="62"/>
      <c r="I32" s="63">
        <f>IF(OR($G32="",$H32=""),"",ROUND($H32-$G32,2))</f>
        <v/>
      </c>
      <c r="J32" s="76">
        <f>IFERROR(IF($I32="","",$I32/$H32),"")</f>
        <v/>
      </c>
      <c r="K32" s="64"/>
    </row>
    <row r="33" spans="2:11" ht="20" customHeight="1" x14ac:dyDescent="0.25">
      <c r="B33" s="65">
        <f>IF($C33="","",ROW()-7)</f>
        <v/>
      </c>
      <c r="C33" s="9"/>
      <c r="D33" s="10"/>
      <c r="E33" s="69"/>
      <c r="F33" s="10"/>
      <c r="G33" s="68"/>
      <c r="H33" s="68"/>
      <c r="I33" s="63">
        <f>IF(OR($G33="",$H33=""),"",ROUND($H33-$G33,2))</f>
        <v/>
      </c>
      <c r="J33" s="76">
        <f>IFERROR(IF($I33="","",$I33/$H33),"")</f>
        <v/>
      </c>
      <c r="K33" s="69"/>
    </row>
    <row r="34" spans="2:11" ht="20" customHeight="1" x14ac:dyDescent="0.25">
      <c r="B34" s="58">
        <f>IF($C34="","",ROW()-7)</f>
        <v/>
      </c>
      <c r="C34" s="14"/>
      <c r="D34" s="60"/>
      <c r="E34" s="64"/>
      <c r="F34" s="60"/>
      <c r="G34" s="62"/>
      <c r="H34" s="62"/>
      <c r="I34" s="63">
        <f>IF(OR($G34="",$H34=""),"",ROUND($H34-$G34,2))</f>
        <v/>
      </c>
      <c r="J34" s="76">
        <f>IFERROR(IF($I34="","",$I34/$H34),"")</f>
        <v/>
      </c>
      <c r="K34" s="64"/>
    </row>
    <row r="35" spans="2:11" ht="20" customHeight="1" x14ac:dyDescent="0.25">
      <c r="B35" s="65">
        <f>IF($C35="","",ROW()-7)</f>
        <v/>
      </c>
      <c r="C35" s="9"/>
      <c r="D35" s="10"/>
      <c r="E35" s="69"/>
      <c r="F35" s="10"/>
      <c r="G35" s="68"/>
      <c r="H35" s="68"/>
      <c r="I35" s="63">
        <f>IF(OR($G35="",$H35=""),"",ROUND($H35-$G35,2))</f>
        <v/>
      </c>
      <c r="J35" s="76">
        <f>IFERROR(IF($I35="","",$I35/$H35),"")</f>
        <v/>
      </c>
      <c r="K35" s="69"/>
    </row>
    <row r="36" spans="2:11" ht="20" customHeight="1" x14ac:dyDescent="0.25">
      <c r="B36" s="58">
        <f>IF($C36="","",ROW()-7)</f>
        <v/>
      </c>
      <c r="C36" s="14"/>
      <c r="D36" s="60"/>
      <c r="E36" s="64"/>
      <c r="F36" s="60"/>
      <c r="G36" s="62"/>
      <c r="H36" s="62"/>
      <c r="I36" s="63">
        <f>IF(OR($G36="",$H36=""),"",ROUND($H36-$G36,2))</f>
        <v/>
      </c>
      <c r="J36" s="76">
        <f>IFERROR(IF($I36="","",$I36/$H36),"")</f>
        <v/>
      </c>
      <c r="K36" s="64"/>
    </row>
    <row r="37" spans="2:11" ht="20" customHeight="1" x14ac:dyDescent="0.25">
      <c r="B37" s="65">
        <f>IF($C37="","",ROW()-7)</f>
        <v/>
      </c>
      <c r="C37" s="9"/>
      <c r="D37" s="10"/>
      <c r="E37" s="69"/>
      <c r="F37" s="10"/>
      <c r="G37" s="68"/>
      <c r="H37" s="68"/>
      <c r="I37" s="63">
        <f>IF(OR($G37="",$H37=""),"",ROUND($H37-$G37,2))</f>
        <v/>
      </c>
      <c r="J37" s="76">
        <f>IFERROR(IF($I37="","",$I37/$H37),"")</f>
        <v/>
      </c>
      <c r="K37" s="69"/>
    </row>
    <row r="38" spans="2:11" ht="24" customHeight="1" x14ac:dyDescent="0.25">
      <c r="B38" s="70" t="s">
        <v>267</v>
      </c>
      <c r="C38" s="70"/>
      <c r="D38" s="70"/>
      <c r="E38" s="71"/>
      <c r="F38" s="71"/>
      <c r="G38" s="84">
        <f>SUM('🍽️ Menu Costing'!$G$8:$G$37)</f>
        <v>0</v>
      </c>
      <c r="H38" s="84">
        <f>SUM('🍽️ Menu Costing'!$H$8:$H$37)</f>
        <v>0</v>
      </c>
      <c r="I38" s="84">
        <f>SUM('🍽️ Menu Costing'!$H$8:$H$37)-SUM('🍽️ Menu Costing'!$G$8:$G$37)</f>
        <v>0</v>
      </c>
      <c r="J38" s="71"/>
      <c r="K38" s="71"/>
    </row>
    <row r="58" spans="2:10" ht="22" customHeight="1" x14ac:dyDescent="0.25">
      <c r="B58" s="15" t="s">
        <v>219</v>
      </c>
      <c r="C58" s="15"/>
      <c r="D58" s="15"/>
      <c r="E58" s="15"/>
      <c r="F58" s="15"/>
      <c r="G58" s="15"/>
      <c r="H58" s="15"/>
      <c r="I58" s="15"/>
      <c r="J58" s="15"/>
    </row>
    <row r="59" spans="2:10" ht="51.8" customHeight="1" x14ac:dyDescent="0.25">
      <c r="B59" s="22" t="s">
        <v>268</v>
      </c>
      <c r="C59" s="22"/>
      <c r="D59" s="22"/>
      <c r="E59" s="22"/>
      <c r="F59" s="22"/>
      <c r="G59" s="22"/>
      <c r="H59" s="22"/>
      <c r="I59" s="22"/>
      <c r="J59" s="22"/>
    </row>
    <row r="65" spans="2:11" x14ac:dyDescent="0.25">
      <c r="B65" s="23" t="s">
        <v>202</v>
      </c>
      <c r="C65" s="23"/>
      <c r="D65" s="24" t="s">
        <v>164</v>
      </c>
      <c r="E65" s="24"/>
      <c r="F65" s="25" t="s">
        <v>165</v>
      </c>
      <c r="G65" s="25"/>
      <c r="H65" s="26" t="s">
        <v>17</v>
      </c>
      <c r="I65" s="26"/>
      <c r="J65" s="27" t="s">
        <v>166</v>
      </c>
      <c r="K65" s="27"/>
    </row>
    <row r="66" spans="2:11" ht="24" customHeight="1" x14ac:dyDescent="0.25">
      <c r="B66" s="28" t="s">
        <v>269</v>
      </c>
      <c r="C66" s="28"/>
      <c r="D66" s="29" t="s">
        <v>168</v>
      </c>
      <c r="E66" s="29"/>
      <c r="F66" s="30" t="s">
        <v>169</v>
      </c>
      <c r="G66" s="30"/>
      <c r="H66" s="24" t="s">
        <v>170</v>
      </c>
      <c r="I66" s="24"/>
      <c r="J66" s="26" t="s">
        <v>171</v>
      </c>
      <c r="K66" s="26"/>
    </row>
    <row r="67" spans="2:11" ht="24" customHeight="1" x14ac:dyDescent="0.25">
      <c r="B67" s="23" t="s">
        <v>172</v>
      </c>
      <c r="C67" s="23"/>
      <c r="D67" s="24" t="s">
        <v>173</v>
      </c>
      <c r="E67" s="24"/>
      <c r="F67" s="25" t="s">
        <v>174</v>
      </c>
      <c r="G67" s="25"/>
      <c r="H67" s="26" t="s">
        <v>175</v>
      </c>
      <c r="I67" s="26"/>
      <c r="J67" s="27" t="s">
        <v>176</v>
      </c>
      <c r="K67" s="27"/>
    </row>
    <row r="68" spans="2:11" ht="24" customHeight="1" x14ac:dyDescent="0.25">
      <c r="B68" s="28" t="s">
        <v>177</v>
      </c>
      <c r="C68" s="28"/>
      <c r="D68" s="29" t="s">
        <v>178</v>
      </c>
      <c r="E68" s="29"/>
      <c r="F68" s="30" t="s">
        <v>179</v>
      </c>
      <c r="G68" s="30"/>
      <c r="H68" s="24" t="s">
        <v>180</v>
      </c>
      <c r="I68" s="24"/>
    </row>
  </sheetData>
  <mergeCells count="29">
    <mergeCell ref="B2:H2"/>
    <mergeCell ref="B3:H3"/>
    <mergeCell ref="I3:K3"/>
    <mergeCell ref="B5:C5"/>
    <mergeCell ref="D5:E5"/>
    <mergeCell ref="F5:G5"/>
    <mergeCell ref="H5:I5"/>
    <mergeCell ref="B38:D38"/>
    <mergeCell ref="B58:J58"/>
    <mergeCell ref="B59:J59"/>
    <mergeCell ref="B65:C65"/>
    <mergeCell ref="D65:E65"/>
    <mergeCell ref="F65:G65"/>
    <mergeCell ref="H65:I65"/>
    <mergeCell ref="J65:K65"/>
    <mergeCell ref="B66:C66"/>
    <mergeCell ref="D66:E66"/>
    <mergeCell ref="F66:G66"/>
    <mergeCell ref="H66:I66"/>
    <mergeCell ref="J66:K66"/>
    <mergeCell ref="B67:C67"/>
    <mergeCell ref="D67:E67"/>
    <mergeCell ref="F67:G67"/>
    <mergeCell ref="H67:I67"/>
    <mergeCell ref="J67:K67"/>
    <mergeCell ref="B68:C68"/>
    <mergeCell ref="D68:E68"/>
    <mergeCell ref="F68:G68"/>
    <mergeCell ref="H68:I68"/>
  </mergeCells>
  <conditionalFormatting sqref="G8:G37">
    <cfRule type="dataBar" priority="3">
      <dataBar>
        <cfvo type="num" val="0"/>
        <cfvo type="num" val="1"/>
        <color rgb="FFB23A3A"/>
      </dataBar>
      <extLst>
        <ext xmlns:x14="http://schemas.microsoft.com/office/spreadsheetml/2009/9/main" uri="{B025F937-C7B1-47D3-B67F-A62EFF666E3E}">
          <x14:id>{DA7ABA51-AAAA-BBBB-0007-000000000001}</x14:id>
        </ext>
      </extLst>
    </cfRule>
  </conditionalFormatting>
  <conditionalFormatting sqref="H8:H37">
    <cfRule type="dataBar" priority="4">
      <dataBar>
        <cfvo type="num" val="0"/>
        <cfvo type="num" val="1"/>
        <color rgb="FF3E7C4F"/>
      </dataBar>
      <extLst>
        <ext xmlns:x14="http://schemas.microsoft.com/office/spreadsheetml/2009/9/main" uri="{B025F937-C7B1-47D3-B67F-A62EFF666E3E}">
          <x14:id>{DA7ABA51-AAAA-BBBB-0007-000000000002}</x14:id>
        </ext>
      </extLst>
    </cfRule>
  </conditionalFormatting>
  <conditionalFormatting sqref="J8:J37">
    <cfRule type="expression" dxfId="8" priority="1">
      <formula>AND($J8&lt;&gt;"",$J8&lt;DefaultMargin)</formula>
    </cfRule>
    <cfRule type="expression" dxfId="9" priority="2">
      <formula>AND($J8&lt;&gt;"",$J8&gt;=DefaultMargin)</formula>
    </cfRule>
  </conditionalFormatting>
  <dataValidations count="3">
    <dataValidation type="list" allowBlank="1" showInputMessage="1" promptTitle="Category" prompt="Starter, Main, Dessert... (edit on Setup)." sqref="D8:D37">
      <formula1>MenuCategories</formula1>
    </dataValidation>
    <dataValidation type="decimal" operator="greaterThanOrEqual" errorStyle="warning" allowBlank="1" showInputMessage="1" showErrorMessage="1" errorTitle="Enter money" error="Please enter a positive number (no currency symbol) - the symbol comes from Setup." sqref="G8:G37">
      <formula1>0</formula1>
    </dataValidation>
    <dataValidation type="decimal" operator="greaterThanOrEqual" errorStyle="warning" allowBlank="1" showInputMessage="1" showErrorMessage="1" errorTitle="Enter money" error="Please enter a positive number (no currency symbol) - the symbol comes from Setup." sqref="H8:H37">
      <formula1>0</formula1>
    </dataValidation>
  </dataValidations>
  <hyperlinks>
    <hyperlink ref="I3" location="'📊 Dashboard'!A1" display="🏠  Back to Dashboard"/>
    <hyperlink ref="B65" location="'⚙️ Setup'!A1" display="Setup"/>
    <hyperlink ref="D65" location="'📊 Dashboard'!A1" display="🏠 Home"/>
    <hyperlink ref="F65" location="'👥 Clients'!A1" display="Clients"/>
    <hyperlink ref="H65" location="'📅 Events'!A1" display="Events"/>
    <hyperlink ref="J65" location="'🧮 Quote Calculator'!A1" display="Quote"/>
    <hyperlink ref="B66" location="'🍽️ Menu Costing'!A1" display="▶ Menu"/>
    <hyperlink ref="D66" location="'📦 Inventory'!A1" display="Stock"/>
    <hyperlink ref="F66" location="'🛒 Shopping List'!A1" display="Shop"/>
    <hyperlink ref="H66" location="'💸 Expenses'!A1" display="Expenses"/>
    <hyperlink ref="J66" location="'💰 Payments'!A1" display="Payments"/>
    <hyperlink ref="B67" location="'👷 Staff &amp; Labor'!A1" display="Staff"/>
    <hyperlink ref="D67" location="'🍳 Equipment'!A1" display="Equip"/>
    <hyperlink ref="F67" location="'🚚 Suppliers'!A1" display="Suppliers"/>
    <hyperlink ref="H67" location="'📆 Event Calendar'!A1" display="Calendar"/>
    <hyperlink ref="J67" location="'📈 P&amp;L &amp; Reports'!A1" display="P&amp;L"/>
    <hyperlink ref="B68" location="'🧾 Tax Tracker'!A1" display="Tax"/>
    <hyperlink ref="D68" location="'✅ Checklists'!A1" display="Checks"/>
    <hyperlink ref="F68" location="'🖨️ Invoice &amp; Proposal'!A1" display="Invoice"/>
    <hyperlink ref="H68"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drawing r:id="rId1"/>
  <extLst>
    <ext xmlns:x14="http://schemas.microsoft.com/office/spreadsheetml/2009/9/main" uri="{78C0D931-6437-407d-A8EE-F0AAD7539E65}">
      <x14:conditionalFormattings>
        <x14:conditionalFormatting xmlns:xm="http://schemas.microsoft.com/office/excel/2006/main">
          <x14:cfRule type="dataBar" id="{DA7ABA51-AAAA-BBBB-0007-000000000001}">
            <x14:dataBar minLength="0" maxLength="100" border="1" gradient="0" negativeBarBorderColorSameAsPositive="0">
              <x14:cfvo type="num">
                <xm:f>0</xm:f>
              </x14:cfvo>
              <x14:cfvo type="num">
                <xm:f>1</xm:f>
              </x14:cfvo>
              <x14:borderColor rgb="FFB23A3A"/>
              <x14:negativeFillColor rgb="FFFF0000"/>
              <x14:negativeBorderColor rgb="FFFF0000"/>
              <x14:axisColor rgb="FF000000"/>
            </x14:dataBar>
          </x14:cfRule>
          <xm:sqref>G8:G37</xm:sqref>
        </x14:conditionalFormatting>
        <x14:conditionalFormatting xmlns:xm="http://schemas.microsoft.com/office/excel/2006/main">
          <x14:cfRule type="dataBar" id="{DA7ABA51-AAAA-BBBB-0007-000000000002}">
            <x14:dataBar minLength="0" maxLength="100" border="1" gradient="0" negativeBarBorderColorSameAsPositive="0">
              <x14:cfvo type="num">
                <xm:f>0</xm:f>
              </x14:cfvo>
              <x14:cfvo type="num">
                <xm:f>1</xm:f>
              </x14:cfvo>
              <x14:borderColor rgb="FF3E7C4F"/>
              <x14:negativeFillColor rgb="FFFF0000"/>
              <x14:negativeBorderColor rgb="FFFF0000"/>
              <x14:axisColor rgb="FF000000"/>
            </x14:dataBar>
          </x14:cfRule>
          <xm:sqref>H8:H37</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E7C4F"/>
    <pageSetUpPr fitToPage="1"/>
  </sheetPr>
  <dimension ref="A1:L58"/>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RowHeight="15" x14ac:dyDescent="0.25"/>
  <cols>
    <col min="1" max="1" width="2.85546875" customWidth="1"/>
    <col min="2" max="2" width="5.28515625" customWidth="1"/>
    <col min="3" max="3" width="22.7109375" customWidth="1"/>
    <col min="4" max="4" width="14.7109375" customWidth="1"/>
    <col min="5" max="5" width="8.7109375" customWidth="1"/>
    <col min="6" max="8" width="10.7109375" customWidth="1"/>
    <col min="9" max="9" width="12.7109375" customWidth="1"/>
    <col min="10" max="10" width="18.7109375" customWidth="1"/>
    <col min="11" max="11" width="14.7109375" customWidth="1"/>
    <col min="12" max="12" width="22.7109375" customWidth="1"/>
  </cols>
  <sheetData>
    <row r="1" spans="2:12" ht="7" customHeight="1" x14ac:dyDescent="0.25"/>
    <row r="2" spans="2:12" ht="30" customHeight="1" x14ac:dyDescent="0.25">
      <c r="B2" s="3" t="s">
        <v>270</v>
      </c>
      <c r="C2" s="3"/>
      <c r="D2" s="3"/>
      <c r="E2" s="3"/>
      <c r="F2" s="3"/>
      <c r="G2" s="3"/>
      <c r="H2" s="3"/>
      <c r="I2" s="3"/>
      <c r="J2" s="4"/>
      <c r="K2" s="4"/>
      <c r="L2" s="4"/>
    </row>
    <row r="3" spans="2:12" ht="18" customHeight="1" x14ac:dyDescent="0.25">
      <c r="B3" s="5" t="s">
        <v>271</v>
      </c>
      <c r="C3" s="5"/>
      <c r="D3" s="5"/>
      <c r="E3" s="5"/>
      <c r="F3" s="5"/>
      <c r="G3" s="5"/>
      <c r="H3" s="5"/>
      <c r="I3" s="5"/>
      <c r="J3" s="6" t="s">
        <v>97</v>
      </c>
      <c r="K3" s="6"/>
      <c r="L3" s="6"/>
    </row>
    <row r="4" spans="2:12" ht="7" customHeight="1" x14ac:dyDescent="0.25"/>
    <row r="5" spans="2:12" ht="26" customHeight="1" x14ac:dyDescent="0.25">
      <c r="B5" s="50" t="str">
        <f>"Items tracked: "&amp;COUNTA('📦 Inventory'!$C$8:$C$47)</f>
        <v>Items tracked: 0</v>
      </c>
      <c r="C5" s="50"/>
      <c r="D5" s="52" t="str">
        <f>"Stock value: "&amp;Currency&amp;TEXT(SUMPRODUCT(('📦 Inventory'!$C$8:$C$47&lt;&gt;"")*'📦 Inventory'!$F$8:$F$47*'📦 Inventory'!$H$8:$H$47),"#,##0.00")</f>
        <v>Stock value: $0.00</v>
      </c>
      <c r="E5" s="52"/>
      <c r="F5" s="83" t="str">
        <f>"Below minimum: "&amp;'_Data'!$AF$23</f>
        <v>Below minimum: 0</v>
      </c>
      <c r="G5" s="83"/>
      <c r="H5" s="74" t="str">
        <f>"Reorder spend: "&amp;Currency&amp;TEXT(SUMPRODUCT(('📦 Inventory'!$C$8:$C$47&lt;&gt;"")*('📦 Inventory'!$F$8:$F$47&lt;'📦 Inventory'!$G$8:$G$47)*('📦 Inventory'!$G$8:$G$47-'📦 Inventory'!$F$8:$F$47)*'📦 Inventory'!$H$8:$H$47),"#,##0.00")</f>
        <v>Reorder spend: $0.00</v>
      </c>
      <c r="I5" s="74"/>
    </row>
    <row r="6" spans="2:12" ht="7" customHeight="1" x14ac:dyDescent="0.25"/>
    <row r="7" spans="2:12" ht="36" customHeight="1" x14ac:dyDescent="0.25">
      <c r="B7" s="2" t="s">
        <v>205</v>
      </c>
      <c r="C7" s="54" t="s">
        <v>272</v>
      </c>
      <c r="D7" s="2" t="s">
        <v>262</v>
      </c>
      <c r="E7" s="2" t="s">
        <v>273</v>
      </c>
      <c r="F7" s="2" t="s">
        <v>274</v>
      </c>
      <c r="G7" s="57" t="s">
        <v>275</v>
      </c>
      <c r="H7" s="2" t="s">
        <v>276</v>
      </c>
      <c r="I7" s="2" t="s">
        <v>277</v>
      </c>
      <c r="J7" s="2" t="s">
        <v>278</v>
      </c>
      <c r="K7" s="2" t="s">
        <v>42</v>
      </c>
      <c r="L7" s="2" t="s">
        <v>217</v>
      </c>
    </row>
    <row r="8" spans="2:12" ht="20" customHeight="1" x14ac:dyDescent="0.25">
      <c r="B8" s="58">
        <f>IF($C8="","",ROW()-7)</f>
        <v/>
      </c>
      <c r="C8" s="14"/>
      <c r="D8" s="60"/>
      <c r="E8" s="60"/>
      <c r="F8" s="85"/>
      <c r="G8" s="85"/>
      <c r="H8" s="62"/>
      <c r="I8" s="63">
        <f>IF(OR($F8="",$H8=""),"",ROUND($F8*$H8,2))</f>
        <v/>
      </c>
      <c r="J8" s="14"/>
      <c r="K8" s="86">
        <f>IF($C8="","",IF($F8&lt;$G8,"🔴 Reorder",IF($F8&lt;$G8*1.5,"🟡 Low","🟢 OK")))</f>
        <v/>
      </c>
      <c r="L8" s="64"/>
    </row>
    <row r="9" spans="2:12" ht="20" customHeight="1" x14ac:dyDescent="0.25">
      <c r="B9" s="65">
        <f>IF($C9="","",ROW()-7)</f>
        <v/>
      </c>
      <c r="C9" s="9"/>
      <c r="D9" s="10"/>
      <c r="E9" s="10"/>
      <c r="F9" s="87"/>
      <c r="G9" s="87"/>
      <c r="H9" s="68"/>
      <c r="I9" s="63">
        <f>IF(OR($F9="",$H9=""),"",ROUND($F9*$H9,2))</f>
        <v/>
      </c>
      <c r="J9" s="9"/>
      <c r="K9" s="86">
        <f>IF($C9="","",IF($F9&lt;$G9,"🔴 Reorder",IF($F9&lt;$G9*1.5,"🟡 Low","🟢 OK")))</f>
        <v/>
      </c>
      <c r="L9" s="69"/>
    </row>
    <row r="10" spans="2:12" ht="20" customHeight="1" x14ac:dyDescent="0.25">
      <c r="B10" s="58">
        <f>IF($C10="","",ROW()-7)</f>
        <v/>
      </c>
      <c r="C10" s="14"/>
      <c r="D10" s="60"/>
      <c r="E10" s="60"/>
      <c r="F10" s="85"/>
      <c r="G10" s="85"/>
      <c r="H10" s="62"/>
      <c r="I10" s="63">
        <f>IF(OR($F10="",$H10=""),"",ROUND($F10*$H10,2))</f>
        <v/>
      </c>
      <c r="J10" s="14"/>
      <c r="K10" s="86">
        <f>IF($C10="","",IF($F10&lt;$G10,"🔴 Reorder",IF($F10&lt;$G10*1.5,"🟡 Low","🟢 OK")))</f>
        <v/>
      </c>
      <c r="L10" s="64"/>
    </row>
    <row r="11" spans="2:12" ht="20" customHeight="1" x14ac:dyDescent="0.25">
      <c r="B11" s="65">
        <f>IF($C11="","",ROW()-7)</f>
        <v/>
      </c>
      <c r="C11" s="9"/>
      <c r="D11" s="10"/>
      <c r="E11" s="10"/>
      <c r="F11" s="87"/>
      <c r="G11" s="87"/>
      <c r="H11" s="68"/>
      <c r="I11" s="63">
        <f>IF(OR($F11="",$H11=""),"",ROUND($F11*$H11,2))</f>
        <v/>
      </c>
      <c r="J11" s="9"/>
      <c r="K11" s="86">
        <f>IF($C11="","",IF($F11&lt;$G11,"🔴 Reorder",IF($F11&lt;$G11*1.5,"🟡 Low","🟢 OK")))</f>
        <v/>
      </c>
      <c r="L11" s="69"/>
    </row>
    <row r="12" spans="2:12" ht="20" customHeight="1" x14ac:dyDescent="0.25">
      <c r="B12" s="58">
        <f>IF($C12="","",ROW()-7)</f>
        <v/>
      </c>
      <c r="C12" s="14"/>
      <c r="D12" s="60"/>
      <c r="E12" s="60"/>
      <c r="F12" s="85"/>
      <c r="G12" s="85"/>
      <c r="H12" s="62"/>
      <c r="I12" s="63">
        <f>IF(OR($F12="",$H12=""),"",ROUND($F12*$H12,2))</f>
        <v/>
      </c>
      <c r="J12" s="14"/>
      <c r="K12" s="86">
        <f>IF($C12="","",IF($F12&lt;$G12,"🔴 Reorder",IF($F12&lt;$G12*1.5,"🟡 Low","🟢 OK")))</f>
        <v/>
      </c>
      <c r="L12" s="64"/>
    </row>
    <row r="13" spans="2:12" ht="20" customHeight="1" x14ac:dyDescent="0.25">
      <c r="B13" s="65">
        <f>IF($C13="","",ROW()-7)</f>
        <v/>
      </c>
      <c r="C13" s="9"/>
      <c r="D13" s="10"/>
      <c r="E13" s="10"/>
      <c r="F13" s="87"/>
      <c r="G13" s="87"/>
      <c r="H13" s="68"/>
      <c r="I13" s="63">
        <f>IF(OR($F13="",$H13=""),"",ROUND($F13*$H13,2))</f>
        <v/>
      </c>
      <c r="J13" s="9"/>
      <c r="K13" s="86">
        <f>IF($C13="","",IF($F13&lt;$G13,"🔴 Reorder",IF($F13&lt;$G13*1.5,"🟡 Low","🟢 OK")))</f>
        <v/>
      </c>
      <c r="L13" s="69"/>
    </row>
    <row r="14" spans="2:12" ht="20" customHeight="1" x14ac:dyDescent="0.25">
      <c r="B14" s="58">
        <f>IF($C14="","",ROW()-7)</f>
        <v/>
      </c>
      <c r="C14" s="14"/>
      <c r="D14" s="60"/>
      <c r="E14" s="60"/>
      <c r="F14" s="85"/>
      <c r="G14" s="85"/>
      <c r="H14" s="62"/>
      <c r="I14" s="63">
        <f>IF(OR($F14="",$H14=""),"",ROUND($F14*$H14,2))</f>
        <v/>
      </c>
      <c r="J14" s="14"/>
      <c r="K14" s="86">
        <f>IF($C14="","",IF($F14&lt;$G14,"🔴 Reorder",IF($F14&lt;$G14*1.5,"🟡 Low","🟢 OK")))</f>
        <v/>
      </c>
      <c r="L14" s="64"/>
    </row>
    <row r="15" spans="2:12" ht="20" customHeight="1" x14ac:dyDescent="0.25">
      <c r="B15" s="65">
        <f>IF($C15="","",ROW()-7)</f>
        <v/>
      </c>
      <c r="C15" s="9"/>
      <c r="D15" s="10"/>
      <c r="E15" s="10"/>
      <c r="F15" s="87"/>
      <c r="G15" s="87"/>
      <c r="H15" s="68"/>
      <c r="I15" s="63">
        <f>IF(OR($F15="",$H15=""),"",ROUND($F15*$H15,2))</f>
        <v/>
      </c>
      <c r="J15" s="9"/>
      <c r="K15" s="86">
        <f>IF($C15="","",IF($F15&lt;$G15,"🔴 Reorder",IF($F15&lt;$G15*1.5,"🟡 Low","🟢 OK")))</f>
        <v/>
      </c>
      <c r="L15" s="69"/>
    </row>
    <row r="16" spans="2:12" ht="20" customHeight="1" x14ac:dyDescent="0.25">
      <c r="B16" s="58">
        <f>IF($C16="","",ROW()-7)</f>
        <v/>
      </c>
      <c r="C16" s="14"/>
      <c r="D16" s="60"/>
      <c r="E16" s="60"/>
      <c r="F16" s="85"/>
      <c r="G16" s="85"/>
      <c r="H16" s="62"/>
      <c r="I16" s="63">
        <f>IF(OR($F16="",$H16=""),"",ROUND($F16*$H16,2))</f>
        <v/>
      </c>
      <c r="J16" s="14"/>
      <c r="K16" s="86">
        <f>IF($C16="","",IF($F16&lt;$G16,"🔴 Reorder",IF($F16&lt;$G16*1.5,"🟡 Low","🟢 OK")))</f>
        <v/>
      </c>
      <c r="L16" s="64"/>
    </row>
    <row r="17" spans="2:12" ht="20" customHeight="1" x14ac:dyDescent="0.25">
      <c r="B17" s="65">
        <f>IF($C17="","",ROW()-7)</f>
        <v/>
      </c>
      <c r="C17" s="9"/>
      <c r="D17" s="10"/>
      <c r="E17" s="10"/>
      <c r="F17" s="87"/>
      <c r="G17" s="87"/>
      <c r="H17" s="68"/>
      <c r="I17" s="63">
        <f>IF(OR($F17="",$H17=""),"",ROUND($F17*$H17,2))</f>
        <v/>
      </c>
      <c r="J17" s="9"/>
      <c r="K17" s="86">
        <f>IF($C17="","",IF($F17&lt;$G17,"🔴 Reorder",IF($F17&lt;$G17*1.5,"🟡 Low","🟢 OK")))</f>
        <v/>
      </c>
      <c r="L17" s="69"/>
    </row>
    <row r="18" spans="2:12" ht="20" customHeight="1" x14ac:dyDescent="0.25">
      <c r="B18" s="58">
        <f>IF($C18="","",ROW()-7)</f>
        <v/>
      </c>
      <c r="C18" s="14"/>
      <c r="D18" s="60"/>
      <c r="E18" s="60"/>
      <c r="F18" s="85"/>
      <c r="G18" s="85"/>
      <c r="H18" s="62"/>
      <c r="I18" s="63">
        <f>IF(OR($F18="",$H18=""),"",ROUND($F18*$H18,2))</f>
        <v/>
      </c>
      <c r="J18" s="14"/>
      <c r="K18" s="86">
        <f>IF($C18="","",IF($F18&lt;$G18,"🔴 Reorder",IF($F18&lt;$G18*1.5,"🟡 Low","🟢 OK")))</f>
        <v/>
      </c>
      <c r="L18" s="64"/>
    </row>
    <row r="19" spans="2:12" ht="20" customHeight="1" x14ac:dyDescent="0.25">
      <c r="B19" s="65">
        <f>IF($C19="","",ROW()-7)</f>
        <v/>
      </c>
      <c r="C19" s="9"/>
      <c r="D19" s="10"/>
      <c r="E19" s="10"/>
      <c r="F19" s="87"/>
      <c r="G19" s="87"/>
      <c r="H19" s="68"/>
      <c r="I19" s="63">
        <f>IF(OR($F19="",$H19=""),"",ROUND($F19*$H19,2))</f>
        <v/>
      </c>
      <c r="J19" s="9"/>
      <c r="K19" s="86">
        <f>IF($C19="","",IF($F19&lt;$G19,"🔴 Reorder",IF($F19&lt;$G19*1.5,"🟡 Low","🟢 OK")))</f>
        <v/>
      </c>
      <c r="L19" s="69"/>
    </row>
    <row r="20" spans="2:12" ht="20" customHeight="1" x14ac:dyDescent="0.25">
      <c r="B20" s="58">
        <f>IF($C20="","",ROW()-7)</f>
        <v/>
      </c>
      <c r="C20" s="14"/>
      <c r="D20" s="60"/>
      <c r="E20" s="60"/>
      <c r="F20" s="85"/>
      <c r="G20" s="85"/>
      <c r="H20" s="62"/>
      <c r="I20" s="63">
        <f>IF(OR($F20="",$H20=""),"",ROUND($F20*$H20,2))</f>
        <v/>
      </c>
      <c r="J20" s="14"/>
      <c r="K20" s="86">
        <f>IF($C20="","",IF($F20&lt;$G20,"🔴 Reorder",IF($F20&lt;$G20*1.5,"🟡 Low","🟢 OK")))</f>
        <v/>
      </c>
      <c r="L20" s="64"/>
    </row>
    <row r="21" spans="2:12" ht="20" customHeight="1" x14ac:dyDescent="0.25">
      <c r="B21" s="65">
        <f>IF($C21="","",ROW()-7)</f>
        <v/>
      </c>
      <c r="C21" s="9"/>
      <c r="D21" s="10"/>
      <c r="E21" s="10"/>
      <c r="F21" s="87"/>
      <c r="G21" s="87"/>
      <c r="H21" s="68"/>
      <c r="I21" s="63">
        <f>IF(OR($F21="",$H21=""),"",ROUND($F21*$H21,2))</f>
        <v/>
      </c>
      <c r="J21" s="9"/>
      <c r="K21" s="86">
        <f>IF($C21="","",IF($F21&lt;$G21,"🔴 Reorder",IF($F21&lt;$G21*1.5,"🟡 Low","🟢 OK")))</f>
        <v/>
      </c>
      <c r="L21" s="69"/>
    </row>
    <row r="22" spans="2:12" ht="20" customHeight="1" x14ac:dyDescent="0.25">
      <c r="B22" s="58">
        <f>IF($C22="","",ROW()-7)</f>
        <v/>
      </c>
      <c r="C22" s="14"/>
      <c r="D22" s="60"/>
      <c r="E22" s="60"/>
      <c r="F22" s="85"/>
      <c r="G22" s="85"/>
      <c r="H22" s="62"/>
      <c r="I22" s="63">
        <f>IF(OR($F22="",$H22=""),"",ROUND($F22*$H22,2))</f>
        <v/>
      </c>
      <c r="J22" s="14"/>
      <c r="K22" s="86">
        <f>IF($C22="","",IF($F22&lt;$G22,"🔴 Reorder",IF($F22&lt;$G22*1.5,"🟡 Low","🟢 OK")))</f>
        <v/>
      </c>
      <c r="L22" s="64"/>
    </row>
    <row r="23" spans="2:12" ht="20" customHeight="1" x14ac:dyDescent="0.25">
      <c r="B23" s="65">
        <f>IF($C23="","",ROW()-7)</f>
        <v/>
      </c>
      <c r="C23" s="9"/>
      <c r="D23" s="10"/>
      <c r="E23" s="10"/>
      <c r="F23" s="87"/>
      <c r="G23" s="87"/>
      <c r="H23" s="68"/>
      <c r="I23" s="63">
        <f>IF(OR($F23="",$H23=""),"",ROUND($F23*$H23,2))</f>
        <v/>
      </c>
      <c r="J23" s="9"/>
      <c r="K23" s="86">
        <f>IF($C23="","",IF($F23&lt;$G23,"🔴 Reorder",IF($F23&lt;$G23*1.5,"🟡 Low","🟢 OK")))</f>
        <v/>
      </c>
      <c r="L23" s="69"/>
    </row>
    <row r="24" spans="2:12" ht="20" customHeight="1" x14ac:dyDescent="0.25">
      <c r="B24" s="58">
        <f>IF($C24="","",ROW()-7)</f>
        <v/>
      </c>
      <c r="C24" s="14"/>
      <c r="D24" s="60"/>
      <c r="E24" s="60"/>
      <c r="F24" s="85"/>
      <c r="G24" s="85"/>
      <c r="H24" s="62"/>
      <c r="I24" s="63">
        <f>IF(OR($F24="",$H24=""),"",ROUND($F24*$H24,2))</f>
        <v/>
      </c>
      <c r="J24" s="14"/>
      <c r="K24" s="86">
        <f>IF($C24="","",IF($F24&lt;$G24,"🔴 Reorder",IF($F24&lt;$G24*1.5,"🟡 Low","🟢 OK")))</f>
        <v/>
      </c>
      <c r="L24" s="64"/>
    </row>
    <row r="25" spans="2:12" ht="20" customHeight="1" x14ac:dyDescent="0.25">
      <c r="B25" s="65">
        <f>IF($C25="","",ROW()-7)</f>
        <v/>
      </c>
      <c r="C25" s="9"/>
      <c r="D25" s="10"/>
      <c r="E25" s="10"/>
      <c r="F25" s="87"/>
      <c r="G25" s="87"/>
      <c r="H25" s="68"/>
      <c r="I25" s="63">
        <f>IF(OR($F25="",$H25=""),"",ROUND($F25*$H25,2))</f>
        <v/>
      </c>
      <c r="J25" s="9"/>
      <c r="K25" s="86">
        <f>IF($C25="","",IF($F25&lt;$G25,"🔴 Reorder",IF($F25&lt;$G25*1.5,"🟡 Low","🟢 OK")))</f>
        <v/>
      </c>
      <c r="L25" s="69"/>
    </row>
    <row r="26" spans="2:12" ht="20" customHeight="1" x14ac:dyDescent="0.25">
      <c r="B26" s="58">
        <f>IF($C26="","",ROW()-7)</f>
        <v/>
      </c>
      <c r="C26" s="14"/>
      <c r="D26" s="60"/>
      <c r="E26" s="60"/>
      <c r="F26" s="85"/>
      <c r="G26" s="85"/>
      <c r="H26" s="62"/>
      <c r="I26" s="63">
        <f>IF(OR($F26="",$H26=""),"",ROUND($F26*$H26,2))</f>
        <v/>
      </c>
      <c r="J26" s="14"/>
      <c r="K26" s="86">
        <f>IF($C26="","",IF($F26&lt;$G26,"🔴 Reorder",IF($F26&lt;$G26*1.5,"🟡 Low","🟢 OK")))</f>
        <v/>
      </c>
      <c r="L26" s="64"/>
    </row>
    <row r="27" spans="2:12" ht="20" customHeight="1" x14ac:dyDescent="0.25">
      <c r="B27" s="65">
        <f>IF($C27="","",ROW()-7)</f>
        <v/>
      </c>
      <c r="C27" s="9"/>
      <c r="D27" s="10"/>
      <c r="E27" s="10"/>
      <c r="F27" s="87"/>
      <c r="G27" s="87"/>
      <c r="H27" s="68"/>
      <c r="I27" s="63">
        <f>IF(OR($F27="",$H27=""),"",ROUND($F27*$H27,2))</f>
        <v/>
      </c>
      <c r="J27" s="9"/>
      <c r="K27" s="86">
        <f>IF($C27="","",IF($F27&lt;$G27,"🔴 Reorder",IF($F27&lt;$G27*1.5,"🟡 Low","🟢 OK")))</f>
        <v/>
      </c>
      <c r="L27" s="69"/>
    </row>
    <row r="28" spans="2:12" ht="20" customHeight="1" x14ac:dyDescent="0.25">
      <c r="B28" s="58">
        <f>IF($C28="","",ROW()-7)</f>
        <v/>
      </c>
      <c r="C28" s="14"/>
      <c r="D28" s="60"/>
      <c r="E28" s="60"/>
      <c r="F28" s="85"/>
      <c r="G28" s="85"/>
      <c r="H28" s="62"/>
      <c r="I28" s="63">
        <f>IF(OR($F28="",$H28=""),"",ROUND($F28*$H28,2))</f>
        <v/>
      </c>
      <c r="J28" s="14"/>
      <c r="K28" s="86">
        <f>IF($C28="","",IF($F28&lt;$G28,"🔴 Reorder",IF($F28&lt;$G28*1.5,"🟡 Low","🟢 OK")))</f>
        <v/>
      </c>
      <c r="L28" s="64"/>
    </row>
    <row r="29" spans="2:12" ht="20" customHeight="1" x14ac:dyDescent="0.25">
      <c r="B29" s="65">
        <f>IF($C29="","",ROW()-7)</f>
        <v/>
      </c>
      <c r="C29" s="9"/>
      <c r="D29" s="10"/>
      <c r="E29" s="10"/>
      <c r="F29" s="87"/>
      <c r="G29" s="87"/>
      <c r="H29" s="68"/>
      <c r="I29" s="63">
        <f>IF(OR($F29="",$H29=""),"",ROUND($F29*$H29,2))</f>
        <v/>
      </c>
      <c r="J29" s="9"/>
      <c r="K29" s="86">
        <f>IF($C29="","",IF($F29&lt;$G29,"🔴 Reorder",IF($F29&lt;$G29*1.5,"🟡 Low","🟢 OK")))</f>
        <v/>
      </c>
      <c r="L29" s="69"/>
    </row>
    <row r="30" spans="2:12" ht="20" customHeight="1" x14ac:dyDescent="0.25">
      <c r="B30" s="58">
        <f>IF($C30="","",ROW()-7)</f>
        <v/>
      </c>
      <c r="C30" s="14"/>
      <c r="D30" s="60"/>
      <c r="E30" s="60"/>
      <c r="F30" s="85"/>
      <c r="G30" s="85"/>
      <c r="H30" s="62"/>
      <c r="I30" s="63">
        <f>IF(OR($F30="",$H30=""),"",ROUND($F30*$H30,2))</f>
        <v/>
      </c>
      <c r="J30" s="14"/>
      <c r="K30" s="86">
        <f>IF($C30="","",IF($F30&lt;$G30,"🔴 Reorder",IF($F30&lt;$G30*1.5,"🟡 Low","🟢 OK")))</f>
        <v/>
      </c>
      <c r="L30" s="64"/>
    </row>
    <row r="31" spans="2:12" ht="20" customHeight="1" x14ac:dyDescent="0.25">
      <c r="B31" s="65">
        <f>IF($C31="","",ROW()-7)</f>
        <v/>
      </c>
      <c r="C31" s="9"/>
      <c r="D31" s="10"/>
      <c r="E31" s="10"/>
      <c r="F31" s="87"/>
      <c r="G31" s="87"/>
      <c r="H31" s="68"/>
      <c r="I31" s="63">
        <f>IF(OR($F31="",$H31=""),"",ROUND($F31*$H31,2))</f>
        <v/>
      </c>
      <c r="J31" s="9"/>
      <c r="K31" s="86">
        <f>IF($C31="","",IF($F31&lt;$G31,"🔴 Reorder",IF($F31&lt;$G31*1.5,"🟡 Low","🟢 OK")))</f>
        <v/>
      </c>
      <c r="L31" s="69"/>
    </row>
    <row r="32" spans="2:12" ht="20" customHeight="1" x14ac:dyDescent="0.25">
      <c r="B32" s="58">
        <f>IF($C32="","",ROW()-7)</f>
        <v/>
      </c>
      <c r="C32" s="14"/>
      <c r="D32" s="60"/>
      <c r="E32" s="60"/>
      <c r="F32" s="85"/>
      <c r="G32" s="85"/>
      <c r="H32" s="62"/>
      <c r="I32" s="63">
        <f>IF(OR($F32="",$H32=""),"",ROUND($F32*$H32,2))</f>
        <v/>
      </c>
      <c r="J32" s="14"/>
      <c r="K32" s="86">
        <f>IF($C32="","",IF($F32&lt;$G32,"🔴 Reorder",IF($F32&lt;$G32*1.5,"🟡 Low","🟢 OK")))</f>
        <v/>
      </c>
      <c r="L32" s="64"/>
    </row>
    <row r="33" spans="2:12" ht="20" customHeight="1" x14ac:dyDescent="0.25">
      <c r="B33" s="65">
        <f>IF($C33="","",ROW()-7)</f>
        <v/>
      </c>
      <c r="C33" s="9"/>
      <c r="D33" s="10"/>
      <c r="E33" s="10"/>
      <c r="F33" s="87"/>
      <c r="G33" s="87"/>
      <c r="H33" s="68"/>
      <c r="I33" s="63">
        <f>IF(OR($F33="",$H33=""),"",ROUND($F33*$H33,2))</f>
        <v/>
      </c>
      <c r="J33" s="9"/>
      <c r="K33" s="86">
        <f>IF($C33="","",IF($F33&lt;$G33,"🔴 Reorder",IF($F33&lt;$G33*1.5,"🟡 Low","🟢 OK")))</f>
        <v/>
      </c>
      <c r="L33" s="69"/>
    </row>
    <row r="34" spans="2:12" ht="20" customHeight="1" x14ac:dyDescent="0.25">
      <c r="B34" s="58">
        <f>IF($C34="","",ROW()-7)</f>
        <v/>
      </c>
      <c r="C34" s="14"/>
      <c r="D34" s="60"/>
      <c r="E34" s="60"/>
      <c r="F34" s="85"/>
      <c r="G34" s="85"/>
      <c r="H34" s="62"/>
      <c r="I34" s="63">
        <f>IF(OR($F34="",$H34=""),"",ROUND($F34*$H34,2))</f>
        <v/>
      </c>
      <c r="J34" s="14"/>
      <c r="K34" s="86">
        <f>IF($C34="","",IF($F34&lt;$G34,"🔴 Reorder",IF($F34&lt;$G34*1.5,"🟡 Low","🟢 OK")))</f>
        <v/>
      </c>
      <c r="L34" s="64"/>
    </row>
    <row r="35" spans="2:12" ht="20" customHeight="1" x14ac:dyDescent="0.25">
      <c r="B35" s="65">
        <f>IF($C35="","",ROW()-7)</f>
        <v/>
      </c>
      <c r="C35" s="9"/>
      <c r="D35" s="10"/>
      <c r="E35" s="10"/>
      <c r="F35" s="87"/>
      <c r="G35" s="87"/>
      <c r="H35" s="68"/>
      <c r="I35" s="63">
        <f>IF(OR($F35="",$H35=""),"",ROUND($F35*$H35,2))</f>
        <v/>
      </c>
      <c r="J35" s="9"/>
      <c r="K35" s="86">
        <f>IF($C35="","",IF($F35&lt;$G35,"🔴 Reorder",IF($F35&lt;$G35*1.5,"🟡 Low","🟢 OK")))</f>
        <v/>
      </c>
      <c r="L35" s="69"/>
    </row>
    <row r="36" spans="2:12" ht="20" customHeight="1" x14ac:dyDescent="0.25">
      <c r="B36" s="58">
        <f>IF($C36="","",ROW()-7)</f>
        <v/>
      </c>
      <c r="C36" s="14"/>
      <c r="D36" s="60"/>
      <c r="E36" s="60"/>
      <c r="F36" s="85"/>
      <c r="G36" s="85"/>
      <c r="H36" s="62"/>
      <c r="I36" s="63">
        <f>IF(OR($F36="",$H36=""),"",ROUND($F36*$H36,2))</f>
        <v/>
      </c>
      <c r="J36" s="14"/>
      <c r="K36" s="86">
        <f>IF($C36="","",IF($F36&lt;$G36,"🔴 Reorder",IF($F36&lt;$G36*1.5,"🟡 Low","🟢 OK")))</f>
        <v/>
      </c>
      <c r="L36" s="64"/>
    </row>
    <row r="37" spans="2:12" ht="20" customHeight="1" x14ac:dyDescent="0.25">
      <c r="B37" s="65">
        <f>IF($C37="","",ROW()-7)</f>
        <v/>
      </c>
      <c r="C37" s="9"/>
      <c r="D37" s="10"/>
      <c r="E37" s="10"/>
      <c r="F37" s="87"/>
      <c r="G37" s="87"/>
      <c r="H37" s="68"/>
      <c r="I37" s="63">
        <f>IF(OR($F37="",$H37=""),"",ROUND($F37*$H37,2))</f>
        <v/>
      </c>
      <c r="J37" s="9"/>
      <c r="K37" s="86">
        <f>IF($C37="","",IF($F37&lt;$G37,"🔴 Reorder",IF($F37&lt;$G37*1.5,"🟡 Low","🟢 OK")))</f>
        <v/>
      </c>
      <c r="L37" s="69"/>
    </row>
    <row r="38" spans="2:12" ht="20" customHeight="1" x14ac:dyDescent="0.25">
      <c r="B38" s="58">
        <f>IF($C38="","",ROW()-7)</f>
        <v/>
      </c>
      <c r="C38" s="14"/>
      <c r="D38" s="60"/>
      <c r="E38" s="60"/>
      <c r="F38" s="85"/>
      <c r="G38" s="85"/>
      <c r="H38" s="62"/>
      <c r="I38" s="63">
        <f>IF(OR($F38="",$H38=""),"",ROUND($F38*$H38,2))</f>
        <v/>
      </c>
      <c r="J38" s="14"/>
      <c r="K38" s="86">
        <f>IF($C38="","",IF($F38&lt;$G38,"🔴 Reorder",IF($F38&lt;$G38*1.5,"🟡 Low","🟢 OK")))</f>
        <v/>
      </c>
      <c r="L38" s="64"/>
    </row>
    <row r="39" spans="2:12" ht="20" customHeight="1" x14ac:dyDescent="0.25">
      <c r="B39" s="65">
        <f>IF($C39="","",ROW()-7)</f>
        <v/>
      </c>
      <c r="C39" s="9"/>
      <c r="D39" s="10"/>
      <c r="E39" s="10"/>
      <c r="F39" s="87"/>
      <c r="G39" s="87"/>
      <c r="H39" s="68"/>
      <c r="I39" s="63">
        <f>IF(OR($F39="",$H39=""),"",ROUND($F39*$H39,2))</f>
        <v/>
      </c>
      <c r="J39" s="9"/>
      <c r="K39" s="86">
        <f>IF($C39="","",IF($F39&lt;$G39,"🔴 Reorder",IF($F39&lt;$G39*1.5,"🟡 Low","🟢 OK")))</f>
        <v/>
      </c>
      <c r="L39" s="69"/>
    </row>
    <row r="40" spans="2:12" ht="20" customHeight="1" x14ac:dyDescent="0.25">
      <c r="B40" s="58">
        <f>IF($C40="","",ROW()-7)</f>
        <v/>
      </c>
      <c r="C40" s="14"/>
      <c r="D40" s="60"/>
      <c r="E40" s="60"/>
      <c r="F40" s="85"/>
      <c r="G40" s="85"/>
      <c r="H40" s="62"/>
      <c r="I40" s="63">
        <f>IF(OR($F40="",$H40=""),"",ROUND($F40*$H40,2))</f>
        <v/>
      </c>
      <c r="J40" s="14"/>
      <c r="K40" s="86">
        <f>IF($C40="","",IF($F40&lt;$G40,"🔴 Reorder",IF($F40&lt;$G40*1.5,"🟡 Low","🟢 OK")))</f>
        <v/>
      </c>
      <c r="L40" s="64"/>
    </row>
    <row r="41" spans="2:12" ht="20" customHeight="1" x14ac:dyDescent="0.25">
      <c r="B41" s="65">
        <f>IF($C41="","",ROW()-7)</f>
        <v/>
      </c>
      <c r="C41" s="9"/>
      <c r="D41" s="10"/>
      <c r="E41" s="10"/>
      <c r="F41" s="87"/>
      <c r="G41" s="87"/>
      <c r="H41" s="68"/>
      <c r="I41" s="63">
        <f>IF(OR($F41="",$H41=""),"",ROUND($F41*$H41,2))</f>
        <v/>
      </c>
      <c r="J41" s="9"/>
      <c r="K41" s="86">
        <f>IF($C41="","",IF($F41&lt;$G41,"🔴 Reorder",IF($F41&lt;$G41*1.5,"🟡 Low","🟢 OK")))</f>
        <v/>
      </c>
      <c r="L41" s="69"/>
    </row>
    <row r="42" spans="2:12" ht="20" customHeight="1" x14ac:dyDescent="0.25">
      <c r="B42" s="58">
        <f>IF($C42="","",ROW()-7)</f>
        <v/>
      </c>
      <c r="C42" s="14"/>
      <c r="D42" s="60"/>
      <c r="E42" s="60"/>
      <c r="F42" s="85"/>
      <c r="G42" s="85"/>
      <c r="H42" s="62"/>
      <c r="I42" s="63">
        <f>IF(OR($F42="",$H42=""),"",ROUND($F42*$H42,2))</f>
        <v/>
      </c>
      <c r="J42" s="14"/>
      <c r="K42" s="86">
        <f>IF($C42="","",IF($F42&lt;$G42,"🔴 Reorder",IF($F42&lt;$G42*1.5,"🟡 Low","🟢 OK")))</f>
        <v/>
      </c>
      <c r="L42" s="64"/>
    </row>
    <row r="43" spans="2:12" ht="20" customHeight="1" x14ac:dyDescent="0.25">
      <c r="B43" s="65">
        <f>IF($C43="","",ROW()-7)</f>
        <v/>
      </c>
      <c r="C43" s="9"/>
      <c r="D43" s="10"/>
      <c r="E43" s="10"/>
      <c r="F43" s="87"/>
      <c r="G43" s="87"/>
      <c r="H43" s="68"/>
      <c r="I43" s="63">
        <f>IF(OR($F43="",$H43=""),"",ROUND($F43*$H43,2))</f>
        <v/>
      </c>
      <c r="J43" s="9"/>
      <c r="K43" s="86">
        <f>IF($C43="","",IF($F43&lt;$G43,"🔴 Reorder",IF($F43&lt;$G43*1.5,"🟡 Low","🟢 OK")))</f>
        <v/>
      </c>
      <c r="L43" s="69"/>
    </row>
    <row r="44" spans="2:12" ht="20" customHeight="1" x14ac:dyDescent="0.25">
      <c r="B44" s="58">
        <f>IF($C44="","",ROW()-7)</f>
        <v/>
      </c>
      <c r="C44" s="14"/>
      <c r="D44" s="60"/>
      <c r="E44" s="60"/>
      <c r="F44" s="85"/>
      <c r="G44" s="85"/>
      <c r="H44" s="62"/>
      <c r="I44" s="63">
        <f>IF(OR($F44="",$H44=""),"",ROUND($F44*$H44,2))</f>
        <v/>
      </c>
      <c r="J44" s="14"/>
      <c r="K44" s="86">
        <f>IF($C44="","",IF($F44&lt;$G44,"🔴 Reorder",IF($F44&lt;$G44*1.5,"🟡 Low","🟢 OK")))</f>
        <v/>
      </c>
      <c r="L44" s="64"/>
    </row>
    <row r="45" spans="2:12" ht="20" customHeight="1" x14ac:dyDescent="0.25">
      <c r="B45" s="65">
        <f>IF($C45="","",ROW()-7)</f>
        <v/>
      </c>
      <c r="C45" s="9"/>
      <c r="D45" s="10"/>
      <c r="E45" s="10"/>
      <c r="F45" s="87"/>
      <c r="G45" s="87"/>
      <c r="H45" s="68"/>
      <c r="I45" s="63">
        <f>IF(OR($F45="",$H45=""),"",ROUND($F45*$H45,2))</f>
        <v/>
      </c>
      <c r="J45" s="9"/>
      <c r="K45" s="86">
        <f>IF($C45="","",IF($F45&lt;$G45,"🔴 Reorder",IF($F45&lt;$G45*1.5,"🟡 Low","🟢 OK")))</f>
        <v/>
      </c>
      <c r="L45" s="69"/>
    </row>
    <row r="46" spans="2:12" ht="20" customHeight="1" x14ac:dyDescent="0.25">
      <c r="B46" s="58">
        <f>IF($C46="","",ROW()-7)</f>
        <v/>
      </c>
      <c r="C46" s="14"/>
      <c r="D46" s="60"/>
      <c r="E46" s="60"/>
      <c r="F46" s="85"/>
      <c r="G46" s="85"/>
      <c r="H46" s="62"/>
      <c r="I46" s="63">
        <f>IF(OR($F46="",$H46=""),"",ROUND($F46*$H46,2))</f>
        <v/>
      </c>
      <c r="J46" s="14"/>
      <c r="K46" s="86">
        <f>IF($C46="","",IF($F46&lt;$G46,"🔴 Reorder",IF($F46&lt;$G46*1.5,"🟡 Low","🟢 OK")))</f>
        <v/>
      </c>
      <c r="L46" s="64"/>
    </row>
    <row r="47" spans="2:12" ht="20" customHeight="1" x14ac:dyDescent="0.25">
      <c r="B47" s="65">
        <f>IF($C47="","",ROW()-7)</f>
        <v/>
      </c>
      <c r="C47" s="9"/>
      <c r="D47" s="10"/>
      <c r="E47" s="10"/>
      <c r="F47" s="87"/>
      <c r="G47" s="87"/>
      <c r="H47" s="68"/>
      <c r="I47" s="63">
        <f>IF(OR($F47="",$H47=""),"",ROUND($F47*$H47,2))</f>
        <v/>
      </c>
      <c r="J47" s="9"/>
      <c r="K47" s="86">
        <f>IF($C47="","",IF($F47&lt;$G47,"🔴 Reorder",IF($F47&lt;$G47*1.5,"🟡 Low","🟢 OK")))</f>
        <v/>
      </c>
      <c r="L47" s="69"/>
    </row>
    <row r="48" spans="2:12" ht="24" customHeight="1" x14ac:dyDescent="0.25">
      <c r="B48" s="70" t="s">
        <v>279</v>
      </c>
      <c r="C48" s="70"/>
      <c r="D48" s="70"/>
      <c r="E48" s="70"/>
      <c r="F48" s="70"/>
      <c r="G48" s="70"/>
      <c r="H48" s="71"/>
      <c r="I48" s="84">
        <f>SUMPRODUCT(('📦 Inventory'!$C$8:$C$47&lt;&gt;"")*'📦 Inventory'!$F$8:$F$47*'📦 Inventory'!$H$8:$H$47)</f>
        <v>0</v>
      </c>
      <c r="J48" s="71"/>
      <c r="K48" s="71"/>
      <c r="L48" s="71"/>
    </row>
    <row r="50" spans="2:11" ht="22" customHeight="1" x14ac:dyDescent="0.25">
      <c r="B50" s="15" t="s">
        <v>219</v>
      </c>
      <c r="C50" s="15"/>
      <c r="D50" s="15"/>
      <c r="E50" s="15"/>
      <c r="F50" s="15"/>
      <c r="G50" s="15"/>
      <c r="H50" s="15"/>
      <c r="I50" s="15"/>
      <c r="J50" s="15"/>
      <c r="K50" s="15"/>
    </row>
    <row r="51" spans="2:11" ht="51.8" customHeight="1" x14ac:dyDescent="0.25">
      <c r="B51" s="22" t="s">
        <v>280</v>
      </c>
      <c r="C51" s="22"/>
      <c r="D51" s="22"/>
      <c r="E51" s="22"/>
      <c r="F51" s="22"/>
      <c r="G51" s="22"/>
      <c r="H51" s="22"/>
      <c r="I51" s="22"/>
      <c r="J51" s="22"/>
      <c r="K51" s="22"/>
    </row>
    <row r="55" spans="2:11" x14ac:dyDescent="0.25">
      <c r="B55" s="23" t="s">
        <v>202</v>
      </c>
      <c r="C55" s="23"/>
      <c r="D55" s="24" t="s">
        <v>164</v>
      </c>
      <c r="E55" s="24"/>
      <c r="F55" s="25" t="s">
        <v>165</v>
      </c>
      <c r="G55" s="25"/>
      <c r="H55" s="26" t="s">
        <v>17</v>
      </c>
      <c r="I55" s="26"/>
      <c r="J55" s="27" t="s">
        <v>166</v>
      </c>
      <c r="K55" s="27"/>
    </row>
    <row r="56" spans="2:11" ht="24" customHeight="1" x14ac:dyDescent="0.25">
      <c r="B56" s="28" t="s">
        <v>167</v>
      </c>
      <c r="C56" s="28"/>
      <c r="D56" s="29" t="s">
        <v>281</v>
      </c>
      <c r="E56" s="29"/>
      <c r="F56" s="30" t="s">
        <v>169</v>
      </c>
      <c r="G56" s="30"/>
      <c r="H56" s="24" t="s">
        <v>170</v>
      </c>
      <c r="I56" s="24"/>
      <c r="J56" s="26" t="s">
        <v>171</v>
      </c>
      <c r="K56" s="26"/>
    </row>
    <row r="57" spans="2:11" ht="24" customHeight="1" x14ac:dyDescent="0.25">
      <c r="B57" s="23" t="s">
        <v>172</v>
      </c>
      <c r="C57" s="23"/>
      <c r="D57" s="24" t="s">
        <v>173</v>
      </c>
      <c r="E57" s="24"/>
      <c r="F57" s="25" t="s">
        <v>174</v>
      </c>
      <c r="G57" s="25"/>
      <c r="H57" s="26" t="s">
        <v>175</v>
      </c>
      <c r="I57" s="26"/>
      <c r="J57" s="27" t="s">
        <v>176</v>
      </c>
      <c r="K57" s="27"/>
    </row>
    <row r="58" spans="2:11" ht="24" customHeight="1" x14ac:dyDescent="0.25">
      <c r="B58" s="28" t="s">
        <v>177</v>
      </c>
      <c r="C58" s="28"/>
      <c r="D58" s="29" t="s">
        <v>178</v>
      </c>
      <c r="E58" s="29"/>
      <c r="F58" s="30" t="s">
        <v>179</v>
      </c>
      <c r="G58" s="30"/>
      <c r="H58" s="24" t="s">
        <v>180</v>
      </c>
      <c r="I58" s="24"/>
    </row>
  </sheetData>
  <mergeCells count="29">
    <mergeCell ref="B2:I2"/>
    <mergeCell ref="B3:I3"/>
    <mergeCell ref="J3:L3"/>
    <mergeCell ref="B5:C5"/>
    <mergeCell ref="D5:E5"/>
    <mergeCell ref="F5:G5"/>
    <mergeCell ref="H5:I5"/>
    <mergeCell ref="B48:G48"/>
    <mergeCell ref="B50:K50"/>
    <mergeCell ref="B51:K51"/>
    <mergeCell ref="B55:C55"/>
    <mergeCell ref="D55:E55"/>
    <mergeCell ref="F55:G55"/>
    <mergeCell ref="H55:I55"/>
    <mergeCell ref="J55:K55"/>
    <mergeCell ref="B56:C56"/>
    <mergeCell ref="D56:E56"/>
    <mergeCell ref="F56:G56"/>
    <mergeCell ref="H56:I56"/>
    <mergeCell ref="J56:K56"/>
    <mergeCell ref="B57:C57"/>
    <mergeCell ref="D57:E57"/>
    <mergeCell ref="F57:G57"/>
    <mergeCell ref="H57:I57"/>
    <mergeCell ref="J57:K57"/>
    <mergeCell ref="B58:C58"/>
    <mergeCell ref="D58:E58"/>
    <mergeCell ref="F58:G58"/>
    <mergeCell ref="H58:I58"/>
  </mergeCells>
  <conditionalFormatting sqref="F8:F47">
    <cfRule type="dataBar" priority="4">
      <dataBar>
        <cfvo type="num" val="0"/>
        <cfvo type="num" val="1"/>
        <color rgb="FF3E7C4F"/>
      </dataBar>
      <extLst>
        <ext xmlns:x14="http://schemas.microsoft.com/office/spreadsheetml/2009/9/main" uri="{B025F937-C7B1-47D3-B67F-A62EFF666E3E}">
          <x14:id>{DA7ABA51-AAAA-BBBB-0008-000000000001}</x14:id>
        </ext>
      </extLst>
    </cfRule>
  </conditionalFormatting>
  <conditionalFormatting sqref="K8:K47">
    <cfRule type="expression" dxfId="0" priority="1">
      <formula>$K8="🔴 Reorder"</formula>
    </cfRule>
    <cfRule type="expression" dxfId="1" priority="2">
      <formula>$K8="🟡 Low"</formula>
    </cfRule>
    <cfRule type="expression" dxfId="2" priority="3">
      <formula>$K8="🟢 OK"</formula>
    </cfRule>
  </conditionalFormatting>
  <dataValidations count="3">
    <dataValidation type="list" allowBlank="1" showInputMessage="1" promptTitle="Category" prompt="Produce, Meat &amp; Fish... (edit on Setup)." sqref="D8:D47">
      <formula1>IngredientCategories</formula1>
    </dataValidation>
    <dataValidation type="list" allowBlank="1" showInputMessage="1" showErrorMessage="1" promptTitle="Supplier" prompt="Pick from the Suppliers tab (or type a new one and add it there)." sqref="J8:J47">
      <formula1>SuppliersList</formula1>
    </dataValidation>
    <dataValidation type="decimal" operator="greaterThanOrEqual" errorStyle="warning" allowBlank="1" showInputMessage="1" showErrorMessage="1" errorTitle="Enter money" error="Please enter a positive number (no currency symbol) - the symbol comes from Setup." sqref="H8:H47">
      <formula1>0</formula1>
    </dataValidation>
  </dataValidations>
  <hyperlinks>
    <hyperlink ref="J3" location="'📊 Dashboard'!A1" display="🏠  Back to Dashboard"/>
    <hyperlink ref="B55" location="'⚙️ Setup'!A1" display="Setup"/>
    <hyperlink ref="D55" location="'📊 Dashboard'!A1" display="🏠 Home"/>
    <hyperlink ref="F55" location="'👥 Clients'!A1" display="Clients"/>
    <hyperlink ref="H55" location="'📅 Events'!A1" display="Events"/>
    <hyperlink ref="J55" location="'🧮 Quote Calculator'!A1" display="Quote"/>
    <hyperlink ref="B56" location="'🍽️ Menu Costing'!A1" display="Menu"/>
    <hyperlink ref="D56" location="'📦 Inventory'!A1" display="▶ Stock"/>
    <hyperlink ref="F56" location="'🛒 Shopping List'!A1" display="Shop"/>
    <hyperlink ref="H56" location="'💸 Expenses'!A1" display="Expenses"/>
    <hyperlink ref="J56" location="'💰 Payments'!A1" display="Payments"/>
    <hyperlink ref="B57" location="'👷 Staff &amp; Labor'!A1" display="Staff"/>
    <hyperlink ref="D57" location="'🍳 Equipment'!A1" display="Equip"/>
    <hyperlink ref="F57" location="'🚚 Suppliers'!A1" display="Suppliers"/>
    <hyperlink ref="H57" location="'📆 Event Calendar'!A1" display="Calendar"/>
    <hyperlink ref="J57" location="'📈 P&amp;L &amp; Reports'!A1" display="P&amp;L"/>
    <hyperlink ref="B58" location="'🧾 Tax Tracker'!A1" display="Tax"/>
    <hyperlink ref="D58" location="'✅ Checklists'!A1" display="Checks"/>
    <hyperlink ref="F58" location="'🖨️ Invoice &amp; Proposal'!A1" display="Invoice"/>
    <hyperlink ref="H58"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extLst>
    <ext xmlns:x14="http://schemas.microsoft.com/office/spreadsheetml/2009/9/main" uri="{78C0D931-6437-407d-A8EE-F0AAD7539E65}">
      <x14:conditionalFormattings>
        <x14:conditionalFormatting xmlns:xm="http://schemas.microsoft.com/office/excel/2006/main">
          <x14:cfRule type="dataBar" id="{DA7ABA51-AAAA-BBBB-0008-000000000001}">
            <x14:dataBar minLength="0" maxLength="100" border="1" gradient="0" negativeBarBorderColorSameAsPositive="0">
              <x14:cfvo type="num">
                <xm:f>0</xm:f>
              </x14:cfvo>
              <x14:cfvo type="num">
                <xm:f>1</xm:f>
              </x14:cfvo>
              <x14:borderColor rgb="FF3E7C4F"/>
              <x14:negativeFillColor rgb="FFFF0000"/>
              <x14:negativeBorderColor rgb="FFFF0000"/>
              <x14:axisColor rgb="FF000000"/>
            </x14:dataBar>
          </x14:cfRule>
          <xm:sqref>F8:F47</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C9A58"/>
    <pageSetUpPr fitToPage="1"/>
  </sheetPr>
  <dimension ref="A1:L58"/>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RowHeight="15" x14ac:dyDescent="0.25"/>
  <cols>
    <col min="1" max="1" width="2.85546875" customWidth="1"/>
    <col min="2" max="2" width="5.28515625" customWidth="1"/>
    <col min="3" max="3" width="12.7109375" customWidth="1"/>
    <col min="4" max="4" width="22.7109375" customWidth="1"/>
    <col min="5" max="6" width="10.7109375" customWidth="1"/>
    <col min="7" max="7" width="11.7109375" customWidth="1"/>
    <col min="8" max="8" width="18.7109375" customWidth="1"/>
    <col min="9" max="9" width="11.7109375" customWidth="1"/>
    <col min="10" max="10" width="10.7109375" customWidth="1"/>
    <col min="11" max="11" width="12.7109375" customWidth="1"/>
    <col min="12" max="12" width="22.7109375" customWidth="1"/>
  </cols>
  <sheetData>
    <row r="1" spans="2:12" ht="7" customHeight="1" x14ac:dyDescent="0.25"/>
    <row r="2" spans="2:12" ht="30" customHeight="1" x14ac:dyDescent="0.25">
      <c r="B2" s="3" t="s">
        <v>282</v>
      </c>
      <c r="C2" s="3"/>
      <c r="D2" s="3"/>
      <c r="E2" s="3"/>
      <c r="F2" s="3"/>
      <c r="G2" s="3"/>
      <c r="H2" s="3"/>
      <c r="I2" s="3"/>
      <c r="J2" s="4"/>
      <c r="K2" s="4"/>
      <c r="L2" s="4"/>
    </row>
    <row r="3" spans="2:12" ht="18" customHeight="1" x14ac:dyDescent="0.25">
      <c r="B3" s="5" t="s">
        <v>283</v>
      </c>
      <c r="C3" s="5"/>
      <c r="D3" s="5"/>
      <c r="E3" s="5"/>
      <c r="F3" s="5"/>
      <c r="G3" s="5"/>
      <c r="H3" s="5"/>
      <c r="I3" s="5"/>
      <c r="J3" s="6" t="s">
        <v>97</v>
      </c>
      <c r="K3" s="6"/>
      <c r="L3" s="6"/>
    </row>
    <row r="4" spans="2:12" ht="7" customHeight="1" x14ac:dyDescent="0.25"/>
    <row r="5" spans="2:12" ht="26" customHeight="1" x14ac:dyDescent="0.25">
      <c r="B5" s="50" t="str">
        <f>"Lines to buy: "&amp;'_Data'!$AF$24</f>
        <v>Lines to buy: 0</v>
      </c>
      <c r="C5" s="50"/>
      <c r="D5" s="74" t="str">
        <f>"Estimated cost: "&amp;Currency&amp;TEXT('_Data'!$AF$25,"#,##0.00")</f>
        <v>Estimated cost: $0.00</v>
      </c>
      <c r="E5" s="74"/>
      <c r="F5" s="52" t="str">
        <f>"Bought: "&amp;COUNTIF('🛒 Shopping List'!$J$8:$J$47,"✓")&amp;" of "&amp;COUNTA('🛒 Shopping List'!$D$8:$D$47)</f>
        <v>Bought: 0 of 0</v>
      </c>
      <c r="G5" s="52"/>
    </row>
    <row r="6" spans="2:12" ht="7" customHeight="1" x14ac:dyDescent="0.25"/>
    <row r="7" spans="2:12" ht="36" customHeight="1" x14ac:dyDescent="0.25">
      <c r="B7" s="2" t="s">
        <v>205</v>
      </c>
      <c r="C7" s="2" t="s">
        <v>284</v>
      </c>
      <c r="D7" s="54" t="s">
        <v>272</v>
      </c>
      <c r="E7" s="2" t="s">
        <v>285</v>
      </c>
      <c r="F7" s="2" t="s">
        <v>274</v>
      </c>
      <c r="G7" s="2" t="s">
        <v>286</v>
      </c>
      <c r="H7" s="2" t="s">
        <v>278</v>
      </c>
      <c r="I7" s="2" t="s">
        <v>287</v>
      </c>
      <c r="J7" s="56" t="s">
        <v>288</v>
      </c>
      <c r="K7" s="2" t="s">
        <v>289</v>
      </c>
      <c r="L7" s="2" t="s">
        <v>217</v>
      </c>
    </row>
    <row r="8" spans="2:12" ht="20" customHeight="1" x14ac:dyDescent="0.25">
      <c r="B8" s="58">
        <f>IF($D8="","",ROW()-7)</f>
        <v/>
      </c>
      <c r="C8" s="60"/>
      <c r="D8" s="14"/>
      <c r="E8" s="85"/>
      <c r="F8" s="88">
        <f>IF($D8="","",IFERROR(SUMIF('📦 Inventory'!$C$8:$C$47,$D8,'📦 Inventory'!$F$8:$F$47),0))</f>
        <v/>
      </c>
      <c r="G8" s="88">
        <f>IF($E8="","",MAX(0,ROUND($E8-$F8,1)))</f>
        <v/>
      </c>
      <c r="H8" s="14"/>
      <c r="I8" s="63">
        <f>IF(OR($G8="",NOT(ISNUMBER($G8))),"",ROUND($G8*IFERROR(SUMIF('📦 Inventory'!$C$8:$C$47,$D8,'📦 Inventory'!$H$8:$H$47),0),2))</f>
        <v/>
      </c>
      <c r="J8" s="89"/>
      <c r="K8" s="59"/>
      <c r="L8" s="64"/>
    </row>
    <row r="9" spans="2:12" ht="20" customHeight="1" x14ac:dyDescent="0.25">
      <c r="B9" s="65">
        <f>IF($D9="","",ROW()-7)</f>
        <v/>
      </c>
      <c r="C9" s="10"/>
      <c r="D9" s="9"/>
      <c r="E9" s="87"/>
      <c r="F9" s="88">
        <f>IF($D9="","",IFERROR(SUMIF('📦 Inventory'!$C$8:$C$47,$D9,'📦 Inventory'!$F$8:$F$47),0))</f>
        <v/>
      </c>
      <c r="G9" s="88">
        <f>IF($E9="","",MAX(0,ROUND($E9-$F9,1)))</f>
        <v/>
      </c>
      <c r="H9" s="9"/>
      <c r="I9" s="63">
        <f>IF(OR($G9="",NOT(ISNUMBER($G9))),"",ROUND($G9*IFERROR(SUMIF('📦 Inventory'!$C$8:$C$47,$D9,'📦 Inventory'!$H$8:$H$47),0),2))</f>
        <v/>
      </c>
      <c r="J9" s="90"/>
      <c r="K9" s="66"/>
      <c r="L9" s="69"/>
    </row>
    <row r="10" spans="2:12" ht="20" customHeight="1" x14ac:dyDescent="0.25">
      <c r="B10" s="58">
        <f>IF($D10="","",ROW()-7)</f>
        <v/>
      </c>
      <c r="C10" s="60"/>
      <c r="D10" s="14"/>
      <c r="E10" s="85"/>
      <c r="F10" s="88">
        <f>IF($D10="","",IFERROR(SUMIF('📦 Inventory'!$C$8:$C$47,$D10,'📦 Inventory'!$F$8:$F$47),0))</f>
        <v/>
      </c>
      <c r="G10" s="88">
        <f>IF($E10="","",MAX(0,ROUND($E10-$F10,1)))</f>
        <v/>
      </c>
      <c r="H10" s="14"/>
      <c r="I10" s="63">
        <f>IF(OR($G10="",NOT(ISNUMBER($G10))),"",ROUND($G10*IFERROR(SUMIF('📦 Inventory'!$C$8:$C$47,$D10,'📦 Inventory'!$H$8:$H$47),0),2))</f>
        <v/>
      </c>
      <c r="J10" s="89"/>
      <c r="K10" s="59"/>
      <c r="L10" s="64"/>
    </row>
    <row r="11" spans="2:12" ht="20" customHeight="1" x14ac:dyDescent="0.25">
      <c r="B11" s="65">
        <f>IF($D11="","",ROW()-7)</f>
        <v/>
      </c>
      <c r="C11" s="10"/>
      <c r="D11" s="9"/>
      <c r="E11" s="87"/>
      <c r="F11" s="88">
        <f>IF($D11="","",IFERROR(SUMIF('📦 Inventory'!$C$8:$C$47,$D11,'📦 Inventory'!$F$8:$F$47),0))</f>
        <v/>
      </c>
      <c r="G11" s="88">
        <f>IF($E11="","",MAX(0,ROUND($E11-$F11,1)))</f>
        <v/>
      </c>
      <c r="H11" s="9"/>
      <c r="I11" s="63">
        <f>IF(OR($G11="",NOT(ISNUMBER($G11))),"",ROUND($G11*IFERROR(SUMIF('📦 Inventory'!$C$8:$C$47,$D11,'📦 Inventory'!$H$8:$H$47),0),2))</f>
        <v/>
      </c>
      <c r="J11" s="90"/>
      <c r="K11" s="66"/>
      <c r="L11" s="69"/>
    </row>
    <row r="12" spans="2:12" ht="20" customHeight="1" x14ac:dyDescent="0.25">
      <c r="B12" s="58">
        <f>IF($D12="","",ROW()-7)</f>
        <v/>
      </c>
      <c r="C12" s="60"/>
      <c r="D12" s="14"/>
      <c r="E12" s="85"/>
      <c r="F12" s="88">
        <f>IF($D12="","",IFERROR(SUMIF('📦 Inventory'!$C$8:$C$47,$D12,'📦 Inventory'!$F$8:$F$47),0))</f>
        <v/>
      </c>
      <c r="G12" s="88">
        <f>IF($E12="","",MAX(0,ROUND($E12-$F12,1)))</f>
        <v/>
      </c>
      <c r="H12" s="14"/>
      <c r="I12" s="63">
        <f>IF(OR($G12="",NOT(ISNUMBER($G12))),"",ROUND($G12*IFERROR(SUMIF('📦 Inventory'!$C$8:$C$47,$D12,'📦 Inventory'!$H$8:$H$47),0),2))</f>
        <v/>
      </c>
      <c r="J12" s="89"/>
      <c r="K12" s="59"/>
      <c r="L12" s="64"/>
    </row>
    <row r="13" spans="2:12" ht="20" customHeight="1" x14ac:dyDescent="0.25">
      <c r="B13" s="65">
        <f>IF($D13="","",ROW()-7)</f>
        <v/>
      </c>
      <c r="C13" s="10"/>
      <c r="D13" s="9"/>
      <c r="E13" s="87"/>
      <c r="F13" s="88">
        <f>IF($D13="","",IFERROR(SUMIF('📦 Inventory'!$C$8:$C$47,$D13,'📦 Inventory'!$F$8:$F$47),0))</f>
        <v/>
      </c>
      <c r="G13" s="88">
        <f>IF($E13="","",MAX(0,ROUND($E13-$F13,1)))</f>
        <v/>
      </c>
      <c r="H13" s="9"/>
      <c r="I13" s="63">
        <f>IF(OR($G13="",NOT(ISNUMBER($G13))),"",ROUND($G13*IFERROR(SUMIF('📦 Inventory'!$C$8:$C$47,$D13,'📦 Inventory'!$H$8:$H$47),0),2))</f>
        <v/>
      </c>
      <c r="J13" s="90"/>
      <c r="K13" s="66"/>
      <c r="L13" s="69"/>
    </row>
    <row r="14" spans="2:12" ht="20" customHeight="1" x14ac:dyDescent="0.25">
      <c r="B14" s="58">
        <f>IF($D14="","",ROW()-7)</f>
        <v/>
      </c>
      <c r="C14" s="60"/>
      <c r="D14" s="14"/>
      <c r="E14" s="85"/>
      <c r="F14" s="88">
        <f>IF($D14="","",IFERROR(SUMIF('📦 Inventory'!$C$8:$C$47,$D14,'📦 Inventory'!$F$8:$F$47),0))</f>
        <v/>
      </c>
      <c r="G14" s="88">
        <f>IF($E14="","",MAX(0,ROUND($E14-$F14,1)))</f>
        <v/>
      </c>
      <c r="H14" s="14"/>
      <c r="I14" s="63">
        <f>IF(OR($G14="",NOT(ISNUMBER($G14))),"",ROUND($G14*IFERROR(SUMIF('📦 Inventory'!$C$8:$C$47,$D14,'📦 Inventory'!$H$8:$H$47),0),2))</f>
        <v/>
      </c>
      <c r="J14" s="89"/>
      <c r="K14" s="59"/>
      <c r="L14" s="64"/>
    </row>
    <row r="15" spans="2:12" ht="20" customHeight="1" x14ac:dyDescent="0.25">
      <c r="B15" s="65">
        <f>IF($D15="","",ROW()-7)</f>
        <v/>
      </c>
      <c r="C15" s="10"/>
      <c r="D15" s="9"/>
      <c r="E15" s="87"/>
      <c r="F15" s="88">
        <f>IF($D15="","",IFERROR(SUMIF('📦 Inventory'!$C$8:$C$47,$D15,'📦 Inventory'!$F$8:$F$47),0))</f>
        <v/>
      </c>
      <c r="G15" s="88">
        <f>IF($E15="","",MAX(0,ROUND($E15-$F15,1)))</f>
        <v/>
      </c>
      <c r="H15" s="9"/>
      <c r="I15" s="63">
        <f>IF(OR($G15="",NOT(ISNUMBER($G15))),"",ROUND($G15*IFERROR(SUMIF('📦 Inventory'!$C$8:$C$47,$D15,'📦 Inventory'!$H$8:$H$47),0),2))</f>
        <v/>
      </c>
      <c r="J15" s="90"/>
      <c r="K15" s="66"/>
      <c r="L15" s="69"/>
    </row>
    <row r="16" spans="2:12" ht="20" customHeight="1" x14ac:dyDescent="0.25">
      <c r="B16" s="58">
        <f>IF($D16="","",ROW()-7)</f>
        <v/>
      </c>
      <c r="C16" s="60"/>
      <c r="D16" s="14"/>
      <c r="E16" s="85"/>
      <c r="F16" s="88">
        <f>IF($D16="","",IFERROR(SUMIF('📦 Inventory'!$C$8:$C$47,$D16,'📦 Inventory'!$F$8:$F$47),0))</f>
        <v/>
      </c>
      <c r="G16" s="88">
        <f>IF($E16="","",MAX(0,ROUND($E16-$F16,1)))</f>
        <v/>
      </c>
      <c r="H16" s="14"/>
      <c r="I16" s="63">
        <f>IF(OR($G16="",NOT(ISNUMBER($G16))),"",ROUND($G16*IFERROR(SUMIF('📦 Inventory'!$C$8:$C$47,$D16,'📦 Inventory'!$H$8:$H$47),0),2))</f>
        <v/>
      </c>
      <c r="J16" s="89"/>
      <c r="K16" s="59"/>
      <c r="L16" s="64"/>
    </row>
    <row r="17" spans="2:12" ht="20" customHeight="1" x14ac:dyDescent="0.25">
      <c r="B17" s="65">
        <f>IF($D17="","",ROW()-7)</f>
        <v/>
      </c>
      <c r="C17" s="10"/>
      <c r="D17" s="9"/>
      <c r="E17" s="87"/>
      <c r="F17" s="88">
        <f>IF($D17="","",IFERROR(SUMIF('📦 Inventory'!$C$8:$C$47,$D17,'📦 Inventory'!$F$8:$F$47),0))</f>
        <v/>
      </c>
      <c r="G17" s="88">
        <f>IF($E17="","",MAX(0,ROUND($E17-$F17,1)))</f>
        <v/>
      </c>
      <c r="H17" s="9"/>
      <c r="I17" s="63">
        <f>IF(OR($G17="",NOT(ISNUMBER($G17))),"",ROUND($G17*IFERROR(SUMIF('📦 Inventory'!$C$8:$C$47,$D17,'📦 Inventory'!$H$8:$H$47),0),2))</f>
        <v/>
      </c>
      <c r="J17" s="90"/>
      <c r="K17" s="66"/>
      <c r="L17" s="69"/>
    </row>
    <row r="18" spans="2:12" ht="20" customHeight="1" x14ac:dyDescent="0.25">
      <c r="B18" s="58">
        <f>IF($D18="","",ROW()-7)</f>
        <v/>
      </c>
      <c r="C18" s="60"/>
      <c r="D18" s="14"/>
      <c r="E18" s="85"/>
      <c r="F18" s="88">
        <f>IF($D18="","",IFERROR(SUMIF('📦 Inventory'!$C$8:$C$47,$D18,'📦 Inventory'!$F$8:$F$47),0))</f>
        <v/>
      </c>
      <c r="G18" s="88">
        <f>IF($E18="","",MAX(0,ROUND($E18-$F18,1)))</f>
        <v/>
      </c>
      <c r="H18" s="14"/>
      <c r="I18" s="63">
        <f>IF(OR($G18="",NOT(ISNUMBER($G18))),"",ROUND($G18*IFERROR(SUMIF('📦 Inventory'!$C$8:$C$47,$D18,'📦 Inventory'!$H$8:$H$47),0),2))</f>
        <v/>
      </c>
      <c r="J18" s="89"/>
      <c r="K18" s="59"/>
      <c r="L18" s="64"/>
    </row>
    <row r="19" spans="2:12" ht="20" customHeight="1" x14ac:dyDescent="0.25">
      <c r="B19" s="65">
        <f>IF($D19="","",ROW()-7)</f>
        <v/>
      </c>
      <c r="C19" s="10"/>
      <c r="D19" s="9"/>
      <c r="E19" s="87"/>
      <c r="F19" s="88">
        <f>IF($D19="","",IFERROR(SUMIF('📦 Inventory'!$C$8:$C$47,$D19,'📦 Inventory'!$F$8:$F$47),0))</f>
        <v/>
      </c>
      <c r="G19" s="88">
        <f>IF($E19="","",MAX(0,ROUND($E19-$F19,1)))</f>
        <v/>
      </c>
      <c r="H19" s="9"/>
      <c r="I19" s="63">
        <f>IF(OR($G19="",NOT(ISNUMBER($G19))),"",ROUND($G19*IFERROR(SUMIF('📦 Inventory'!$C$8:$C$47,$D19,'📦 Inventory'!$H$8:$H$47),0),2))</f>
        <v/>
      </c>
      <c r="J19" s="90"/>
      <c r="K19" s="66"/>
      <c r="L19" s="69"/>
    </row>
    <row r="20" spans="2:12" ht="20" customHeight="1" x14ac:dyDescent="0.25">
      <c r="B20" s="58">
        <f>IF($D20="","",ROW()-7)</f>
        <v/>
      </c>
      <c r="C20" s="60"/>
      <c r="D20" s="14"/>
      <c r="E20" s="85"/>
      <c r="F20" s="88">
        <f>IF($D20="","",IFERROR(SUMIF('📦 Inventory'!$C$8:$C$47,$D20,'📦 Inventory'!$F$8:$F$47),0))</f>
        <v/>
      </c>
      <c r="G20" s="88">
        <f>IF($E20="","",MAX(0,ROUND($E20-$F20,1)))</f>
        <v/>
      </c>
      <c r="H20" s="14"/>
      <c r="I20" s="63">
        <f>IF(OR($G20="",NOT(ISNUMBER($G20))),"",ROUND($G20*IFERROR(SUMIF('📦 Inventory'!$C$8:$C$47,$D20,'📦 Inventory'!$H$8:$H$47),0),2))</f>
        <v/>
      </c>
      <c r="J20" s="89"/>
      <c r="K20" s="59"/>
      <c r="L20" s="64"/>
    </row>
    <row r="21" spans="2:12" ht="20" customHeight="1" x14ac:dyDescent="0.25">
      <c r="B21" s="65">
        <f>IF($D21="","",ROW()-7)</f>
        <v/>
      </c>
      <c r="C21" s="10"/>
      <c r="D21" s="9"/>
      <c r="E21" s="87"/>
      <c r="F21" s="88">
        <f>IF($D21="","",IFERROR(SUMIF('📦 Inventory'!$C$8:$C$47,$D21,'📦 Inventory'!$F$8:$F$47),0))</f>
        <v/>
      </c>
      <c r="G21" s="88">
        <f>IF($E21="","",MAX(0,ROUND($E21-$F21,1)))</f>
        <v/>
      </c>
      <c r="H21" s="9"/>
      <c r="I21" s="63">
        <f>IF(OR($G21="",NOT(ISNUMBER($G21))),"",ROUND($G21*IFERROR(SUMIF('📦 Inventory'!$C$8:$C$47,$D21,'📦 Inventory'!$H$8:$H$47),0),2))</f>
        <v/>
      </c>
      <c r="J21" s="90"/>
      <c r="K21" s="66"/>
      <c r="L21" s="69"/>
    </row>
    <row r="22" spans="2:12" ht="20" customHeight="1" x14ac:dyDescent="0.25">
      <c r="B22" s="58">
        <f>IF($D22="","",ROW()-7)</f>
        <v/>
      </c>
      <c r="C22" s="60"/>
      <c r="D22" s="14"/>
      <c r="E22" s="85"/>
      <c r="F22" s="88">
        <f>IF($D22="","",IFERROR(SUMIF('📦 Inventory'!$C$8:$C$47,$D22,'📦 Inventory'!$F$8:$F$47),0))</f>
        <v/>
      </c>
      <c r="G22" s="88">
        <f>IF($E22="","",MAX(0,ROUND($E22-$F22,1)))</f>
        <v/>
      </c>
      <c r="H22" s="14"/>
      <c r="I22" s="63">
        <f>IF(OR($G22="",NOT(ISNUMBER($G22))),"",ROUND($G22*IFERROR(SUMIF('📦 Inventory'!$C$8:$C$47,$D22,'📦 Inventory'!$H$8:$H$47),0),2))</f>
        <v/>
      </c>
      <c r="J22" s="89"/>
      <c r="K22" s="59"/>
      <c r="L22" s="64"/>
    </row>
    <row r="23" spans="2:12" ht="20" customHeight="1" x14ac:dyDescent="0.25">
      <c r="B23" s="65">
        <f>IF($D23="","",ROW()-7)</f>
        <v/>
      </c>
      <c r="C23" s="10"/>
      <c r="D23" s="9"/>
      <c r="E23" s="87"/>
      <c r="F23" s="88">
        <f>IF($D23="","",IFERROR(SUMIF('📦 Inventory'!$C$8:$C$47,$D23,'📦 Inventory'!$F$8:$F$47),0))</f>
        <v/>
      </c>
      <c r="G23" s="88">
        <f>IF($E23="","",MAX(0,ROUND($E23-$F23,1)))</f>
        <v/>
      </c>
      <c r="H23" s="9"/>
      <c r="I23" s="63">
        <f>IF(OR($G23="",NOT(ISNUMBER($G23))),"",ROUND($G23*IFERROR(SUMIF('📦 Inventory'!$C$8:$C$47,$D23,'📦 Inventory'!$H$8:$H$47),0),2))</f>
        <v/>
      </c>
      <c r="J23" s="90"/>
      <c r="K23" s="66"/>
      <c r="L23" s="69"/>
    </row>
    <row r="24" spans="2:12" ht="20" customHeight="1" x14ac:dyDescent="0.25">
      <c r="B24" s="58">
        <f>IF($D24="","",ROW()-7)</f>
        <v/>
      </c>
      <c r="C24" s="60"/>
      <c r="D24" s="14"/>
      <c r="E24" s="85"/>
      <c r="F24" s="88">
        <f>IF($D24="","",IFERROR(SUMIF('📦 Inventory'!$C$8:$C$47,$D24,'📦 Inventory'!$F$8:$F$47),0))</f>
        <v/>
      </c>
      <c r="G24" s="88">
        <f>IF($E24="","",MAX(0,ROUND($E24-$F24,1)))</f>
        <v/>
      </c>
      <c r="H24" s="14"/>
      <c r="I24" s="63">
        <f>IF(OR($G24="",NOT(ISNUMBER($G24))),"",ROUND($G24*IFERROR(SUMIF('📦 Inventory'!$C$8:$C$47,$D24,'📦 Inventory'!$H$8:$H$47),0),2))</f>
        <v/>
      </c>
      <c r="J24" s="89"/>
      <c r="K24" s="59"/>
      <c r="L24" s="64"/>
    </row>
    <row r="25" spans="2:12" ht="20" customHeight="1" x14ac:dyDescent="0.25">
      <c r="B25" s="65">
        <f>IF($D25="","",ROW()-7)</f>
        <v/>
      </c>
      <c r="C25" s="10"/>
      <c r="D25" s="9"/>
      <c r="E25" s="87"/>
      <c r="F25" s="88">
        <f>IF($D25="","",IFERROR(SUMIF('📦 Inventory'!$C$8:$C$47,$D25,'📦 Inventory'!$F$8:$F$47),0))</f>
        <v/>
      </c>
      <c r="G25" s="88">
        <f>IF($E25="","",MAX(0,ROUND($E25-$F25,1)))</f>
        <v/>
      </c>
      <c r="H25" s="9"/>
      <c r="I25" s="63">
        <f>IF(OR($G25="",NOT(ISNUMBER($G25))),"",ROUND($G25*IFERROR(SUMIF('📦 Inventory'!$C$8:$C$47,$D25,'📦 Inventory'!$H$8:$H$47),0),2))</f>
        <v/>
      </c>
      <c r="J25" s="90"/>
      <c r="K25" s="66"/>
      <c r="L25" s="69"/>
    </row>
    <row r="26" spans="2:12" ht="20" customHeight="1" x14ac:dyDescent="0.25">
      <c r="B26" s="58">
        <f>IF($D26="","",ROW()-7)</f>
        <v/>
      </c>
      <c r="C26" s="60"/>
      <c r="D26" s="14"/>
      <c r="E26" s="85"/>
      <c r="F26" s="88">
        <f>IF($D26="","",IFERROR(SUMIF('📦 Inventory'!$C$8:$C$47,$D26,'📦 Inventory'!$F$8:$F$47),0))</f>
        <v/>
      </c>
      <c r="G26" s="88">
        <f>IF($E26="","",MAX(0,ROUND($E26-$F26,1)))</f>
        <v/>
      </c>
      <c r="H26" s="14"/>
      <c r="I26" s="63">
        <f>IF(OR($G26="",NOT(ISNUMBER($G26))),"",ROUND($G26*IFERROR(SUMIF('📦 Inventory'!$C$8:$C$47,$D26,'📦 Inventory'!$H$8:$H$47),0),2))</f>
        <v/>
      </c>
      <c r="J26" s="89"/>
      <c r="K26" s="59"/>
      <c r="L26" s="64"/>
    </row>
    <row r="27" spans="2:12" ht="20" customHeight="1" x14ac:dyDescent="0.25">
      <c r="B27" s="65">
        <f>IF($D27="","",ROW()-7)</f>
        <v/>
      </c>
      <c r="C27" s="10"/>
      <c r="D27" s="9"/>
      <c r="E27" s="87"/>
      <c r="F27" s="88">
        <f>IF($D27="","",IFERROR(SUMIF('📦 Inventory'!$C$8:$C$47,$D27,'📦 Inventory'!$F$8:$F$47),0))</f>
        <v/>
      </c>
      <c r="G27" s="88">
        <f>IF($E27="","",MAX(0,ROUND($E27-$F27,1)))</f>
        <v/>
      </c>
      <c r="H27" s="9"/>
      <c r="I27" s="63">
        <f>IF(OR($G27="",NOT(ISNUMBER($G27))),"",ROUND($G27*IFERROR(SUMIF('📦 Inventory'!$C$8:$C$47,$D27,'📦 Inventory'!$H$8:$H$47),0),2))</f>
        <v/>
      </c>
      <c r="J27" s="90"/>
      <c r="K27" s="66"/>
      <c r="L27" s="69"/>
    </row>
    <row r="28" spans="2:12" ht="20" customHeight="1" x14ac:dyDescent="0.25">
      <c r="B28" s="58">
        <f>IF($D28="","",ROW()-7)</f>
        <v/>
      </c>
      <c r="C28" s="60"/>
      <c r="D28" s="14"/>
      <c r="E28" s="85"/>
      <c r="F28" s="88">
        <f>IF($D28="","",IFERROR(SUMIF('📦 Inventory'!$C$8:$C$47,$D28,'📦 Inventory'!$F$8:$F$47),0))</f>
        <v/>
      </c>
      <c r="G28" s="88">
        <f>IF($E28="","",MAX(0,ROUND($E28-$F28,1)))</f>
        <v/>
      </c>
      <c r="H28" s="14"/>
      <c r="I28" s="63">
        <f>IF(OR($G28="",NOT(ISNUMBER($G28))),"",ROUND($G28*IFERROR(SUMIF('📦 Inventory'!$C$8:$C$47,$D28,'📦 Inventory'!$H$8:$H$47),0),2))</f>
        <v/>
      </c>
      <c r="J28" s="89"/>
      <c r="K28" s="59"/>
      <c r="L28" s="64"/>
    </row>
    <row r="29" spans="2:12" ht="20" customHeight="1" x14ac:dyDescent="0.25">
      <c r="B29" s="65">
        <f>IF($D29="","",ROW()-7)</f>
        <v/>
      </c>
      <c r="C29" s="10"/>
      <c r="D29" s="9"/>
      <c r="E29" s="87"/>
      <c r="F29" s="88">
        <f>IF($D29="","",IFERROR(SUMIF('📦 Inventory'!$C$8:$C$47,$D29,'📦 Inventory'!$F$8:$F$47),0))</f>
        <v/>
      </c>
      <c r="G29" s="88">
        <f>IF($E29="","",MAX(0,ROUND($E29-$F29,1)))</f>
        <v/>
      </c>
      <c r="H29" s="9"/>
      <c r="I29" s="63">
        <f>IF(OR($G29="",NOT(ISNUMBER($G29))),"",ROUND($G29*IFERROR(SUMIF('📦 Inventory'!$C$8:$C$47,$D29,'📦 Inventory'!$H$8:$H$47),0),2))</f>
        <v/>
      </c>
      <c r="J29" s="90"/>
      <c r="K29" s="66"/>
      <c r="L29" s="69"/>
    </row>
    <row r="30" spans="2:12" ht="20" customHeight="1" x14ac:dyDescent="0.25">
      <c r="B30" s="58">
        <f>IF($D30="","",ROW()-7)</f>
        <v/>
      </c>
      <c r="C30" s="60"/>
      <c r="D30" s="14"/>
      <c r="E30" s="85"/>
      <c r="F30" s="88">
        <f>IF($D30="","",IFERROR(SUMIF('📦 Inventory'!$C$8:$C$47,$D30,'📦 Inventory'!$F$8:$F$47),0))</f>
        <v/>
      </c>
      <c r="G30" s="88">
        <f>IF($E30="","",MAX(0,ROUND($E30-$F30,1)))</f>
        <v/>
      </c>
      <c r="H30" s="14"/>
      <c r="I30" s="63">
        <f>IF(OR($G30="",NOT(ISNUMBER($G30))),"",ROUND($G30*IFERROR(SUMIF('📦 Inventory'!$C$8:$C$47,$D30,'📦 Inventory'!$H$8:$H$47),0),2))</f>
        <v/>
      </c>
      <c r="J30" s="89"/>
      <c r="K30" s="59"/>
      <c r="L30" s="64"/>
    </row>
    <row r="31" spans="2:12" ht="20" customHeight="1" x14ac:dyDescent="0.25">
      <c r="B31" s="65">
        <f>IF($D31="","",ROW()-7)</f>
        <v/>
      </c>
      <c r="C31" s="10"/>
      <c r="D31" s="9"/>
      <c r="E31" s="87"/>
      <c r="F31" s="88">
        <f>IF($D31="","",IFERROR(SUMIF('📦 Inventory'!$C$8:$C$47,$D31,'📦 Inventory'!$F$8:$F$47),0))</f>
        <v/>
      </c>
      <c r="G31" s="88">
        <f>IF($E31="","",MAX(0,ROUND($E31-$F31,1)))</f>
        <v/>
      </c>
      <c r="H31" s="9"/>
      <c r="I31" s="63">
        <f>IF(OR($G31="",NOT(ISNUMBER($G31))),"",ROUND($G31*IFERROR(SUMIF('📦 Inventory'!$C$8:$C$47,$D31,'📦 Inventory'!$H$8:$H$47),0),2))</f>
        <v/>
      </c>
      <c r="J31" s="90"/>
      <c r="K31" s="66"/>
      <c r="L31" s="69"/>
    </row>
    <row r="32" spans="2:12" ht="20" customHeight="1" x14ac:dyDescent="0.25">
      <c r="B32" s="58">
        <f>IF($D32="","",ROW()-7)</f>
        <v/>
      </c>
      <c r="C32" s="60"/>
      <c r="D32" s="14"/>
      <c r="E32" s="85"/>
      <c r="F32" s="88">
        <f>IF($D32="","",IFERROR(SUMIF('📦 Inventory'!$C$8:$C$47,$D32,'📦 Inventory'!$F$8:$F$47),0))</f>
        <v/>
      </c>
      <c r="G32" s="88">
        <f>IF($E32="","",MAX(0,ROUND($E32-$F32,1)))</f>
        <v/>
      </c>
      <c r="H32" s="14"/>
      <c r="I32" s="63">
        <f>IF(OR($G32="",NOT(ISNUMBER($G32))),"",ROUND($G32*IFERROR(SUMIF('📦 Inventory'!$C$8:$C$47,$D32,'📦 Inventory'!$H$8:$H$47),0),2))</f>
        <v/>
      </c>
      <c r="J32" s="89"/>
      <c r="K32" s="59"/>
      <c r="L32" s="64"/>
    </row>
    <row r="33" spans="2:12" ht="20" customHeight="1" x14ac:dyDescent="0.25">
      <c r="B33" s="65">
        <f>IF($D33="","",ROW()-7)</f>
        <v/>
      </c>
      <c r="C33" s="10"/>
      <c r="D33" s="9"/>
      <c r="E33" s="87"/>
      <c r="F33" s="88">
        <f>IF($D33="","",IFERROR(SUMIF('📦 Inventory'!$C$8:$C$47,$D33,'📦 Inventory'!$F$8:$F$47),0))</f>
        <v/>
      </c>
      <c r="G33" s="88">
        <f>IF($E33="","",MAX(0,ROUND($E33-$F33,1)))</f>
        <v/>
      </c>
      <c r="H33" s="9"/>
      <c r="I33" s="63">
        <f>IF(OR($G33="",NOT(ISNUMBER($G33))),"",ROUND($G33*IFERROR(SUMIF('📦 Inventory'!$C$8:$C$47,$D33,'📦 Inventory'!$H$8:$H$47),0),2))</f>
        <v/>
      </c>
      <c r="J33" s="90"/>
      <c r="K33" s="66"/>
      <c r="L33" s="69"/>
    </row>
    <row r="34" spans="2:12" ht="20" customHeight="1" x14ac:dyDescent="0.25">
      <c r="B34" s="58">
        <f>IF($D34="","",ROW()-7)</f>
        <v/>
      </c>
      <c r="C34" s="60"/>
      <c r="D34" s="14"/>
      <c r="E34" s="85"/>
      <c r="F34" s="88">
        <f>IF($D34="","",IFERROR(SUMIF('📦 Inventory'!$C$8:$C$47,$D34,'📦 Inventory'!$F$8:$F$47),0))</f>
        <v/>
      </c>
      <c r="G34" s="88">
        <f>IF($E34="","",MAX(0,ROUND($E34-$F34,1)))</f>
        <v/>
      </c>
      <c r="H34" s="14"/>
      <c r="I34" s="63">
        <f>IF(OR($G34="",NOT(ISNUMBER($G34))),"",ROUND($G34*IFERROR(SUMIF('📦 Inventory'!$C$8:$C$47,$D34,'📦 Inventory'!$H$8:$H$47),0),2))</f>
        <v/>
      </c>
      <c r="J34" s="89"/>
      <c r="K34" s="59"/>
      <c r="L34" s="64"/>
    </row>
    <row r="35" spans="2:12" ht="20" customHeight="1" x14ac:dyDescent="0.25">
      <c r="B35" s="65">
        <f>IF($D35="","",ROW()-7)</f>
        <v/>
      </c>
      <c r="C35" s="10"/>
      <c r="D35" s="9"/>
      <c r="E35" s="87"/>
      <c r="F35" s="88">
        <f>IF($D35="","",IFERROR(SUMIF('📦 Inventory'!$C$8:$C$47,$D35,'📦 Inventory'!$F$8:$F$47),0))</f>
        <v/>
      </c>
      <c r="G35" s="88">
        <f>IF($E35="","",MAX(0,ROUND($E35-$F35,1)))</f>
        <v/>
      </c>
      <c r="H35" s="9"/>
      <c r="I35" s="63">
        <f>IF(OR($G35="",NOT(ISNUMBER($G35))),"",ROUND($G35*IFERROR(SUMIF('📦 Inventory'!$C$8:$C$47,$D35,'📦 Inventory'!$H$8:$H$47),0),2))</f>
        <v/>
      </c>
      <c r="J35" s="90"/>
      <c r="K35" s="66"/>
      <c r="L35" s="69"/>
    </row>
    <row r="36" spans="2:12" ht="20" customHeight="1" x14ac:dyDescent="0.25">
      <c r="B36" s="58">
        <f>IF($D36="","",ROW()-7)</f>
        <v/>
      </c>
      <c r="C36" s="60"/>
      <c r="D36" s="14"/>
      <c r="E36" s="85"/>
      <c r="F36" s="88">
        <f>IF($D36="","",IFERROR(SUMIF('📦 Inventory'!$C$8:$C$47,$D36,'📦 Inventory'!$F$8:$F$47),0))</f>
        <v/>
      </c>
      <c r="G36" s="88">
        <f>IF($E36="","",MAX(0,ROUND($E36-$F36,1)))</f>
        <v/>
      </c>
      <c r="H36" s="14"/>
      <c r="I36" s="63">
        <f>IF(OR($G36="",NOT(ISNUMBER($G36))),"",ROUND($G36*IFERROR(SUMIF('📦 Inventory'!$C$8:$C$47,$D36,'📦 Inventory'!$H$8:$H$47),0),2))</f>
        <v/>
      </c>
      <c r="J36" s="89"/>
      <c r="K36" s="59"/>
      <c r="L36" s="64"/>
    </row>
    <row r="37" spans="2:12" ht="20" customHeight="1" x14ac:dyDescent="0.25">
      <c r="B37" s="65">
        <f>IF($D37="","",ROW()-7)</f>
        <v/>
      </c>
      <c r="C37" s="10"/>
      <c r="D37" s="9"/>
      <c r="E37" s="87"/>
      <c r="F37" s="88">
        <f>IF($D37="","",IFERROR(SUMIF('📦 Inventory'!$C$8:$C$47,$D37,'📦 Inventory'!$F$8:$F$47),0))</f>
        <v/>
      </c>
      <c r="G37" s="88">
        <f>IF($E37="","",MAX(0,ROUND($E37-$F37,1)))</f>
        <v/>
      </c>
      <c r="H37" s="9"/>
      <c r="I37" s="63">
        <f>IF(OR($G37="",NOT(ISNUMBER($G37))),"",ROUND($G37*IFERROR(SUMIF('📦 Inventory'!$C$8:$C$47,$D37,'📦 Inventory'!$H$8:$H$47),0),2))</f>
        <v/>
      </c>
      <c r="J37" s="90"/>
      <c r="K37" s="66"/>
      <c r="L37" s="69"/>
    </row>
    <row r="38" spans="2:12" ht="20" customHeight="1" x14ac:dyDescent="0.25">
      <c r="B38" s="58">
        <f>IF($D38="","",ROW()-7)</f>
        <v/>
      </c>
      <c r="C38" s="60"/>
      <c r="D38" s="14"/>
      <c r="E38" s="85"/>
      <c r="F38" s="88">
        <f>IF($D38="","",IFERROR(SUMIF('📦 Inventory'!$C$8:$C$47,$D38,'📦 Inventory'!$F$8:$F$47),0))</f>
        <v/>
      </c>
      <c r="G38" s="88">
        <f>IF($E38="","",MAX(0,ROUND($E38-$F38,1)))</f>
        <v/>
      </c>
      <c r="H38" s="14"/>
      <c r="I38" s="63">
        <f>IF(OR($G38="",NOT(ISNUMBER($G38))),"",ROUND($G38*IFERROR(SUMIF('📦 Inventory'!$C$8:$C$47,$D38,'📦 Inventory'!$H$8:$H$47),0),2))</f>
        <v/>
      </c>
      <c r="J38" s="89"/>
      <c r="K38" s="59"/>
      <c r="L38" s="64"/>
    </row>
    <row r="39" spans="2:12" ht="20" customHeight="1" x14ac:dyDescent="0.25">
      <c r="B39" s="65">
        <f>IF($D39="","",ROW()-7)</f>
        <v/>
      </c>
      <c r="C39" s="10"/>
      <c r="D39" s="9"/>
      <c r="E39" s="87"/>
      <c r="F39" s="88">
        <f>IF($D39="","",IFERROR(SUMIF('📦 Inventory'!$C$8:$C$47,$D39,'📦 Inventory'!$F$8:$F$47),0))</f>
        <v/>
      </c>
      <c r="G39" s="88">
        <f>IF($E39="","",MAX(0,ROUND($E39-$F39,1)))</f>
        <v/>
      </c>
      <c r="H39" s="9"/>
      <c r="I39" s="63">
        <f>IF(OR($G39="",NOT(ISNUMBER($G39))),"",ROUND($G39*IFERROR(SUMIF('📦 Inventory'!$C$8:$C$47,$D39,'📦 Inventory'!$H$8:$H$47),0),2))</f>
        <v/>
      </c>
      <c r="J39" s="90"/>
      <c r="K39" s="66"/>
      <c r="L39" s="69"/>
    </row>
    <row r="40" spans="2:12" ht="20" customHeight="1" x14ac:dyDescent="0.25">
      <c r="B40" s="58">
        <f>IF($D40="","",ROW()-7)</f>
        <v/>
      </c>
      <c r="C40" s="60"/>
      <c r="D40" s="14"/>
      <c r="E40" s="85"/>
      <c r="F40" s="88">
        <f>IF($D40="","",IFERROR(SUMIF('📦 Inventory'!$C$8:$C$47,$D40,'📦 Inventory'!$F$8:$F$47),0))</f>
        <v/>
      </c>
      <c r="G40" s="88">
        <f>IF($E40="","",MAX(0,ROUND($E40-$F40,1)))</f>
        <v/>
      </c>
      <c r="H40" s="14"/>
      <c r="I40" s="63">
        <f>IF(OR($G40="",NOT(ISNUMBER($G40))),"",ROUND($G40*IFERROR(SUMIF('📦 Inventory'!$C$8:$C$47,$D40,'📦 Inventory'!$H$8:$H$47),0),2))</f>
        <v/>
      </c>
      <c r="J40" s="89"/>
      <c r="K40" s="59"/>
      <c r="L40" s="64"/>
    </row>
    <row r="41" spans="2:12" ht="20" customHeight="1" x14ac:dyDescent="0.25">
      <c r="B41" s="65">
        <f>IF($D41="","",ROW()-7)</f>
        <v/>
      </c>
      <c r="C41" s="10"/>
      <c r="D41" s="9"/>
      <c r="E41" s="87"/>
      <c r="F41" s="88">
        <f>IF($D41="","",IFERROR(SUMIF('📦 Inventory'!$C$8:$C$47,$D41,'📦 Inventory'!$F$8:$F$47),0))</f>
        <v/>
      </c>
      <c r="G41" s="88">
        <f>IF($E41="","",MAX(0,ROUND($E41-$F41,1)))</f>
        <v/>
      </c>
      <c r="H41" s="9"/>
      <c r="I41" s="63">
        <f>IF(OR($G41="",NOT(ISNUMBER($G41))),"",ROUND($G41*IFERROR(SUMIF('📦 Inventory'!$C$8:$C$47,$D41,'📦 Inventory'!$H$8:$H$47),0),2))</f>
        <v/>
      </c>
      <c r="J41" s="90"/>
      <c r="K41" s="66"/>
      <c r="L41" s="69"/>
    </row>
    <row r="42" spans="2:12" ht="20" customHeight="1" x14ac:dyDescent="0.25">
      <c r="B42" s="58">
        <f>IF($D42="","",ROW()-7)</f>
        <v/>
      </c>
      <c r="C42" s="60"/>
      <c r="D42" s="14"/>
      <c r="E42" s="85"/>
      <c r="F42" s="88">
        <f>IF($D42="","",IFERROR(SUMIF('📦 Inventory'!$C$8:$C$47,$D42,'📦 Inventory'!$F$8:$F$47),0))</f>
        <v/>
      </c>
      <c r="G42" s="88">
        <f>IF($E42="","",MAX(0,ROUND($E42-$F42,1)))</f>
        <v/>
      </c>
      <c r="H42" s="14"/>
      <c r="I42" s="63">
        <f>IF(OR($G42="",NOT(ISNUMBER($G42))),"",ROUND($G42*IFERROR(SUMIF('📦 Inventory'!$C$8:$C$47,$D42,'📦 Inventory'!$H$8:$H$47),0),2))</f>
        <v/>
      </c>
      <c r="J42" s="89"/>
      <c r="K42" s="59"/>
      <c r="L42" s="64"/>
    </row>
    <row r="43" spans="2:12" ht="20" customHeight="1" x14ac:dyDescent="0.25">
      <c r="B43" s="65">
        <f>IF($D43="","",ROW()-7)</f>
        <v/>
      </c>
      <c r="C43" s="10"/>
      <c r="D43" s="9"/>
      <c r="E43" s="87"/>
      <c r="F43" s="88">
        <f>IF($D43="","",IFERROR(SUMIF('📦 Inventory'!$C$8:$C$47,$D43,'📦 Inventory'!$F$8:$F$47),0))</f>
        <v/>
      </c>
      <c r="G43" s="88">
        <f>IF($E43="","",MAX(0,ROUND($E43-$F43,1)))</f>
        <v/>
      </c>
      <c r="H43" s="9"/>
      <c r="I43" s="63">
        <f>IF(OR($G43="",NOT(ISNUMBER($G43))),"",ROUND($G43*IFERROR(SUMIF('📦 Inventory'!$C$8:$C$47,$D43,'📦 Inventory'!$H$8:$H$47),0),2))</f>
        <v/>
      </c>
      <c r="J43" s="90"/>
      <c r="K43" s="66"/>
      <c r="L43" s="69"/>
    </row>
    <row r="44" spans="2:12" ht="20" customHeight="1" x14ac:dyDescent="0.25">
      <c r="B44" s="58">
        <f>IF($D44="","",ROW()-7)</f>
        <v/>
      </c>
      <c r="C44" s="60"/>
      <c r="D44" s="14"/>
      <c r="E44" s="85"/>
      <c r="F44" s="88">
        <f>IF($D44="","",IFERROR(SUMIF('📦 Inventory'!$C$8:$C$47,$D44,'📦 Inventory'!$F$8:$F$47),0))</f>
        <v/>
      </c>
      <c r="G44" s="88">
        <f>IF($E44="","",MAX(0,ROUND($E44-$F44,1)))</f>
        <v/>
      </c>
      <c r="H44" s="14"/>
      <c r="I44" s="63">
        <f>IF(OR($G44="",NOT(ISNUMBER($G44))),"",ROUND($G44*IFERROR(SUMIF('📦 Inventory'!$C$8:$C$47,$D44,'📦 Inventory'!$H$8:$H$47),0),2))</f>
        <v/>
      </c>
      <c r="J44" s="89"/>
      <c r="K44" s="59"/>
      <c r="L44" s="64"/>
    </row>
    <row r="45" spans="2:12" ht="20" customHeight="1" x14ac:dyDescent="0.25">
      <c r="B45" s="65">
        <f>IF($D45="","",ROW()-7)</f>
        <v/>
      </c>
      <c r="C45" s="10"/>
      <c r="D45" s="9"/>
      <c r="E45" s="87"/>
      <c r="F45" s="88">
        <f>IF($D45="","",IFERROR(SUMIF('📦 Inventory'!$C$8:$C$47,$D45,'📦 Inventory'!$F$8:$F$47),0))</f>
        <v/>
      </c>
      <c r="G45" s="88">
        <f>IF($E45="","",MAX(0,ROUND($E45-$F45,1)))</f>
        <v/>
      </c>
      <c r="H45" s="9"/>
      <c r="I45" s="63">
        <f>IF(OR($G45="",NOT(ISNUMBER($G45))),"",ROUND($G45*IFERROR(SUMIF('📦 Inventory'!$C$8:$C$47,$D45,'📦 Inventory'!$H$8:$H$47),0),2))</f>
        <v/>
      </c>
      <c r="J45" s="90"/>
      <c r="K45" s="66"/>
      <c r="L45" s="69"/>
    </row>
    <row r="46" spans="2:12" ht="20" customHeight="1" x14ac:dyDescent="0.25">
      <c r="B46" s="58">
        <f>IF($D46="","",ROW()-7)</f>
        <v/>
      </c>
      <c r="C46" s="60"/>
      <c r="D46" s="14"/>
      <c r="E46" s="85"/>
      <c r="F46" s="88">
        <f>IF($D46="","",IFERROR(SUMIF('📦 Inventory'!$C$8:$C$47,$D46,'📦 Inventory'!$F$8:$F$47),0))</f>
        <v/>
      </c>
      <c r="G46" s="88">
        <f>IF($E46="","",MAX(0,ROUND($E46-$F46,1)))</f>
        <v/>
      </c>
      <c r="H46" s="14"/>
      <c r="I46" s="63">
        <f>IF(OR($G46="",NOT(ISNUMBER($G46))),"",ROUND($G46*IFERROR(SUMIF('📦 Inventory'!$C$8:$C$47,$D46,'📦 Inventory'!$H$8:$H$47),0),2))</f>
        <v/>
      </c>
      <c r="J46" s="89"/>
      <c r="K46" s="59"/>
      <c r="L46" s="64"/>
    </row>
    <row r="47" spans="2:12" ht="20" customHeight="1" x14ac:dyDescent="0.25">
      <c r="B47" s="65">
        <f>IF($D47="","",ROW()-7)</f>
        <v/>
      </c>
      <c r="C47" s="10"/>
      <c r="D47" s="9"/>
      <c r="E47" s="87"/>
      <c r="F47" s="88">
        <f>IF($D47="","",IFERROR(SUMIF('📦 Inventory'!$C$8:$C$47,$D47,'📦 Inventory'!$F$8:$F$47),0))</f>
        <v/>
      </c>
      <c r="G47" s="88">
        <f>IF($E47="","",MAX(0,ROUND($E47-$F47,1)))</f>
        <v/>
      </c>
      <c r="H47" s="9"/>
      <c r="I47" s="63">
        <f>IF(OR($G47="",NOT(ISNUMBER($G47))),"",ROUND($G47*IFERROR(SUMIF('📦 Inventory'!$C$8:$C$47,$D47,'📦 Inventory'!$H$8:$H$47),0),2))</f>
        <v/>
      </c>
      <c r="J47" s="90"/>
      <c r="K47" s="66"/>
      <c r="L47" s="69"/>
    </row>
    <row r="48" spans="2:12" ht="24" customHeight="1" x14ac:dyDescent="0.25">
      <c r="B48" s="70" t="s">
        <v>290</v>
      </c>
      <c r="C48" s="70"/>
      <c r="D48" s="70"/>
      <c r="E48" s="70"/>
      <c r="F48" s="70"/>
      <c r="G48" s="70"/>
      <c r="H48" s="71"/>
      <c r="I48" s="84">
        <f>SUMPRODUCT(--(('🛒 Shopping List'!$J$8:$J$47&lt;&gt;"✓")*('🛒 Shopping List'!$D$8:$D$47&lt;&gt;"")),'🛒 Shopping List'!$I$8:$I$47)</f>
        <v>0</v>
      </c>
      <c r="J48" s="71"/>
      <c r="K48" s="71"/>
      <c r="L48" s="71"/>
    </row>
    <row r="50" spans="2:11" ht="22" customHeight="1" x14ac:dyDescent="0.25">
      <c r="B50" s="15" t="s">
        <v>219</v>
      </c>
      <c r="C50" s="15"/>
      <c r="D50" s="15"/>
      <c r="E50" s="15"/>
      <c r="F50" s="15"/>
      <c r="G50" s="15"/>
      <c r="H50" s="15"/>
      <c r="I50" s="15"/>
      <c r="J50" s="15"/>
      <c r="K50" s="15"/>
    </row>
    <row r="51" spans="2:11" ht="51.8" customHeight="1" x14ac:dyDescent="0.25">
      <c r="B51" s="22" t="s">
        <v>291</v>
      </c>
      <c r="C51" s="22"/>
      <c r="D51" s="22"/>
      <c r="E51" s="22"/>
      <c r="F51" s="22"/>
      <c r="G51" s="22"/>
      <c r="H51" s="22"/>
      <c r="I51" s="22"/>
      <c r="J51" s="22"/>
      <c r="K51" s="22"/>
    </row>
    <row r="55" spans="2:11" x14ac:dyDescent="0.25">
      <c r="B55" s="23" t="s">
        <v>202</v>
      </c>
      <c r="C55" s="23"/>
      <c r="D55" s="24" t="s">
        <v>164</v>
      </c>
      <c r="E55" s="24"/>
      <c r="F55" s="25" t="s">
        <v>165</v>
      </c>
      <c r="G55" s="25"/>
      <c r="H55" s="26" t="s">
        <v>17</v>
      </c>
      <c r="I55" s="26"/>
      <c r="J55" s="27" t="s">
        <v>166</v>
      </c>
      <c r="K55" s="27"/>
    </row>
    <row r="56" spans="2:11" ht="24" customHeight="1" x14ac:dyDescent="0.25">
      <c r="B56" s="28" t="s">
        <v>167</v>
      </c>
      <c r="C56" s="28"/>
      <c r="D56" s="29" t="s">
        <v>168</v>
      </c>
      <c r="E56" s="29"/>
      <c r="F56" s="30" t="s">
        <v>292</v>
      </c>
      <c r="G56" s="30"/>
      <c r="H56" s="24" t="s">
        <v>170</v>
      </c>
      <c r="I56" s="24"/>
      <c r="J56" s="26" t="s">
        <v>171</v>
      </c>
      <c r="K56" s="26"/>
    </row>
    <row r="57" spans="2:11" ht="24" customHeight="1" x14ac:dyDescent="0.25">
      <c r="B57" s="23" t="s">
        <v>172</v>
      </c>
      <c r="C57" s="23"/>
      <c r="D57" s="24" t="s">
        <v>173</v>
      </c>
      <c r="E57" s="24"/>
      <c r="F57" s="25" t="s">
        <v>174</v>
      </c>
      <c r="G57" s="25"/>
      <c r="H57" s="26" t="s">
        <v>175</v>
      </c>
      <c r="I57" s="26"/>
      <c r="J57" s="27" t="s">
        <v>176</v>
      </c>
      <c r="K57" s="27"/>
    </row>
    <row r="58" spans="2:11" ht="24" customHeight="1" x14ac:dyDescent="0.25">
      <c r="B58" s="28" t="s">
        <v>177</v>
      </c>
      <c r="C58" s="28"/>
      <c r="D58" s="29" t="s">
        <v>178</v>
      </c>
      <c r="E58" s="29"/>
      <c r="F58" s="30" t="s">
        <v>179</v>
      </c>
      <c r="G58" s="30"/>
      <c r="H58" s="24" t="s">
        <v>180</v>
      </c>
      <c r="I58" s="24"/>
    </row>
  </sheetData>
  <mergeCells count="28">
    <mergeCell ref="B2:I2"/>
    <mergeCell ref="B3:I3"/>
    <mergeCell ref="J3:L3"/>
    <mergeCell ref="B5:C5"/>
    <mergeCell ref="D5:E5"/>
    <mergeCell ref="F5:G5"/>
    <mergeCell ref="B48:G48"/>
    <mergeCell ref="B50:K50"/>
    <mergeCell ref="B51:K51"/>
    <mergeCell ref="B55:C55"/>
    <mergeCell ref="D55:E55"/>
    <mergeCell ref="F55:G55"/>
    <mergeCell ref="H55:I55"/>
    <mergeCell ref="J55:K55"/>
    <mergeCell ref="B56:C56"/>
    <mergeCell ref="D56:E56"/>
    <mergeCell ref="F56:G56"/>
    <mergeCell ref="H56:I56"/>
    <mergeCell ref="J56:K56"/>
    <mergeCell ref="B57:C57"/>
    <mergeCell ref="D57:E57"/>
    <mergeCell ref="F57:G57"/>
    <mergeCell ref="H57:I57"/>
    <mergeCell ref="J57:K57"/>
    <mergeCell ref="B58:C58"/>
    <mergeCell ref="D58:E58"/>
    <mergeCell ref="F58:G58"/>
    <mergeCell ref="H58:I58"/>
  </mergeCells>
  <conditionalFormatting sqref="G8:G47">
    <cfRule type="expression" dxfId="8" priority="2">
      <formula>AND($G8&lt;&gt;"",$G8&gt;0,$J8&lt;&gt;"✓")</formula>
    </cfRule>
  </conditionalFormatting>
  <conditionalFormatting sqref="I8:I47">
    <cfRule type="dataBar" priority="3">
      <dataBar>
        <cfvo type="num" val="0"/>
        <cfvo type="num" val="1"/>
        <color rgb="FFC99A18"/>
      </dataBar>
      <extLst>
        <ext xmlns:x14="http://schemas.microsoft.com/office/spreadsheetml/2009/9/main" uri="{B025F937-C7B1-47D3-B67F-A62EFF666E3E}">
          <x14:id>{DA7ABA51-AAAA-BBBB-0009-000000000001}</x14:id>
        </ext>
      </extLst>
    </cfRule>
  </conditionalFormatting>
  <conditionalFormatting sqref="J8:J47">
    <cfRule type="expression" dxfId="10" priority="1">
      <formula>$J8="✓"</formula>
    </cfRule>
  </conditionalFormatting>
  <dataValidations count="4">
    <dataValidation type="list" allowBlank="1" showInputMessage="1" showErrorMessage="1" promptTitle="Event" prompt="Pick the event this purchase is for." sqref="C8:C47">
      <formula1>EventList</formula1>
    </dataValidation>
    <dataValidation type="list" allowBlank="1" showInputMessage="1" showErrorMessage="1" promptTitle="Supplier" prompt="Pick from the Suppliers tab." sqref="H8:H47">
      <formula1>SuppliersList</formula1>
    </dataValidation>
    <dataValidation type="list" allowBlank="1" showInputMessage="1" promptTitle="Tick it off" prompt="Pick ✓ from the dropdown to tick it off (leave blank for not yet)." sqref="J8:J47">
      <formula1>Tick</formula1>
    </dataValidation>
    <dataValidation type="date" errorStyle="warning" allowBlank="1" showInputMessage="1" showErrorMessage="1" errorTitle="That's not a date" error="Enter a date between 2000 and 2100." promptTitle="Date" prompt="Type a date, or pick one from the calendar picker." sqref="K8:K47">
      <formula1>36526</formula1>
      <formula2>73415</formula2>
    </dataValidation>
  </dataValidations>
  <hyperlinks>
    <hyperlink ref="J3" location="'📊 Dashboard'!A1" display="🏠  Back to Dashboard"/>
    <hyperlink ref="B55" location="'⚙️ Setup'!A1" display="Setup"/>
    <hyperlink ref="D55" location="'📊 Dashboard'!A1" display="🏠 Home"/>
    <hyperlink ref="F55" location="'👥 Clients'!A1" display="Clients"/>
    <hyperlink ref="H55" location="'📅 Events'!A1" display="Events"/>
    <hyperlink ref="J55" location="'🧮 Quote Calculator'!A1" display="Quote"/>
    <hyperlink ref="B56" location="'🍽️ Menu Costing'!A1" display="Menu"/>
    <hyperlink ref="D56" location="'📦 Inventory'!A1" display="Stock"/>
    <hyperlink ref="F56" location="'🛒 Shopping List'!A1" display="▶ Shop"/>
    <hyperlink ref="H56" location="'💸 Expenses'!A1" display="Expenses"/>
    <hyperlink ref="J56" location="'💰 Payments'!A1" display="Payments"/>
    <hyperlink ref="B57" location="'👷 Staff &amp; Labor'!A1" display="Staff"/>
    <hyperlink ref="D57" location="'🍳 Equipment'!A1" display="Equip"/>
    <hyperlink ref="F57" location="'🚚 Suppliers'!A1" display="Suppliers"/>
    <hyperlink ref="H57" location="'📆 Event Calendar'!A1" display="Calendar"/>
    <hyperlink ref="J57" location="'📈 P&amp;L &amp; Reports'!A1" display="P&amp;L"/>
    <hyperlink ref="B58" location="'🧾 Tax Tracker'!A1" display="Tax"/>
    <hyperlink ref="D58" location="'✅ Checklists'!A1" display="Checks"/>
    <hyperlink ref="F58" location="'🖨️ Invoice &amp; Proposal'!A1" display="Invoice"/>
    <hyperlink ref="H58"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extLst>
    <ext xmlns:x14="http://schemas.microsoft.com/office/spreadsheetml/2009/9/main" uri="{78C0D931-6437-407d-A8EE-F0AAD7539E65}">
      <x14:conditionalFormattings>
        <x14:conditionalFormatting xmlns:xm="http://schemas.microsoft.com/office/excel/2006/main">
          <x14:cfRule type="dataBar" id="{DA7ABA51-AAAA-BBBB-0009-000000000001}">
            <x14:dataBar minLength="0" maxLength="100" border="1" gradient="0" negativeBarBorderColorSameAsPositive="0">
              <x14:cfvo type="num">
                <xm:f>0</xm:f>
              </x14:cfvo>
              <x14:cfvo type="num">
                <xm:f>1</xm:f>
              </x14:cfvo>
              <x14:borderColor rgb="FFC99A18"/>
              <x14:negativeFillColor rgb="FFFF0000"/>
              <x14:negativeBorderColor rgb="FFFF0000"/>
              <x14:axisColor rgb="FF000000"/>
            </x14:dataBar>
          </x14:cfRule>
          <xm:sqref>I8:I47</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23A3A"/>
    <pageSetUpPr fitToPage="1"/>
  </sheetPr>
  <dimension ref="A1:J79"/>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RowHeight="15" x14ac:dyDescent="0.25"/>
  <cols>
    <col min="1" max="1" width="2.85546875" customWidth="1"/>
    <col min="2" max="2" width="5.28515625" customWidth="1"/>
    <col min="3" max="3" width="12.7109375" customWidth="1"/>
    <col min="4" max="4" width="20.7109375" customWidth="1"/>
    <col min="5" max="5" width="16.7109375" customWidth="1"/>
    <col min="6" max="6" width="34.7109375" customWidth="1"/>
    <col min="7" max="7" width="11.7109375" customWidth="1"/>
    <col min="8" max="8" width="14.7109375" customWidth="1"/>
    <col min="9" max="9" width="12.7109375" customWidth="1"/>
    <col min="10" max="10" width="14.7109375" customWidth="1"/>
  </cols>
  <sheetData>
    <row r="1" spans="2:10" ht="7" customHeight="1" x14ac:dyDescent="0.25"/>
    <row r="2" spans="2:10" ht="30" customHeight="1" x14ac:dyDescent="0.25">
      <c r="B2" s="3" t="s">
        <v>170</v>
      </c>
      <c r="C2" s="3"/>
      <c r="D2" s="3"/>
      <c r="E2" s="3"/>
      <c r="F2" s="3"/>
      <c r="G2" s="3"/>
      <c r="H2" s="4"/>
      <c r="I2" s="4"/>
      <c r="J2" s="4"/>
    </row>
    <row r="3" spans="2:10" ht="18" customHeight="1" x14ac:dyDescent="0.25">
      <c r="B3" s="5" t="s">
        <v>293</v>
      </c>
      <c r="C3" s="5"/>
      <c r="D3" s="5"/>
      <c r="E3" s="5"/>
      <c r="F3" s="5"/>
      <c r="G3" s="5"/>
      <c r="H3" s="6" t="s">
        <v>97</v>
      </c>
      <c r="I3" s="6"/>
      <c r="J3" s="6"/>
    </row>
    <row r="4" spans="2:10" ht="7" customHeight="1" x14ac:dyDescent="0.25"/>
    <row r="5" spans="2:10" ht="26" customHeight="1" x14ac:dyDescent="0.25">
      <c r="B5" s="83" t="str">
        <f>"Total spend: "&amp;Currency&amp;TEXT(SUM('💸 Expenses'!$G$8:$G$67),"#,##0")</f>
        <v>Total spend: $0</v>
      </c>
      <c r="C5" s="83"/>
      <c r="D5" s="53" t="str">
        <f>"This month: "&amp;Currency&amp;TEXT(SUMPRODUCT(('💸 Expenses'!$C$8:$C$67&lt;&gt;"")*(MONTH('💸 Expenses'!$C$8:$C$67)=MONTH(TODAY()))*(YEAR('💸 Expenses'!$C$8:$C$67)=YEAR(TODAY()))*'💸 Expenses'!$G$8:$G$67),"#,##0")</f>
        <v>This month: $0</v>
      </c>
      <c r="E5" s="53"/>
      <c r="F5" s="74" t="str">
        <f>"Food &amp; packaging: "&amp;Currency&amp;TEXT('_Data'!$AF$17,"#,##0")</f>
        <v>Food &amp; packaging: $0</v>
      </c>
      <c r="G5" s="74"/>
      <c r="H5" s="73" t="str">
        <f>"No receipt: "&amp;COUNTA('💸 Expenses'!$C$8:$C$67)-COUNTIF('💸 Expenses'!$J$8:$J$67,"✓")</f>
        <v>No receipt: 0</v>
      </c>
      <c r="I5" s="73"/>
    </row>
    <row r="6" spans="2:10" ht="7" customHeight="1" x14ac:dyDescent="0.25"/>
    <row r="7" spans="2:10" ht="36" customHeight="1" x14ac:dyDescent="0.25">
      <c r="B7" s="2" t="s">
        <v>205</v>
      </c>
      <c r="C7" s="55" t="s">
        <v>224</v>
      </c>
      <c r="D7" s="54" t="s">
        <v>294</v>
      </c>
      <c r="E7" s="2" t="s">
        <v>262</v>
      </c>
      <c r="F7" s="2" t="s">
        <v>295</v>
      </c>
      <c r="G7" s="75" t="s">
        <v>296</v>
      </c>
      <c r="H7" s="2" t="s">
        <v>297</v>
      </c>
      <c r="I7" s="2" t="s">
        <v>284</v>
      </c>
      <c r="J7" s="56" t="s">
        <v>298</v>
      </c>
    </row>
    <row r="8" spans="2:10" ht="20" customHeight="1" x14ac:dyDescent="0.25">
      <c r="B8" s="58">
        <f>IF($C8="","",ROW()-7)</f>
        <v/>
      </c>
      <c r="C8" s="59"/>
      <c r="D8" s="14"/>
      <c r="E8" s="60"/>
      <c r="F8" s="64"/>
      <c r="G8" s="62"/>
      <c r="H8" s="60"/>
      <c r="I8" s="60"/>
      <c r="J8" s="89"/>
    </row>
    <row r="9" spans="2:10" ht="20" customHeight="1" x14ac:dyDescent="0.25">
      <c r="B9" s="65">
        <f>IF($C9="","",ROW()-7)</f>
        <v/>
      </c>
      <c r="C9" s="66"/>
      <c r="D9" s="9"/>
      <c r="E9" s="10"/>
      <c r="F9" s="69"/>
      <c r="G9" s="68"/>
      <c r="H9" s="10"/>
      <c r="I9" s="10"/>
      <c r="J9" s="90"/>
    </row>
    <row r="10" spans="2:10" ht="20" customHeight="1" x14ac:dyDescent="0.25">
      <c r="B10" s="58">
        <f>IF($C10="","",ROW()-7)</f>
        <v/>
      </c>
      <c r="C10" s="59"/>
      <c r="D10" s="14"/>
      <c r="E10" s="60"/>
      <c r="F10" s="64"/>
      <c r="G10" s="62"/>
      <c r="H10" s="60"/>
      <c r="I10" s="60"/>
      <c r="J10" s="89"/>
    </row>
    <row r="11" spans="2:10" ht="20" customHeight="1" x14ac:dyDescent="0.25">
      <c r="B11" s="65">
        <f>IF($C11="","",ROW()-7)</f>
        <v/>
      </c>
      <c r="C11" s="66"/>
      <c r="D11" s="9"/>
      <c r="E11" s="10"/>
      <c r="F11" s="69"/>
      <c r="G11" s="68"/>
      <c r="H11" s="10"/>
      <c r="I11" s="10"/>
      <c r="J11" s="90"/>
    </row>
    <row r="12" spans="2:10" ht="20" customHeight="1" x14ac:dyDescent="0.25">
      <c r="B12" s="58">
        <f>IF($C12="","",ROW()-7)</f>
        <v/>
      </c>
      <c r="C12" s="59"/>
      <c r="D12" s="14"/>
      <c r="E12" s="60"/>
      <c r="F12" s="64"/>
      <c r="G12" s="62"/>
      <c r="H12" s="60"/>
      <c r="I12" s="60"/>
      <c r="J12" s="89"/>
    </row>
    <row r="13" spans="2:10" ht="20" customHeight="1" x14ac:dyDescent="0.25">
      <c r="B13" s="65">
        <f>IF($C13="","",ROW()-7)</f>
        <v/>
      </c>
      <c r="C13" s="66"/>
      <c r="D13" s="9"/>
      <c r="E13" s="10"/>
      <c r="F13" s="69"/>
      <c r="G13" s="68"/>
      <c r="H13" s="10"/>
      <c r="I13" s="10"/>
      <c r="J13" s="90"/>
    </row>
    <row r="14" spans="2:10" ht="20" customHeight="1" x14ac:dyDescent="0.25">
      <c r="B14" s="58">
        <f>IF($C14="","",ROW()-7)</f>
        <v/>
      </c>
      <c r="C14" s="59"/>
      <c r="D14" s="14"/>
      <c r="E14" s="60"/>
      <c r="F14" s="64"/>
      <c r="G14" s="62"/>
      <c r="H14" s="60"/>
      <c r="I14" s="60"/>
      <c r="J14" s="89"/>
    </row>
    <row r="15" spans="2:10" ht="20" customHeight="1" x14ac:dyDescent="0.25">
      <c r="B15" s="65">
        <f>IF($C15="","",ROW()-7)</f>
        <v/>
      </c>
      <c r="C15" s="66"/>
      <c r="D15" s="9"/>
      <c r="E15" s="10"/>
      <c r="F15" s="69"/>
      <c r="G15" s="68"/>
      <c r="H15" s="10"/>
      <c r="I15" s="10"/>
      <c r="J15" s="90"/>
    </row>
    <row r="16" spans="2:10" ht="20" customHeight="1" x14ac:dyDescent="0.25">
      <c r="B16" s="58">
        <f>IF($C16="","",ROW()-7)</f>
        <v/>
      </c>
      <c r="C16" s="59"/>
      <c r="D16" s="14"/>
      <c r="E16" s="60"/>
      <c r="F16" s="64"/>
      <c r="G16" s="62"/>
      <c r="H16" s="60"/>
      <c r="I16" s="60"/>
      <c r="J16" s="89"/>
    </row>
    <row r="17" spans="2:10" ht="20" customHeight="1" x14ac:dyDescent="0.25">
      <c r="B17" s="65">
        <f>IF($C17="","",ROW()-7)</f>
        <v/>
      </c>
      <c r="C17" s="66"/>
      <c r="D17" s="9"/>
      <c r="E17" s="10"/>
      <c r="F17" s="69"/>
      <c r="G17" s="68"/>
      <c r="H17" s="10"/>
      <c r="I17" s="10"/>
      <c r="J17" s="90"/>
    </row>
    <row r="18" spans="2:10" ht="20" customHeight="1" x14ac:dyDescent="0.25">
      <c r="B18" s="58">
        <f>IF($C18="","",ROW()-7)</f>
        <v/>
      </c>
      <c r="C18" s="59"/>
      <c r="D18" s="14"/>
      <c r="E18" s="60"/>
      <c r="F18" s="64"/>
      <c r="G18" s="62"/>
      <c r="H18" s="60"/>
      <c r="I18" s="60"/>
      <c r="J18" s="89"/>
    </row>
    <row r="19" spans="2:10" ht="20" customHeight="1" x14ac:dyDescent="0.25">
      <c r="B19" s="65">
        <f>IF($C19="","",ROW()-7)</f>
        <v/>
      </c>
      <c r="C19" s="66"/>
      <c r="D19" s="9"/>
      <c r="E19" s="10"/>
      <c r="F19" s="69"/>
      <c r="G19" s="68"/>
      <c r="H19" s="10"/>
      <c r="I19" s="10"/>
      <c r="J19" s="90"/>
    </row>
    <row r="20" spans="2:10" ht="20" customHeight="1" x14ac:dyDescent="0.25">
      <c r="B20" s="58">
        <f>IF($C20="","",ROW()-7)</f>
        <v/>
      </c>
      <c r="C20" s="59"/>
      <c r="D20" s="14"/>
      <c r="E20" s="60"/>
      <c r="F20" s="64"/>
      <c r="G20" s="62"/>
      <c r="H20" s="60"/>
      <c r="I20" s="60"/>
      <c r="J20" s="89"/>
    </row>
    <row r="21" spans="2:10" ht="20" customHeight="1" x14ac:dyDescent="0.25">
      <c r="B21" s="65">
        <f>IF($C21="","",ROW()-7)</f>
        <v/>
      </c>
      <c r="C21" s="66"/>
      <c r="D21" s="9"/>
      <c r="E21" s="10"/>
      <c r="F21" s="69"/>
      <c r="G21" s="68"/>
      <c r="H21" s="10"/>
      <c r="I21" s="10"/>
      <c r="J21" s="90"/>
    </row>
    <row r="22" spans="2:10" ht="20" customHeight="1" x14ac:dyDescent="0.25">
      <c r="B22" s="58">
        <f>IF($C22="","",ROW()-7)</f>
        <v/>
      </c>
      <c r="C22" s="59"/>
      <c r="D22" s="14"/>
      <c r="E22" s="60"/>
      <c r="F22" s="64"/>
      <c r="G22" s="62"/>
      <c r="H22" s="60"/>
      <c r="I22" s="60"/>
      <c r="J22" s="89"/>
    </row>
    <row r="23" spans="2:10" ht="20" customHeight="1" x14ac:dyDescent="0.25">
      <c r="B23" s="65">
        <f>IF($C23="","",ROW()-7)</f>
        <v/>
      </c>
      <c r="C23" s="66"/>
      <c r="D23" s="9"/>
      <c r="E23" s="10"/>
      <c r="F23" s="69"/>
      <c r="G23" s="68"/>
      <c r="H23" s="10"/>
      <c r="I23" s="10"/>
      <c r="J23" s="90"/>
    </row>
    <row r="24" spans="2:10" ht="20" customHeight="1" x14ac:dyDescent="0.25">
      <c r="B24" s="58">
        <f>IF($C24="","",ROW()-7)</f>
        <v/>
      </c>
      <c r="C24" s="59"/>
      <c r="D24" s="14"/>
      <c r="E24" s="60"/>
      <c r="F24" s="64"/>
      <c r="G24" s="62"/>
      <c r="H24" s="60"/>
      <c r="I24" s="60"/>
      <c r="J24" s="89"/>
    </row>
    <row r="25" spans="2:10" ht="20" customHeight="1" x14ac:dyDescent="0.25">
      <c r="B25" s="65">
        <f>IF($C25="","",ROW()-7)</f>
        <v/>
      </c>
      <c r="C25" s="66"/>
      <c r="D25" s="9"/>
      <c r="E25" s="10"/>
      <c r="F25" s="69"/>
      <c r="G25" s="68"/>
      <c r="H25" s="10"/>
      <c r="I25" s="10"/>
      <c r="J25" s="90"/>
    </row>
    <row r="26" spans="2:10" ht="20" customHeight="1" x14ac:dyDescent="0.25">
      <c r="B26" s="58">
        <f>IF($C26="","",ROW()-7)</f>
        <v/>
      </c>
      <c r="C26" s="59"/>
      <c r="D26" s="14"/>
      <c r="E26" s="60"/>
      <c r="F26" s="64"/>
      <c r="G26" s="62"/>
      <c r="H26" s="60"/>
      <c r="I26" s="60"/>
      <c r="J26" s="89"/>
    </row>
    <row r="27" spans="2:10" ht="20" customHeight="1" x14ac:dyDescent="0.25">
      <c r="B27" s="65">
        <f>IF($C27="","",ROW()-7)</f>
        <v/>
      </c>
      <c r="C27" s="66"/>
      <c r="D27" s="9"/>
      <c r="E27" s="10"/>
      <c r="F27" s="69"/>
      <c r="G27" s="68"/>
      <c r="H27" s="10"/>
      <c r="I27" s="10"/>
      <c r="J27" s="90"/>
    </row>
    <row r="28" spans="2:10" ht="20" customHeight="1" x14ac:dyDescent="0.25">
      <c r="B28" s="58">
        <f>IF($C28="","",ROW()-7)</f>
        <v/>
      </c>
      <c r="C28" s="59"/>
      <c r="D28" s="14"/>
      <c r="E28" s="60"/>
      <c r="F28" s="64"/>
      <c r="G28" s="62"/>
      <c r="H28" s="60"/>
      <c r="I28" s="60"/>
      <c r="J28" s="89"/>
    </row>
    <row r="29" spans="2:10" ht="20" customHeight="1" x14ac:dyDescent="0.25">
      <c r="B29" s="65">
        <f>IF($C29="","",ROW()-7)</f>
        <v/>
      </c>
      <c r="C29" s="66"/>
      <c r="D29" s="9"/>
      <c r="E29" s="10"/>
      <c r="F29" s="69"/>
      <c r="G29" s="68"/>
      <c r="H29" s="10"/>
      <c r="I29" s="10"/>
      <c r="J29" s="90"/>
    </row>
    <row r="30" spans="2:10" ht="20" customHeight="1" x14ac:dyDescent="0.25">
      <c r="B30" s="58">
        <f>IF($C30="","",ROW()-7)</f>
        <v/>
      </c>
      <c r="C30" s="59"/>
      <c r="D30" s="14"/>
      <c r="E30" s="60"/>
      <c r="F30" s="64"/>
      <c r="G30" s="62"/>
      <c r="H30" s="60"/>
      <c r="I30" s="60"/>
      <c r="J30" s="89"/>
    </row>
    <row r="31" spans="2:10" ht="20" customHeight="1" x14ac:dyDescent="0.25">
      <c r="B31" s="65">
        <f>IF($C31="","",ROW()-7)</f>
        <v/>
      </c>
      <c r="C31" s="66"/>
      <c r="D31" s="9"/>
      <c r="E31" s="10"/>
      <c r="F31" s="69"/>
      <c r="G31" s="68"/>
      <c r="H31" s="10"/>
      <c r="I31" s="10"/>
      <c r="J31" s="90"/>
    </row>
    <row r="32" spans="2:10" ht="20" customHeight="1" x14ac:dyDescent="0.25">
      <c r="B32" s="58">
        <f>IF($C32="","",ROW()-7)</f>
        <v/>
      </c>
      <c r="C32" s="59"/>
      <c r="D32" s="14"/>
      <c r="E32" s="60"/>
      <c r="F32" s="64"/>
      <c r="G32" s="62"/>
      <c r="H32" s="60"/>
      <c r="I32" s="60"/>
      <c r="J32" s="89"/>
    </row>
    <row r="33" spans="2:10" ht="20" customHeight="1" x14ac:dyDescent="0.25">
      <c r="B33" s="65">
        <f>IF($C33="","",ROW()-7)</f>
        <v/>
      </c>
      <c r="C33" s="66"/>
      <c r="D33" s="9"/>
      <c r="E33" s="10"/>
      <c r="F33" s="69"/>
      <c r="G33" s="68"/>
      <c r="H33" s="10"/>
      <c r="I33" s="10"/>
      <c r="J33" s="90"/>
    </row>
    <row r="34" spans="2:10" ht="20" customHeight="1" x14ac:dyDescent="0.25">
      <c r="B34" s="58">
        <f>IF($C34="","",ROW()-7)</f>
        <v/>
      </c>
      <c r="C34" s="59"/>
      <c r="D34" s="14"/>
      <c r="E34" s="60"/>
      <c r="F34" s="64"/>
      <c r="G34" s="62"/>
      <c r="H34" s="60"/>
      <c r="I34" s="60"/>
      <c r="J34" s="89"/>
    </row>
    <row r="35" spans="2:10" ht="20" customHeight="1" x14ac:dyDescent="0.25">
      <c r="B35" s="65">
        <f>IF($C35="","",ROW()-7)</f>
        <v/>
      </c>
      <c r="C35" s="66"/>
      <c r="D35" s="9"/>
      <c r="E35" s="10"/>
      <c r="F35" s="69"/>
      <c r="G35" s="68"/>
      <c r="H35" s="10"/>
      <c r="I35" s="10"/>
      <c r="J35" s="90"/>
    </row>
    <row r="36" spans="2:10" ht="20" customHeight="1" x14ac:dyDescent="0.25">
      <c r="B36" s="58">
        <f>IF($C36="","",ROW()-7)</f>
        <v/>
      </c>
      <c r="C36" s="59"/>
      <c r="D36" s="14"/>
      <c r="E36" s="60"/>
      <c r="F36" s="64"/>
      <c r="G36" s="62"/>
      <c r="H36" s="60"/>
      <c r="I36" s="60"/>
      <c r="J36" s="89"/>
    </row>
    <row r="37" spans="2:10" ht="20" customHeight="1" x14ac:dyDescent="0.25">
      <c r="B37" s="65">
        <f>IF($C37="","",ROW()-7)</f>
        <v/>
      </c>
      <c r="C37" s="66"/>
      <c r="D37" s="9"/>
      <c r="E37" s="10"/>
      <c r="F37" s="69"/>
      <c r="G37" s="68"/>
      <c r="H37" s="10"/>
      <c r="I37" s="10"/>
      <c r="J37" s="90"/>
    </row>
    <row r="38" spans="2:10" ht="20" customHeight="1" x14ac:dyDescent="0.25">
      <c r="B38" s="58">
        <f>IF($C38="","",ROW()-7)</f>
        <v/>
      </c>
      <c r="C38" s="59"/>
      <c r="D38" s="14"/>
      <c r="E38" s="60"/>
      <c r="F38" s="64"/>
      <c r="G38" s="62"/>
      <c r="H38" s="60"/>
      <c r="I38" s="60"/>
      <c r="J38" s="89"/>
    </row>
    <row r="39" spans="2:10" ht="20" customHeight="1" x14ac:dyDescent="0.25">
      <c r="B39" s="65">
        <f>IF($C39="","",ROW()-7)</f>
        <v/>
      </c>
      <c r="C39" s="66"/>
      <c r="D39" s="9"/>
      <c r="E39" s="10"/>
      <c r="F39" s="69"/>
      <c r="G39" s="68"/>
      <c r="H39" s="10"/>
      <c r="I39" s="10"/>
      <c r="J39" s="90"/>
    </row>
    <row r="40" spans="2:10" ht="20" customHeight="1" x14ac:dyDescent="0.25">
      <c r="B40" s="58">
        <f>IF($C40="","",ROW()-7)</f>
        <v/>
      </c>
      <c r="C40" s="59"/>
      <c r="D40" s="14"/>
      <c r="E40" s="60"/>
      <c r="F40" s="64"/>
      <c r="G40" s="62"/>
      <c r="H40" s="60"/>
      <c r="I40" s="60"/>
      <c r="J40" s="89"/>
    </row>
    <row r="41" spans="2:10" ht="20" customHeight="1" x14ac:dyDescent="0.25">
      <c r="B41" s="65">
        <f>IF($C41="","",ROW()-7)</f>
        <v/>
      </c>
      <c r="C41" s="66"/>
      <c r="D41" s="9"/>
      <c r="E41" s="10"/>
      <c r="F41" s="69"/>
      <c r="G41" s="68"/>
      <c r="H41" s="10"/>
      <c r="I41" s="10"/>
      <c r="J41" s="90"/>
    </row>
    <row r="42" spans="2:10" ht="20" customHeight="1" x14ac:dyDescent="0.25">
      <c r="B42" s="58">
        <f>IF($C42="","",ROW()-7)</f>
        <v/>
      </c>
      <c r="C42" s="59"/>
      <c r="D42" s="14"/>
      <c r="E42" s="60"/>
      <c r="F42" s="64"/>
      <c r="G42" s="62"/>
      <c r="H42" s="60"/>
      <c r="I42" s="60"/>
      <c r="J42" s="89"/>
    </row>
    <row r="43" spans="2:10" ht="20" customHeight="1" x14ac:dyDescent="0.25">
      <c r="B43" s="65">
        <f>IF($C43="","",ROW()-7)</f>
        <v/>
      </c>
      <c r="C43" s="66"/>
      <c r="D43" s="9"/>
      <c r="E43" s="10"/>
      <c r="F43" s="69"/>
      <c r="G43" s="68"/>
      <c r="H43" s="10"/>
      <c r="I43" s="10"/>
      <c r="J43" s="90"/>
    </row>
    <row r="44" spans="2:10" ht="20" customHeight="1" x14ac:dyDescent="0.25">
      <c r="B44" s="58">
        <f>IF($C44="","",ROW()-7)</f>
        <v/>
      </c>
      <c r="C44" s="59"/>
      <c r="D44" s="14"/>
      <c r="E44" s="60"/>
      <c r="F44" s="64"/>
      <c r="G44" s="62"/>
      <c r="H44" s="60"/>
      <c r="I44" s="60"/>
      <c r="J44" s="89"/>
    </row>
    <row r="45" spans="2:10" ht="20" customHeight="1" x14ac:dyDescent="0.25">
      <c r="B45" s="65">
        <f>IF($C45="","",ROW()-7)</f>
        <v/>
      </c>
      <c r="C45" s="66"/>
      <c r="D45" s="9"/>
      <c r="E45" s="10"/>
      <c r="F45" s="69"/>
      <c r="G45" s="68"/>
      <c r="H45" s="10"/>
      <c r="I45" s="10"/>
      <c r="J45" s="90"/>
    </row>
    <row r="46" spans="2:10" ht="20" customHeight="1" x14ac:dyDescent="0.25">
      <c r="B46" s="58">
        <f>IF($C46="","",ROW()-7)</f>
        <v/>
      </c>
      <c r="C46" s="59"/>
      <c r="D46" s="14"/>
      <c r="E46" s="60"/>
      <c r="F46" s="64"/>
      <c r="G46" s="62"/>
      <c r="H46" s="60"/>
      <c r="I46" s="60"/>
      <c r="J46" s="89"/>
    </row>
    <row r="47" spans="2:10" ht="20" customHeight="1" x14ac:dyDescent="0.25">
      <c r="B47" s="65">
        <f>IF($C47="","",ROW()-7)</f>
        <v/>
      </c>
      <c r="C47" s="66"/>
      <c r="D47" s="9"/>
      <c r="E47" s="10"/>
      <c r="F47" s="69"/>
      <c r="G47" s="68"/>
      <c r="H47" s="10"/>
      <c r="I47" s="10"/>
      <c r="J47" s="90"/>
    </row>
    <row r="48" spans="2:10" ht="20" customHeight="1" x14ac:dyDescent="0.25">
      <c r="B48" s="58">
        <f>IF($C48="","",ROW()-7)</f>
        <v/>
      </c>
      <c r="C48" s="59"/>
      <c r="D48" s="14"/>
      <c r="E48" s="60"/>
      <c r="F48" s="64"/>
      <c r="G48" s="62"/>
      <c r="H48" s="60"/>
      <c r="I48" s="60"/>
      <c r="J48" s="89"/>
    </row>
    <row r="49" spans="2:10" ht="20" customHeight="1" x14ac:dyDescent="0.25">
      <c r="B49" s="65">
        <f>IF($C49="","",ROW()-7)</f>
        <v/>
      </c>
      <c r="C49" s="66"/>
      <c r="D49" s="9"/>
      <c r="E49" s="10"/>
      <c r="F49" s="69"/>
      <c r="G49" s="68"/>
      <c r="H49" s="10"/>
      <c r="I49" s="10"/>
      <c r="J49" s="90"/>
    </row>
    <row r="50" spans="2:10" ht="20" customHeight="1" x14ac:dyDescent="0.25">
      <c r="B50" s="58">
        <f>IF($C50="","",ROW()-7)</f>
        <v/>
      </c>
      <c r="C50" s="59"/>
      <c r="D50" s="14"/>
      <c r="E50" s="60"/>
      <c r="F50" s="64"/>
      <c r="G50" s="62"/>
      <c r="H50" s="60"/>
      <c r="I50" s="60"/>
      <c r="J50" s="89"/>
    </row>
    <row r="51" spans="2:10" ht="20" customHeight="1" x14ac:dyDescent="0.25">
      <c r="B51" s="65">
        <f>IF($C51="","",ROW()-7)</f>
        <v/>
      </c>
      <c r="C51" s="66"/>
      <c r="D51" s="9"/>
      <c r="E51" s="10"/>
      <c r="F51" s="69"/>
      <c r="G51" s="68"/>
      <c r="H51" s="10"/>
      <c r="I51" s="10"/>
      <c r="J51" s="90"/>
    </row>
    <row r="52" spans="2:10" ht="20" customHeight="1" x14ac:dyDescent="0.25">
      <c r="B52" s="58">
        <f>IF($C52="","",ROW()-7)</f>
        <v/>
      </c>
      <c r="C52" s="59"/>
      <c r="D52" s="14"/>
      <c r="E52" s="60"/>
      <c r="F52" s="64"/>
      <c r="G52" s="62"/>
      <c r="H52" s="60"/>
      <c r="I52" s="60"/>
      <c r="J52" s="89"/>
    </row>
    <row r="53" spans="2:10" ht="20" customHeight="1" x14ac:dyDescent="0.25">
      <c r="B53" s="65">
        <f>IF($C53="","",ROW()-7)</f>
        <v/>
      </c>
      <c r="C53" s="66"/>
      <c r="D53" s="9"/>
      <c r="E53" s="10"/>
      <c r="F53" s="69"/>
      <c r="G53" s="68"/>
      <c r="H53" s="10"/>
      <c r="I53" s="10"/>
      <c r="J53" s="90"/>
    </row>
    <row r="54" spans="2:10" ht="20" customHeight="1" x14ac:dyDescent="0.25">
      <c r="B54" s="58">
        <f>IF($C54="","",ROW()-7)</f>
        <v/>
      </c>
      <c r="C54" s="59"/>
      <c r="D54" s="14"/>
      <c r="E54" s="60"/>
      <c r="F54" s="64"/>
      <c r="G54" s="62"/>
      <c r="H54" s="60"/>
      <c r="I54" s="60"/>
      <c r="J54" s="89"/>
    </row>
    <row r="55" spans="2:10" ht="20" customHeight="1" x14ac:dyDescent="0.25">
      <c r="B55" s="65">
        <f>IF($C55="","",ROW()-7)</f>
        <v/>
      </c>
      <c r="C55" s="66"/>
      <c r="D55" s="9"/>
      <c r="E55" s="10"/>
      <c r="F55" s="69"/>
      <c r="G55" s="68"/>
      <c r="H55" s="10"/>
      <c r="I55" s="10"/>
      <c r="J55" s="90"/>
    </row>
    <row r="56" spans="2:10" ht="20" customHeight="1" x14ac:dyDescent="0.25">
      <c r="B56" s="58">
        <f>IF($C56="","",ROW()-7)</f>
        <v/>
      </c>
      <c r="C56" s="59"/>
      <c r="D56" s="14"/>
      <c r="E56" s="60"/>
      <c r="F56" s="64"/>
      <c r="G56" s="62"/>
      <c r="H56" s="60"/>
      <c r="I56" s="60"/>
      <c r="J56" s="89"/>
    </row>
    <row r="57" spans="2:10" ht="20" customHeight="1" x14ac:dyDescent="0.25">
      <c r="B57" s="65">
        <f>IF($C57="","",ROW()-7)</f>
        <v/>
      </c>
      <c r="C57" s="66"/>
      <c r="D57" s="9"/>
      <c r="E57" s="10"/>
      <c r="F57" s="69"/>
      <c r="G57" s="68"/>
      <c r="H57" s="10"/>
      <c r="I57" s="10"/>
      <c r="J57" s="90"/>
    </row>
    <row r="58" spans="2:10" ht="20" customHeight="1" x14ac:dyDescent="0.25">
      <c r="B58" s="58">
        <f>IF($C58="","",ROW()-7)</f>
        <v/>
      </c>
      <c r="C58" s="59"/>
      <c r="D58" s="14"/>
      <c r="E58" s="60"/>
      <c r="F58" s="64"/>
      <c r="G58" s="62"/>
      <c r="H58" s="60"/>
      <c r="I58" s="60"/>
      <c r="J58" s="89"/>
    </row>
    <row r="59" spans="2:10" ht="20" customHeight="1" x14ac:dyDescent="0.25">
      <c r="B59" s="65">
        <f>IF($C59="","",ROW()-7)</f>
        <v/>
      </c>
      <c r="C59" s="66"/>
      <c r="D59" s="9"/>
      <c r="E59" s="10"/>
      <c r="F59" s="69"/>
      <c r="G59" s="68"/>
      <c r="H59" s="10"/>
      <c r="I59" s="10"/>
      <c r="J59" s="90"/>
    </row>
    <row r="60" spans="2:10" ht="20" customHeight="1" x14ac:dyDescent="0.25">
      <c r="B60" s="58">
        <f>IF($C60="","",ROW()-7)</f>
        <v/>
      </c>
      <c r="C60" s="59"/>
      <c r="D60" s="14"/>
      <c r="E60" s="60"/>
      <c r="F60" s="64"/>
      <c r="G60" s="62"/>
      <c r="H60" s="60"/>
      <c r="I60" s="60"/>
      <c r="J60" s="89"/>
    </row>
    <row r="61" spans="2:10" ht="20" customHeight="1" x14ac:dyDescent="0.25">
      <c r="B61" s="65">
        <f>IF($C61="","",ROW()-7)</f>
        <v/>
      </c>
      <c r="C61" s="66"/>
      <c r="D61" s="9"/>
      <c r="E61" s="10"/>
      <c r="F61" s="69"/>
      <c r="G61" s="68"/>
      <c r="H61" s="10"/>
      <c r="I61" s="10"/>
      <c r="J61" s="90"/>
    </row>
    <row r="62" spans="2:10" ht="20" customHeight="1" x14ac:dyDescent="0.25">
      <c r="B62" s="58">
        <f>IF($C62="","",ROW()-7)</f>
        <v/>
      </c>
      <c r="C62" s="59"/>
      <c r="D62" s="14"/>
      <c r="E62" s="60"/>
      <c r="F62" s="64"/>
      <c r="G62" s="62"/>
      <c r="H62" s="60"/>
      <c r="I62" s="60"/>
      <c r="J62" s="89"/>
    </row>
    <row r="63" spans="2:10" ht="20" customHeight="1" x14ac:dyDescent="0.25">
      <c r="B63" s="65">
        <f>IF($C63="","",ROW()-7)</f>
        <v/>
      </c>
      <c r="C63" s="66"/>
      <c r="D63" s="9"/>
      <c r="E63" s="10"/>
      <c r="F63" s="69"/>
      <c r="G63" s="68"/>
      <c r="H63" s="10"/>
      <c r="I63" s="10"/>
      <c r="J63" s="90"/>
    </row>
    <row r="64" spans="2:10" ht="20" customHeight="1" x14ac:dyDescent="0.25">
      <c r="B64" s="58">
        <f>IF($C64="","",ROW()-7)</f>
        <v/>
      </c>
      <c r="C64" s="59"/>
      <c r="D64" s="14"/>
      <c r="E64" s="60"/>
      <c r="F64" s="64"/>
      <c r="G64" s="62"/>
      <c r="H64" s="60"/>
      <c r="I64" s="60"/>
      <c r="J64" s="89"/>
    </row>
    <row r="65" spans="2:10" ht="20" customHeight="1" x14ac:dyDescent="0.25">
      <c r="B65" s="65">
        <f>IF($C65="","",ROW()-7)</f>
        <v/>
      </c>
      <c r="C65" s="66"/>
      <c r="D65" s="9"/>
      <c r="E65" s="10"/>
      <c r="F65" s="69"/>
      <c r="G65" s="68"/>
      <c r="H65" s="10"/>
      <c r="I65" s="10"/>
      <c r="J65" s="90"/>
    </row>
    <row r="66" spans="2:10" ht="20" customHeight="1" x14ac:dyDescent="0.25">
      <c r="B66" s="58">
        <f>IF($C66="","",ROW()-7)</f>
        <v/>
      </c>
      <c r="C66" s="59"/>
      <c r="D66" s="14"/>
      <c r="E66" s="60"/>
      <c r="F66" s="64"/>
      <c r="G66" s="62"/>
      <c r="H66" s="60"/>
      <c r="I66" s="60"/>
      <c r="J66" s="89"/>
    </row>
    <row r="67" spans="2:10" ht="20" customHeight="1" x14ac:dyDescent="0.25">
      <c r="B67" s="65">
        <f>IF($C67="","",ROW()-7)</f>
        <v/>
      </c>
      <c r="C67" s="66"/>
      <c r="D67" s="9"/>
      <c r="E67" s="10"/>
      <c r="F67" s="69"/>
      <c r="G67" s="68"/>
      <c r="H67" s="10"/>
      <c r="I67" s="10"/>
      <c r="J67" s="90"/>
    </row>
    <row r="68" spans="2:10" ht="24" customHeight="1" x14ac:dyDescent="0.25">
      <c r="B68" s="70" t="s">
        <v>299</v>
      </c>
      <c r="C68" s="70"/>
      <c r="D68" s="70"/>
      <c r="E68" s="70"/>
      <c r="F68" s="70"/>
      <c r="G68" s="72">
        <f>SUM('💸 Expenses'!$G$8:$G$67)</f>
        <v>0</v>
      </c>
      <c r="H68" s="71"/>
      <c r="I68" s="71"/>
      <c r="J68" s="71"/>
    </row>
    <row r="70" spans="2:10" ht="22" customHeight="1" x14ac:dyDescent="0.25">
      <c r="B70" s="15" t="s">
        <v>219</v>
      </c>
      <c r="C70" s="15"/>
      <c r="D70" s="15"/>
      <c r="E70" s="15"/>
      <c r="F70" s="15"/>
      <c r="G70" s="15"/>
      <c r="H70" s="15"/>
      <c r="I70" s="15"/>
    </row>
    <row r="71" spans="2:10" ht="51.8" customHeight="1" x14ac:dyDescent="0.25">
      <c r="B71" s="22" t="s">
        <v>300</v>
      </c>
      <c r="C71" s="22"/>
      <c r="D71" s="22"/>
      <c r="E71" s="22"/>
      <c r="F71" s="22"/>
      <c r="G71" s="22"/>
      <c r="H71" s="22"/>
      <c r="I71" s="22"/>
    </row>
    <row r="75" spans="2:10" x14ac:dyDescent="0.25">
      <c r="B75" s="23" t="s">
        <v>202</v>
      </c>
      <c r="C75" s="23"/>
      <c r="D75" s="24" t="s">
        <v>164</v>
      </c>
      <c r="E75" s="24"/>
      <c r="F75" s="25" t="s">
        <v>165</v>
      </c>
      <c r="G75" s="25"/>
      <c r="H75" s="26" t="s">
        <v>17</v>
      </c>
      <c r="I75" s="26"/>
    </row>
    <row r="76" spans="2:10" ht="24" customHeight="1" x14ac:dyDescent="0.25">
      <c r="B76" s="27" t="s">
        <v>166</v>
      </c>
      <c r="C76" s="27"/>
      <c r="D76" s="28" t="s">
        <v>167</v>
      </c>
      <c r="E76" s="28"/>
      <c r="F76" s="29" t="s">
        <v>168</v>
      </c>
      <c r="G76" s="29"/>
      <c r="H76" s="30" t="s">
        <v>169</v>
      </c>
      <c r="I76" s="30"/>
    </row>
    <row r="77" spans="2:10" ht="24" customHeight="1" x14ac:dyDescent="0.25">
      <c r="B77" s="24" t="s">
        <v>301</v>
      </c>
      <c r="C77" s="24"/>
      <c r="D77" s="26" t="s">
        <v>171</v>
      </c>
      <c r="E77" s="26"/>
      <c r="F77" s="23" t="s">
        <v>172</v>
      </c>
      <c r="G77" s="23"/>
      <c r="H77" s="24" t="s">
        <v>173</v>
      </c>
      <c r="I77" s="24"/>
    </row>
    <row r="78" spans="2:10" ht="24" customHeight="1" x14ac:dyDescent="0.25">
      <c r="B78" s="25" t="s">
        <v>174</v>
      </c>
      <c r="C78" s="25"/>
      <c r="D78" s="26" t="s">
        <v>175</v>
      </c>
      <c r="E78" s="26"/>
      <c r="F78" s="27" t="s">
        <v>176</v>
      </c>
      <c r="G78" s="27"/>
      <c r="H78" s="28" t="s">
        <v>177</v>
      </c>
      <c r="I78" s="28"/>
    </row>
    <row r="79" spans="2:10" ht="24" customHeight="1" x14ac:dyDescent="0.25">
      <c r="B79" s="29" t="s">
        <v>178</v>
      </c>
      <c r="C79" s="29"/>
      <c r="D79" s="30" t="s">
        <v>179</v>
      </c>
      <c r="E79" s="30"/>
      <c r="F79" s="24" t="s">
        <v>180</v>
      </c>
      <c r="G79" s="24"/>
    </row>
  </sheetData>
  <mergeCells count="29">
    <mergeCell ref="B2:G2"/>
    <mergeCell ref="B3:G3"/>
    <mergeCell ref="H3:J3"/>
    <mergeCell ref="B5:C5"/>
    <mergeCell ref="D5:E5"/>
    <mergeCell ref="F5:G5"/>
    <mergeCell ref="H5:I5"/>
    <mergeCell ref="B68:F68"/>
    <mergeCell ref="B70:I70"/>
    <mergeCell ref="B71:I71"/>
    <mergeCell ref="B75:C75"/>
    <mergeCell ref="D75:E75"/>
    <mergeCell ref="F75:G75"/>
    <mergeCell ref="H75:I75"/>
    <mergeCell ref="B76:C76"/>
    <mergeCell ref="D76:E76"/>
    <mergeCell ref="F76:G76"/>
    <mergeCell ref="H76:I76"/>
    <mergeCell ref="B77:C77"/>
    <mergeCell ref="D77:E77"/>
    <mergeCell ref="F77:G77"/>
    <mergeCell ref="H77:I77"/>
    <mergeCell ref="B78:C78"/>
    <mergeCell ref="D78:E78"/>
    <mergeCell ref="F78:G78"/>
    <mergeCell ref="H78:I78"/>
    <mergeCell ref="B79:C79"/>
    <mergeCell ref="D79:E79"/>
    <mergeCell ref="F79:G79"/>
  </mergeCells>
  <conditionalFormatting sqref="E8:E67">
    <cfRule type="expression" dxfId="11" priority="2">
      <formula>AND($E8&lt;&gt;"",OR($E8="Ingredients",$E8="Packaging"))</formula>
    </cfRule>
  </conditionalFormatting>
  <conditionalFormatting sqref="G8:G67">
    <cfRule type="dataBar" priority="3">
      <dataBar>
        <cfvo type="num" val="0"/>
        <cfvo type="num" val="1"/>
        <color rgb="FFB23A3A"/>
      </dataBar>
      <extLst>
        <ext xmlns:x14="http://schemas.microsoft.com/office/spreadsheetml/2009/9/main" uri="{B025F937-C7B1-47D3-B67F-A62EFF666E3E}">
          <x14:id>{DA7ABA51-AAAA-BBBB-000A-000000000001}</x14:id>
        </ext>
      </extLst>
    </cfRule>
  </conditionalFormatting>
  <conditionalFormatting sqref="J8:J67">
    <cfRule type="expression" dxfId="10" priority="1">
      <formula>$J8="✓"</formula>
    </cfRule>
  </conditionalFormatting>
  <dataValidations count="6">
    <dataValidation type="list" allowBlank="1" showInputMessage="1" promptTitle="Category" prompt="Ingredients, Staff / Labor... (edit on Setup)." sqref="E8:E67">
      <formula1>ExpenseCategories</formula1>
    </dataValidation>
    <dataValidation type="list" allowBlank="1" showInputMessage="1" promptTitle="Paid by" prompt="Cash, Bank Transfer... (edit on Setup)." sqref="H8:H67">
      <formula1>PaymentMethods</formula1>
    </dataValidation>
    <dataValidation type="list" allowBlank="1" showInputMessage="1" showErrorMessage="1" promptTitle="Event" prompt="Tag the event this cost belongs to (optional but gold at year-end)." sqref="I8:I67">
      <formula1>EventList</formula1>
    </dataValidation>
    <dataValidation type="date" errorStyle="warning" allowBlank="1" showInputMessage="1" showErrorMessage="1" errorTitle="That's not a date" error="Enter a date between 2000 and 2100." promptTitle="Date" prompt="Type a date, or pick one from the calendar picker." sqref="C8:C67">
      <formula1>36526</formula1>
      <formula2>73415</formula2>
    </dataValidation>
    <dataValidation type="decimal" operator="greaterThanOrEqual" errorStyle="warning" allowBlank="1" showInputMessage="1" showErrorMessage="1" errorTitle="Enter money" error="Please enter a positive number (no currency symbol) - the symbol comes from Setup." sqref="G8:G67">
      <formula1>0</formula1>
    </dataValidation>
    <dataValidation type="list" allowBlank="1" showInputMessage="1" promptTitle="Tick it off" prompt="Pick ✓ from the dropdown to tick it off (leave blank for not yet)." sqref="J8:J67">
      <formula1>Tick</formula1>
    </dataValidation>
  </dataValidations>
  <hyperlinks>
    <hyperlink ref="H3" location="'📊 Dashboard'!A1" display="🏠  Back to Dashboard"/>
    <hyperlink ref="B75" location="'⚙️ Setup'!A1" display="Setup"/>
    <hyperlink ref="D75" location="'📊 Dashboard'!A1" display="🏠 Home"/>
    <hyperlink ref="F75" location="'👥 Clients'!A1" display="Clients"/>
    <hyperlink ref="H75" location="'📅 Events'!A1" display="Events"/>
    <hyperlink ref="B76" location="'🧮 Quote Calculator'!A1" display="Quote"/>
    <hyperlink ref="D76" location="'🍽️ Menu Costing'!A1" display="Menu"/>
    <hyperlink ref="F76" location="'📦 Inventory'!A1" display="Stock"/>
    <hyperlink ref="H76" location="'🛒 Shopping List'!A1" display="Shop"/>
    <hyperlink ref="B77" location="'💸 Expenses'!A1" display="▶ Expenses"/>
    <hyperlink ref="D77" location="'💰 Payments'!A1" display="Payments"/>
    <hyperlink ref="F77" location="'👷 Staff &amp; Labor'!A1" display="Staff"/>
    <hyperlink ref="H77" location="'🍳 Equipment'!A1" display="Equip"/>
    <hyperlink ref="B78" location="'🚚 Suppliers'!A1" display="Suppliers"/>
    <hyperlink ref="D78" location="'📆 Event Calendar'!A1" display="Calendar"/>
    <hyperlink ref="F78" location="'📈 P&amp;L &amp; Reports'!A1" display="P&amp;L"/>
    <hyperlink ref="H78" location="'🧾 Tax Tracker'!A1" display="Tax"/>
    <hyperlink ref="B79" location="'✅ Checklists'!A1" display="Checks"/>
    <hyperlink ref="D79" location="'🖨️ Invoice &amp; Proposal'!A1" display="Invoice"/>
    <hyperlink ref="F79"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extLst>
    <ext xmlns:x14="http://schemas.microsoft.com/office/spreadsheetml/2009/9/main" uri="{78C0D931-6437-407d-A8EE-F0AAD7539E65}">
      <x14:conditionalFormattings>
        <x14:conditionalFormatting xmlns:xm="http://schemas.microsoft.com/office/excel/2006/main">
          <x14:cfRule type="dataBar" id="{DA7ABA51-AAAA-BBBB-000A-000000000001}">
            <x14:dataBar minLength="0" maxLength="100" border="1" gradient="0" negativeBarBorderColorSameAsPositive="0">
              <x14:cfvo type="num">
                <xm:f>0</xm:f>
              </x14:cfvo>
              <x14:cfvo type="num">
                <xm:f>1</xm:f>
              </x14:cfvo>
              <x14:borderColor rgb="FFB23A3A"/>
              <x14:negativeFillColor rgb="FFFF0000"/>
              <x14:negativeBorderColor rgb="FFFF0000"/>
              <x14:axisColor rgb="FF000000"/>
            </x14:dataBar>
          </x14:cfRule>
          <xm:sqref>G8:G67</xm:sqref>
        </x14:conditionalFormatting>
      </x14:conditionalFormattings>
    </ext>
  </extLst>
</worksheet>
</file>

<file path=xl/worksheets/sheet11.xml><?xml version="1.0" encoding="utf-8"?>
<worksheet xmlns="http://schemas.openxmlformats.org/spreadsheetml/2006/main" xmlns:r="http://schemas.openxmlformats.org/officeDocument/2006/relationships">
  <sheetPr>
    <tabColor rgb="FF3E7C4F"/>
    <pageSetUpPr fitToPage="1"/>
  </sheetPr>
  <dimension ref="A1:M98"/>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RowHeight="15"/>
  <cols>
    <col min="1" max="1" width="2.85546875" customWidth="1"/>
    <col min="2" max="2" width="5.28515625" customWidth="1"/>
    <col min="3" max="3" width="12.7109375" customWidth="1"/>
    <col min="4" max="4" width="20.7109375" customWidth="1"/>
    <col min="5" max="6" width="12.7109375" customWidth="1"/>
    <col min="7" max="9" width="11.7109375" customWidth="1"/>
    <col min="10" max="12" width="12.7109375" customWidth="1"/>
    <col min="13" max="13" width="15.7109375" customWidth="1"/>
  </cols>
  <sheetData>
    <row r="1" spans="2:13" ht="7" customHeight="1"/>
    <row r="2" spans="2:13" ht="30" customHeight="1">
      <c r="B2" s="3" t="s">
        <v>171</v>
      </c>
      <c r="C2" s="3"/>
      <c r="D2" s="3"/>
      <c r="E2" s="3"/>
      <c r="F2" s="3"/>
      <c r="G2" s="3"/>
      <c r="H2" s="3"/>
      <c r="I2" s="3"/>
      <c r="J2" s="3"/>
      <c r="K2" s="4"/>
      <c r="L2" s="4"/>
      <c r="M2" s="4"/>
    </row>
    <row r="3" spans="2:13" ht="18" customHeight="1">
      <c r="B3" s="5" t="s">
        <v>302</v>
      </c>
      <c r="C3" s="5"/>
      <c r="D3" s="5"/>
      <c r="E3" s="5"/>
      <c r="F3" s="5"/>
      <c r="G3" s="5"/>
      <c r="H3" s="5"/>
      <c r="I3" s="5"/>
      <c r="J3" s="5"/>
      <c r="K3" s="6" t="s">
        <v>97</v>
      </c>
      <c r="L3" s="6"/>
      <c r="M3" s="6"/>
    </row>
    <row r="4" spans="2:13" ht="7" customHeight="1"/>
    <row r="5" spans="2:13" ht="26" customHeight="1">
      <c r="B5" s="50" t="str">
        <f>"Invoiced: "&amp;Currency&amp;TEXT(SUM('💰 Payments'!$F$8:$F$67),"#,##0")</f>
        <v>Invoiced: $0</v>
      </c>
      <c r="C5" s="50"/>
      <c r="D5" s="52" t="str">
        <f>"Received: "&amp;Currency&amp;TEXT('_Data'!$AF$2,"#,##0")</f>
        <v>Received: $0</v>
      </c>
      <c r="E5" s="52"/>
      <c r="F5" s="53" t="str">
        <f>"Outstanding: "&amp;Currency&amp;TEXT('_Data'!$AF$14,"#,##0")</f>
        <v>Outstanding: $0</v>
      </c>
      <c r="G5" s="53"/>
      <c r="H5" s="83" t="str">
        <f>"Overdue: "&amp;'_Data'!$AF$15&amp;IF('_Data'!$AF$15=1," invoice"," invoices")</f>
        <v>Overdue: 0 invoices</v>
      </c>
      <c r="I5" s="83"/>
    </row>
    <row r="6" spans="2:13" ht="7" customHeight="1"/>
    <row r="7" spans="2:13" ht="36" customHeight="1">
      <c r="B7" s="2" t="s">
        <v>205</v>
      </c>
      <c r="C7" s="54" t="s">
        <v>303</v>
      </c>
      <c r="D7" s="2" t="s">
        <v>49</v>
      </c>
      <c r="E7" s="55" t="s">
        <v>240</v>
      </c>
      <c r="F7" s="2" t="s">
        <v>304</v>
      </c>
      <c r="G7" s="56" t="s">
        <v>214</v>
      </c>
      <c r="H7" s="2" t="s">
        <v>305</v>
      </c>
      <c r="I7" s="2" t="s">
        <v>306</v>
      </c>
      <c r="J7" s="2" t="s">
        <v>50</v>
      </c>
      <c r="K7" s="2" t="s">
        <v>57</v>
      </c>
      <c r="L7" s="57" t="s">
        <v>307</v>
      </c>
      <c r="M7" s="2" t="s">
        <v>42</v>
      </c>
    </row>
    <row r="8" spans="2:13" ht="20" customHeight="1">
      <c r="B8" s="58">
        <f>IF($C8="","",ROW()-7)</f>
        <v/>
      </c>
      <c r="C8" s="60"/>
      <c r="D8" s="14"/>
      <c r="E8" s="59"/>
      <c r="F8" s="62"/>
      <c r="G8" s="62"/>
      <c r="H8" s="62"/>
      <c r="I8" s="62"/>
      <c r="J8" s="63">
        <f>IF($F8="","",ROUND($G8+$H8+$I8,2))</f>
        <v/>
      </c>
      <c r="K8" s="63">
        <f>IF($F8="","",$F8-$J8)</f>
        <v/>
      </c>
      <c r="L8" s="59"/>
      <c r="M8" s="86">
        <f>IF($F8="","",IF($K8&lt;=0,"🟢 Paid in full",IF($J8&gt;0,"🟠 Partial","🔴 Unpaid")))</f>
        <v/>
      </c>
    </row>
    <row r="9" spans="2:13" ht="20" customHeight="1">
      <c r="B9" s="65">
        <f>IF($C9="","",ROW()-7)</f>
        <v/>
      </c>
      <c r="C9" s="10"/>
      <c r="D9" s="9"/>
      <c r="E9" s="66"/>
      <c r="F9" s="68"/>
      <c r="G9" s="68"/>
      <c r="H9" s="68"/>
      <c r="I9" s="68"/>
      <c r="J9" s="63">
        <f>IF($F9="","",ROUND($G9+$H9+$I9,2))</f>
        <v/>
      </c>
      <c r="K9" s="63">
        <f>IF($F9="","",$F9-$J9)</f>
        <v/>
      </c>
      <c r="L9" s="66"/>
      <c r="M9" s="86">
        <f>IF($F9="","",IF($K9&lt;=0,"🟢 Paid in full",IF($J9&gt;0,"🟠 Partial","🔴 Unpaid")))</f>
        <v/>
      </c>
    </row>
    <row r="10" spans="2:13" ht="20" customHeight="1">
      <c r="B10" s="58">
        <f>IF($C10="","",ROW()-7)</f>
        <v/>
      </c>
      <c r="C10" s="60"/>
      <c r="D10" s="14"/>
      <c r="E10" s="59"/>
      <c r="F10" s="62"/>
      <c r="G10" s="62"/>
      <c r="H10" s="62"/>
      <c r="I10" s="62"/>
      <c r="J10" s="63">
        <f>IF($F10="","",ROUND($G10+$H10+$I10,2))</f>
        <v/>
      </c>
      <c r="K10" s="63">
        <f>IF($F10="","",$F10-$J10)</f>
        <v/>
      </c>
      <c r="L10" s="59"/>
      <c r="M10" s="86">
        <f>IF($F10="","",IF($K10&lt;=0,"🟢 Paid in full",IF($J10&gt;0,"🟠 Partial","🔴 Unpaid")))</f>
        <v/>
      </c>
    </row>
    <row r="11" spans="2:13" ht="20" customHeight="1">
      <c r="B11" s="65">
        <f>IF($C11="","",ROW()-7)</f>
        <v/>
      </c>
      <c r="C11" s="10"/>
      <c r="D11" s="9"/>
      <c r="E11" s="66"/>
      <c r="F11" s="68"/>
      <c r="G11" s="68"/>
      <c r="H11" s="68"/>
      <c r="I11" s="68"/>
      <c r="J11" s="63">
        <f>IF($F11="","",ROUND($G11+$H11+$I11,2))</f>
        <v/>
      </c>
      <c r="K11" s="63">
        <f>IF($F11="","",$F11-$J11)</f>
        <v/>
      </c>
      <c r="L11" s="66"/>
      <c r="M11" s="86">
        <f>IF($F11="","",IF($K11&lt;=0,"🟢 Paid in full",IF($J11&gt;0,"🟠 Partial","🔴 Unpaid")))</f>
        <v/>
      </c>
    </row>
    <row r="12" spans="2:13" ht="20" customHeight="1">
      <c r="B12" s="58">
        <f>IF($C12="","",ROW()-7)</f>
        <v/>
      </c>
      <c r="C12" s="60"/>
      <c r="D12" s="14"/>
      <c r="E12" s="59"/>
      <c r="F12" s="62"/>
      <c r="G12" s="62"/>
      <c r="H12" s="62"/>
      <c r="I12" s="62"/>
      <c r="J12" s="63">
        <f>IF($F12="","",ROUND($G12+$H12+$I12,2))</f>
        <v/>
      </c>
      <c r="K12" s="63">
        <f>IF($F12="","",$F12-$J12)</f>
        <v/>
      </c>
      <c r="L12" s="59"/>
      <c r="M12" s="86">
        <f>IF($F12="","",IF($K12&lt;=0,"🟢 Paid in full",IF($J12&gt;0,"🟠 Partial","🔴 Unpaid")))</f>
        <v/>
      </c>
    </row>
    <row r="13" spans="2:13" ht="20" customHeight="1">
      <c r="B13" s="65">
        <f>IF($C13="","",ROW()-7)</f>
        <v/>
      </c>
      <c r="C13" s="10"/>
      <c r="D13" s="9"/>
      <c r="E13" s="66"/>
      <c r="F13" s="68"/>
      <c r="G13" s="68"/>
      <c r="H13" s="68"/>
      <c r="I13" s="68"/>
      <c r="J13" s="63">
        <f>IF($F13="","",ROUND($G13+$H13+$I13,2))</f>
        <v/>
      </c>
      <c r="K13" s="63">
        <f>IF($F13="","",$F13-$J13)</f>
        <v/>
      </c>
      <c r="L13" s="66"/>
      <c r="M13" s="86">
        <f>IF($F13="","",IF($K13&lt;=0,"🟢 Paid in full",IF($J13&gt;0,"🟠 Partial","🔴 Unpaid")))</f>
        <v/>
      </c>
    </row>
    <row r="14" spans="2:13" ht="20" customHeight="1">
      <c r="B14" s="58">
        <f>IF($C14="","",ROW()-7)</f>
        <v/>
      </c>
      <c r="C14" s="60"/>
      <c r="D14" s="14"/>
      <c r="E14" s="59"/>
      <c r="F14" s="62"/>
      <c r="G14" s="62"/>
      <c r="H14" s="62"/>
      <c r="I14" s="62"/>
      <c r="J14" s="63">
        <f>IF($F14="","",ROUND($G14+$H14+$I14,2))</f>
        <v/>
      </c>
      <c r="K14" s="63">
        <f>IF($F14="","",$F14-$J14)</f>
        <v/>
      </c>
      <c r="L14" s="59"/>
      <c r="M14" s="86">
        <f>IF($F14="","",IF($K14&lt;=0,"🟢 Paid in full",IF($J14&gt;0,"🟠 Partial","🔴 Unpaid")))</f>
        <v/>
      </c>
    </row>
    <row r="15" spans="2:13" ht="20" customHeight="1">
      <c r="B15" s="65">
        <f>IF($C15="","",ROW()-7)</f>
        <v/>
      </c>
      <c r="C15" s="10"/>
      <c r="D15" s="9"/>
      <c r="E15" s="66"/>
      <c r="F15" s="68"/>
      <c r="G15" s="68"/>
      <c r="H15" s="68"/>
      <c r="I15" s="68"/>
      <c r="J15" s="63">
        <f>IF($F15="","",ROUND($G15+$H15+$I15,2))</f>
        <v/>
      </c>
      <c r="K15" s="63">
        <f>IF($F15="","",$F15-$J15)</f>
        <v/>
      </c>
      <c r="L15" s="66"/>
      <c r="M15" s="86">
        <f>IF($F15="","",IF($K15&lt;=0,"🟢 Paid in full",IF($J15&gt;0,"🟠 Partial","🔴 Unpaid")))</f>
        <v/>
      </c>
    </row>
    <row r="16" spans="2:13" ht="20" customHeight="1">
      <c r="B16" s="58">
        <f>IF($C16="","",ROW()-7)</f>
        <v/>
      </c>
      <c r="C16" s="60"/>
      <c r="D16" s="14"/>
      <c r="E16" s="59"/>
      <c r="F16" s="62"/>
      <c r="G16" s="62"/>
      <c r="H16" s="62"/>
      <c r="I16" s="62"/>
      <c r="J16" s="63">
        <f>IF($F16="","",ROUND($G16+$H16+$I16,2))</f>
        <v/>
      </c>
      <c r="K16" s="63">
        <f>IF($F16="","",$F16-$J16)</f>
        <v/>
      </c>
      <c r="L16" s="59"/>
      <c r="M16" s="86">
        <f>IF($F16="","",IF($K16&lt;=0,"🟢 Paid in full",IF($J16&gt;0,"🟠 Partial","🔴 Unpaid")))</f>
        <v/>
      </c>
    </row>
    <row r="17" spans="2:13" ht="20" customHeight="1">
      <c r="B17" s="65">
        <f>IF($C17="","",ROW()-7)</f>
        <v/>
      </c>
      <c r="C17" s="10"/>
      <c r="D17" s="9"/>
      <c r="E17" s="66"/>
      <c r="F17" s="68"/>
      <c r="G17" s="68"/>
      <c r="H17" s="68"/>
      <c r="I17" s="68"/>
      <c r="J17" s="63">
        <f>IF($F17="","",ROUND($G17+$H17+$I17,2))</f>
        <v/>
      </c>
      <c r="K17" s="63">
        <f>IF($F17="","",$F17-$J17)</f>
        <v/>
      </c>
      <c r="L17" s="66"/>
      <c r="M17" s="86">
        <f>IF($F17="","",IF($K17&lt;=0,"🟢 Paid in full",IF($J17&gt;0,"🟠 Partial","🔴 Unpaid")))</f>
        <v/>
      </c>
    </row>
    <row r="18" spans="2:13" ht="20" customHeight="1">
      <c r="B18" s="58">
        <f>IF($C18="","",ROW()-7)</f>
        <v/>
      </c>
      <c r="C18" s="60"/>
      <c r="D18" s="14"/>
      <c r="E18" s="59"/>
      <c r="F18" s="62"/>
      <c r="G18" s="62"/>
      <c r="H18" s="62"/>
      <c r="I18" s="62"/>
      <c r="J18" s="63">
        <f>IF($F18="","",ROUND($G18+$H18+$I18,2))</f>
        <v/>
      </c>
      <c r="K18" s="63">
        <f>IF($F18="","",$F18-$J18)</f>
        <v/>
      </c>
      <c r="L18" s="59"/>
      <c r="M18" s="86">
        <f>IF($F18="","",IF($K18&lt;=0,"🟢 Paid in full",IF($J18&gt;0,"🟠 Partial","🔴 Unpaid")))</f>
        <v/>
      </c>
    </row>
    <row r="19" spans="2:13" ht="20" customHeight="1">
      <c r="B19" s="65">
        <f>IF($C19="","",ROW()-7)</f>
        <v/>
      </c>
      <c r="C19" s="10"/>
      <c r="D19" s="9"/>
      <c r="E19" s="66"/>
      <c r="F19" s="68"/>
      <c r="G19" s="68"/>
      <c r="H19" s="68"/>
      <c r="I19" s="68"/>
      <c r="J19" s="63">
        <f>IF($F19="","",ROUND($G19+$H19+$I19,2))</f>
        <v/>
      </c>
      <c r="K19" s="63">
        <f>IF($F19="","",$F19-$J19)</f>
        <v/>
      </c>
      <c r="L19" s="66"/>
      <c r="M19" s="86">
        <f>IF($F19="","",IF($K19&lt;=0,"🟢 Paid in full",IF($J19&gt;0,"🟠 Partial","🔴 Unpaid")))</f>
        <v/>
      </c>
    </row>
    <row r="20" spans="2:13" ht="20" customHeight="1">
      <c r="B20" s="58">
        <f>IF($C20="","",ROW()-7)</f>
        <v/>
      </c>
      <c r="C20" s="60"/>
      <c r="D20" s="14"/>
      <c r="E20" s="59"/>
      <c r="F20" s="62"/>
      <c r="G20" s="62"/>
      <c r="H20" s="62"/>
      <c r="I20" s="62"/>
      <c r="J20" s="63">
        <f>IF($F20="","",ROUND($G20+$H20+$I20,2))</f>
        <v/>
      </c>
      <c r="K20" s="63">
        <f>IF($F20="","",$F20-$J20)</f>
        <v/>
      </c>
      <c r="L20" s="59"/>
      <c r="M20" s="86">
        <f>IF($F20="","",IF($K20&lt;=0,"🟢 Paid in full",IF($J20&gt;0,"🟠 Partial","🔴 Unpaid")))</f>
        <v/>
      </c>
    </row>
    <row r="21" spans="2:13" ht="20" customHeight="1">
      <c r="B21" s="65">
        <f>IF($C21="","",ROW()-7)</f>
        <v/>
      </c>
      <c r="C21" s="10"/>
      <c r="D21" s="9"/>
      <c r="E21" s="66"/>
      <c r="F21" s="68"/>
      <c r="G21" s="68"/>
      <c r="H21" s="68"/>
      <c r="I21" s="68"/>
      <c r="J21" s="63">
        <f>IF($F21="","",ROUND($G21+$H21+$I21,2))</f>
        <v/>
      </c>
      <c r="K21" s="63">
        <f>IF($F21="","",$F21-$J21)</f>
        <v/>
      </c>
      <c r="L21" s="66"/>
      <c r="M21" s="86">
        <f>IF($F21="","",IF($K21&lt;=0,"🟢 Paid in full",IF($J21&gt;0,"🟠 Partial","🔴 Unpaid")))</f>
        <v/>
      </c>
    </row>
    <row r="22" spans="2:13" ht="20" customHeight="1">
      <c r="B22" s="58">
        <f>IF($C22="","",ROW()-7)</f>
        <v/>
      </c>
      <c r="C22" s="60"/>
      <c r="D22" s="14"/>
      <c r="E22" s="59"/>
      <c r="F22" s="62"/>
      <c r="G22" s="62"/>
      <c r="H22" s="62"/>
      <c r="I22" s="62"/>
      <c r="J22" s="63">
        <f>IF($F22="","",ROUND($G22+$H22+$I22,2))</f>
        <v/>
      </c>
      <c r="K22" s="63">
        <f>IF($F22="","",$F22-$J22)</f>
        <v/>
      </c>
      <c r="L22" s="59"/>
      <c r="M22" s="86">
        <f>IF($F22="","",IF($K22&lt;=0,"🟢 Paid in full",IF($J22&gt;0,"🟠 Partial","🔴 Unpaid")))</f>
        <v/>
      </c>
    </row>
    <row r="23" spans="2:13" ht="20" customHeight="1">
      <c r="B23" s="65">
        <f>IF($C23="","",ROW()-7)</f>
        <v/>
      </c>
      <c r="C23" s="10"/>
      <c r="D23" s="9"/>
      <c r="E23" s="66"/>
      <c r="F23" s="68"/>
      <c r="G23" s="68"/>
      <c r="H23" s="68"/>
      <c r="I23" s="68"/>
      <c r="J23" s="63">
        <f>IF($F23="","",ROUND($G23+$H23+$I23,2))</f>
        <v/>
      </c>
      <c r="K23" s="63">
        <f>IF($F23="","",$F23-$J23)</f>
        <v/>
      </c>
      <c r="L23" s="66"/>
      <c r="M23" s="86">
        <f>IF($F23="","",IF($K23&lt;=0,"🟢 Paid in full",IF($J23&gt;0,"🟠 Partial","🔴 Unpaid")))</f>
        <v/>
      </c>
    </row>
    <row r="24" spans="2:13" ht="20" customHeight="1">
      <c r="B24" s="58">
        <f>IF($C24="","",ROW()-7)</f>
        <v/>
      </c>
      <c r="C24" s="60"/>
      <c r="D24" s="14"/>
      <c r="E24" s="59"/>
      <c r="F24" s="62"/>
      <c r="G24" s="62"/>
      <c r="H24" s="62"/>
      <c r="I24" s="62"/>
      <c r="J24" s="63">
        <f>IF($F24="","",ROUND($G24+$H24+$I24,2))</f>
        <v/>
      </c>
      <c r="K24" s="63">
        <f>IF($F24="","",$F24-$J24)</f>
        <v/>
      </c>
      <c r="L24" s="59"/>
      <c r="M24" s="86">
        <f>IF($F24="","",IF($K24&lt;=0,"🟢 Paid in full",IF($J24&gt;0,"🟠 Partial","🔴 Unpaid")))</f>
        <v/>
      </c>
    </row>
    <row r="25" spans="2:13" ht="20" customHeight="1">
      <c r="B25" s="65">
        <f>IF($C25="","",ROW()-7)</f>
        <v/>
      </c>
      <c r="C25" s="10"/>
      <c r="D25" s="9"/>
      <c r="E25" s="66"/>
      <c r="F25" s="68"/>
      <c r="G25" s="68"/>
      <c r="H25" s="68"/>
      <c r="I25" s="68"/>
      <c r="J25" s="63">
        <f>IF($F25="","",ROUND($G25+$H25+$I25,2))</f>
        <v/>
      </c>
      <c r="K25" s="63">
        <f>IF($F25="","",$F25-$J25)</f>
        <v/>
      </c>
      <c r="L25" s="66"/>
      <c r="M25" s="86">
        <f>IF($F25="","",IF($K25&lt;=0,"🟢 Paid in full",IF($J25&gt;0,"🟠 Partial","🔴 Unpaid")))</f>
        <v/>
      </c>
    </row>
    <row r="26" spans="2:13" ht="20" customHeight="1">
      <c r="B26" s="58">
        <f>IF($C26="","",ROW()-7)</f>
        <v/>
      </c>
      <c r="C26" s="60"/>
      <c r="D26" s="14"/>
      <c r="E26" s="59"/>
      <c r="F26" s="62"/>
      <c r="G26" s="62"/>
      <c r="H26" s="62"/>
      <c r="I26" s="62"/>
      <c r="J26" s="63">
        <f>IF($F26="","",ROUND($G26+$H26+$I26,2))</f>
        <v/>
      </c>
      <c r="K26" s="63">
        <f>IF($F26="","",$F26-$J26)</f>
        <v/>
      </c>
      <c r="L26" s="59"/>
      <c r="M26" s="86">
        <f>IF($F26="","",IF($K26&lt;=0,"🟢 Paid in full",IF($J26&gt;0,"🟠 Partial","🔴 Unpaid")))</f>
        <v/>
      </c>
    </row>
    <row r="27" spans="2:13" ht="20" customHeight="1">
      <c r="B27" s="65">
        <f>IF($C27="","",ROW()-7)</f>
        <v/>
      </c>
      <c r="C27" s="10"/>
      <c r="D27" s="9"/>
      <c r="E27" s="66"/>
      <c r="F27" s="68"/>
      <c r="G27" s="68"/>
      <c r="H27" s="68"/>
      <c r="I27" s="68"/>
      <c r="J27" s="63">
        <f>IF($F27="","",ROUND($G27+$H27+$I27,2))</f>
        <v/>
      </c>
      <c r="K27" s="63">
        <f>IF($F27="","",$F27-$J27)</f>
        <v/>
      </c>
      <c r="L27" s="66"/>
      <c r="M27" s="86">
        <f>IF($F27="","",IF($K27&lt;=0,"🟢 Paid in full",IF($J27&gt;0,"🟠 Partial","🔴 Unpaid")))</f>
        <v/>
      </c>
    </row>
    <row r="28" spans="2:13" ht="20" customHeight="1">
      <c r="B28" s="58">
        <f>IF($C28="","",ROW()-7)</f>
        <v/>
      </c>
      <c r="C28" s="60"/>
      <c r="D28" s="14"/>
      <c r="E28" s="59"/>
      <c r="F28" s="62"/>
      <c r="G28" s="62"/>
      <c r="H28" s="62"/>
      <c r="I28" s="62"/>
      <c r="J28" s="63">
        <f>IF($F28="","",ROUND($G28+$H28+$I28,2))</f>
        <v/>
      </c>
      <c r="K28" s="63">
        <f>IF($F28="","",$F28-$J28)</f>
        <v/>
      </c>
      <c r="L28" s="59"/>
      <c r="M28" s="86">
        <f>IF($F28="","",IF($K28&lt;=0,"🟢 Paid in full",IF($J28&gt;0,"🟠 Partial","🔴 Unpaid")))</f>
        <v/>
      </c>
    </row>
    <row r="29" spans="2:13" ht="20" customHeight="1">
      <c r="B29" s="65">
        <f>IF($C29="","",ROW()-7)</f>
        <v/>
      </c>
      <c r="C29" s="10"/>
      <c r="D29" s="9"/>
      <c r="E29" s="66"/>
      <c r="F29" s="68"/>
      <c r="G29" s="68"/>
      <c r="H29" s="68"/>
      <c r="I29" s="68"/>
      <c r="J29" s="63">
        <f>IF($F29="","",ROUND($G29+$H29+$I29,2))</f>
        <v/>
      </c>
      <c r="K29" s="63">
        <f>IF($F29="","",$F29-$J29)</f>
        <v/>
      </c>
      <c r="L29" s="66"/>
      <c r="M29" s="86">
        <f>IF($F29="","",IF($K29&lt;=0,"🟢 Paid in full",IF($J29&gt;0,"🟠 Partial","🔴 Unpaid")))</f>
        <v/>
      </c>
    </row>
    <row r="30" spans="2:13" ht="20" customHeight="1">
      <c r="B30" s="58">
        <f>IF($C30="","",ROW()-7)</f>
        <v/>
      </c>
      <c r="C30" s="60"/>
      <c r="D30" s="14"/>
      <c r="E30" s="59"/>
      <c r="F30" s="62"/>
      <c r="G30" s="62"/>
      <c r="H30" s="62"/>
      <c r="I30" s="62"/>
      <c r="J30" s="63">
        <f>IF($F30="","",ROUND($G30+$H30+$I30,2))</f>
        <v/>
      </c>
      <c r="K30" s="63">
        <f>IF($F30="","",$F30-$J30)</f>
        <v/>
      </c>
      <c r="L30" s="59"/>
      <c r="M30" s="86">
        <f>IF($F30="","",IF($K30&lt;=0,"🟢 Paid in full",IF($J30&gt;0,"🟠 Partial","🔴 Unpaid")))</f>
        <v/>
      </c>
    </row>
    <row r="31" spans="2:13" ht="20" customHeight="1">
      <c r="B31" s="65">
        <f>IF($C31="","",ROW()-7)</f>
        <v/>
      </c>
      <c r="C31" s="10"/>
      <c r="D31" s="9"/>
      <c r="E31" s="66"/>
      <c r="F31" s="68"/>
      <c r="G31" s="68"/>
      <c r="H31" s="68"/>
      <c r="I31" s="68"/>
      <c r="J31" s="63">
        <f>IF($F31="","",ROUND($G31+$H31+$I31,2))</f>
        <v/>
      </c>
      <c r="K31" s="63">
        <f>IF($F31="","",$F31-$J31)</f>
        <v/>
      </c>
      <c r="L31" s="66"/>
      <c r="M31" s="86">
        <f>IF($F31="","",IF($K31&lt;=0,"🟢 Paid in full",IF($J31&gt;0,"🟠 Partial","🔴 Unpaid")))</f>
        <v/>
      </c>
    </row>
    <row r="32" spans="2:13" ht="20" customHeight="1">
      <c r="B32" s="58">
        <f>IF($C32="","",ROW()-7)</f>
        <v/>
      </c>
      <c r="C32" s="60"/>
      <c r="D32" s="14"/>
      <c r="E32" s="59"/>
      <c r="F32" s="62"/>
      <c r="G32" s="62"/>
      <c r="H32" s="62"/>
      <c r="I32" s="62"/>
      <c r="J32" s="63">
        <f>IF($F32="","",ROUND($G32+$H32+$I32,2))</f>
        <v/>
      </c>
      <c r="K32" s="63">
        <f>IF($F32="","",$F32-$J32)</f>
        <v/>
      </c>
      <c r="L32" s="59"/>
      <c r="M32" s="86">
        <f>IF($F32="","",IF($K32&lt;=0,"🟢 Paid in full",IF($J32&gt;0,"🟠 Partial","🔴 Unpaid")))</f>
        <v/>
      </c>
    </row>
    <row r="33" spans="2:13" ht="20" customHeight="1">
      <c r="B33" s="65">
        <f>IF($C33="","",ROW()-7)</f>
        <v/>
      </c>
      <c r="C33" s="10"/>
      <c r="D33" s="9"/>
      <c r="E33" s="66"/>
      <c r="F33" s="68"/>
      <c r="G33" s="68"/>
      <c r="H33" s="68"/>
      <c r="I33" s="68"/>
      <c r="J33" s="63">
        <f>IF($F33="","",ROUND($G33+$H33+$I33,2))</f>
        <v/>
      </c>
      <c r="K33" s="63">
        <f>IF($F33="","",$F33-$J33)</f>
        <v/>
      </c>
      <c r="L33" s="66"/>
      <c r="M33" s="86">
        <f>IF($F33="","",IF($K33&lt;=0,"🟢 Paid in full",IF($J33&gt;0,"🟠 Partial","🔴 Unpaid")))</f>
        <v/>
      </c>
    </row>
    <row r="34" spans="2:13" ht="20" customHeight="1">
      <c r="B34" s="58">
        <f>IF($C34="","",ROW()-7)</f>
        <v/>
      </c>
      <c r="C34" s="60"/>
      <c r="D34" s="14"/>
      <c r="E34" s="59"/>
      <c r="F34" s="62"/>
      <c r="G34" s="62"/>
      <c r="H34" s="62"/>
      <c r="I34" s="62"/>
      <c r="J34" s="63">
        <f>IF($F34="","",ROUND($G34+$H34+$I34,2))</f>
        <v/>
      </c>
      <c r="K34" s="63">
        <f>IF($F34="","",$F34-$J34)</f>
        <v/>
      </c>
      <c r="L34" s="59"/>
      <c r="M34" s="86">
        <f>IF($F34="","",IF($K34&lt;=0,"🟢 Paid in full",IF($J34&gt;0,"🟠 Partial","🔴 Unpaid")))</f>
        <v/>
      </c>
    </row>
    <row r="35" spans="2:13" ht="20" customHeight="1">
      <c r="B35" s="65">
        <f>IF($C35="","",ROW()-7)</f>
        <v/>
      </c>
      <c r="C35" s="10"/>
      <c r="D35" s="9"/>
      <c r="E35" s="66"/>
      <c r="F35" s="68"/>
      <c r="G35" s="68"/>
      <c r="H35" s="68"/>
      <c r="I35" s="68"/>
      <c r="J35" s="63">
        <f>IF($F35="","",ROUND($G35+$H35+$I35,2))</f>
        <v/>
      </c>
      <c r="K35" s="63">
        <f>IF($F35="","",$F35-$J35)</f>
        <v/>
      </c>
      <c r="L35" s="66"/>
      <c r="M35" s="86">
        <f>IF($F35="","",IF($K35&lt;=0,"🟢 Paid in full",IF($J35&gt;0,"🟠 Partial","🔴 Unpaid")))</f>
        <v/>
      </c>
    </row>
    <row r="36" spans="2:13" ht="20" customHeight="1">
      <c r="B36" s="58">
        <f>IF($C36="","",ROW()-7)</f>
        <v/>
      </c>
      <c r="C36" s="60"/>
      <c r="D36" s="14"/>
      <c r="E36" s="59"/>
      <c r="F36" s="62"/>
      <c r="G36" s="62"/>
      <c r="H36" s="62"/>
      <c r="I36" s="62"/>
      <c r="J36" s="63">
        <f>IF($F36="","",ROUND($G36+$H36+$I36,2))</f>
        <v/>
      </c>
      <c r="K36" s="63">
        <f>IF($F36="","",$F36-$J36)</f>
        <v/>
      </c>
      <c r="L36" s="59"/>
      <c r="M36" s="86">
        <f>IF($F36="","",IF($K36&lt;=0,"🟢 Paid in full",IF($J36&gt;0,"🟠 Partial","🔴 Unpaid")))</f>
        <v/>
      </c>
    </row>
    <row r="37" spans="2:13" ht="20" customHeight="1">
      <c r="B37" s="65">
        <f>IF($C37="","",ROW()-7)</f>
        <v/>
      </c>
      <c r="C37" s="10"/>
      <c r="D37" s="9"/>
      <c r="E37" s="66"/>
      <c r="F37" s="68"/>
      <c r="G37" s="68"/>
      <c r="H37" s="68"/>
      <c r="I37" s="68"/>
      <c r="J37" s="63">
        <f>IF($F37="","",ROUND($G37+$H37+$I37,2))</f>
        <v/>
      </c>
      <c r="K37" s="63">
        <f>IF($F37="","",$F37-$J37)</f>
        <v/>
      </c>
      <c r="L37" s="66"/>
      <c r="M37" s="86">
        <f>IF($F37="","",IF($K37&lt;=0,"🟢 Paid in full",IF($J37&gt;0,"🟠 Partial","🔴 Unpaid")))</f>
        <v/>
      </c>
    </row>
    <row r="38" spans="2:13" ht="20" customHeight="1">
      <c r="B38" s="58">
        <f>IF($C38="","",ROW()-7)</f>
        <v/>
      </c>
      <c r="C38" s="60"/>
      <c r="D38" s="14"/>
      <c r="E38" s="59"/>
      <c r="F38" s="62"/>
      <c r="G38" s="62"/>
      <c r="H38" s="62"/>
      <c r="I38" s="62"/>
      <c r="J38" s="63">
        <f>IF($F38="","",ROUND($G38+$H38+$I38,2))</f>
        <v/>
      </c>
      <c r="K38" s="63">
        <f>IF($F38="","",$F38-$J38)</f>
        <v/>
      </c>
      <c r="L38" s="59"/>
      <c r="M38" s="86">
        <f>IF($F38="","",IF($K38&lt;=0,"🟢 Paid in full",IF($J38&gt;0,"🟠 Partial","🔴 Unpaid")))</f>
        <v/>
      </c>
    </row>
    <row r="39" spans="2:13" ht="20" customHeight="1">
      <c r="B39" s="65">
        <f>IF($C39="","",ROW()-7)</f>
        <v/>
      </c>
      <c r="C39" s="10"/>
      <c r="D39" s="9"/>
      <c r="E39" s="66"/>
      <c r="F39" s="68"/>
      <c r="G39" s="68"/>
      <c r="H39" s="68"/>
      <c r="I39" s="68"/>
      <c r="J39" s="63">
        <f>IF($F39="","",ROUND($G39+$H39+$I39,2))</f>
        <v/>
      </c>
      <c r="K39" s="63">
        <f>IF($F39="","",$F39-$J39)</f>
        <v/>
      </c>
      <c r="L39" s="66"/>
      <c r="M39" s="86">
        <f>IF($F39="","",IF($K39&lt;=0,"🟢 Paid in full",IF($J39&gt;0,"🟠 Partial","🔴 Unpaid")))</f>
        <v/>
      </c>
    </row>
    <row r="40" spans="2:13" ht="20" customHeight="1">
      <c r="B40" s="58">
        <f>IF($C40="","",ROW()-7)</f>
        <v/>
      </c>
      <c r="C40" s="60"/>
      <c r="D40" s="14"/>
      <c r="E40" s="59"/>
      <c r="F40" s="62"/>
      <c r="G40" s="62"/>
      <c r="H40" s="62"/>
      <c r="I40" s="62"/>
      <c r="J40" s="63">
        <f>IF($F40="","",ROUND($G40+$H40+$I40,2))</f>
        <v/>
      </c>
      <c r="K40" s="63">
        <f>IF($F40="","",$F40-$J40)</f>
        <v/>
      </c>
      <c r="L40" s="59"/>
      <c r="M40" s="86">
        <f>IF($F40="","",IF($K40&lt;=0,"🟢 Paid in full",IF($J40&gt;0,"🟠 Partial","🔴 Unpaid")))</f>
        <v/>
      </c>
    </row>
    <row r="41" spans="2:13" ht="20" customHeight="1">
      <c r="B41" s="65">
        <f>IF($C41="","",ROW()-7)</f>
        <v/>
      </c>
      <c r="C41" s="10"/>
      <c r="D41" s="9"/>
      <c r="E41" s="66"/>
      <c r="F41" s="68"/>
      <c r="G41" s="68"/>
      <c r="H41" s="68"/>
      <c r="I41" s="68"/>
      <c r="J41" s="63">
        <f>IF($F41="","",ROUND($G41+$H41+$I41,2))</f>
        <v/>
      </c>
      <c r="K41" s="63">
        <f>IF($F41="","",$F41-$J41)</f>
        <v/>
      </c>
      <c r="L41" s="66"/>
      <c r="M41" s="86">
        <f>IF($F41="","",IF($K41&lt;=0,"🟢 Paid in full",IF($J41&gt;0,"🟠 Partial","🔴 Unpaid")))</f>
        <v/>
      </c>
    </row>
    <row r="42" spans="2:13" ht="20" customHeight="1">
      <c r="B42" s="58">
        <f>IF($C42="","",ROW()-7)</f>
        <v/>
      </c>
      <c r="C42" s="60"/>
      <c r="D42" s="14"/>
      <c r="E42" s="59"/>
      <c r="F42" s="62"/>
      <c r="G42" s="62"/>
      <c r="H42" s="62"/>
      <c r="I42" s="62"/>
      <c r="J42" s="63">
        <f>IF($F42="","",ROUND($G42+$H42+$I42,2))</f>
        <v/>
      </c>
      <c r="K42" s="63">
        <f>IF($F42="","",$F42-$J42)</f>
        <v/>
      </c>
      <c r="L42" s="59"/>
      <c r="M42" s="86">
        <f>IF($F42="","",IF($K42&lt;=0,"🟢 Paid in full",IF($J42&gt;0,"🟠 Partial","🔴 Unpaid")))</f>
        <v/>
      </c>
    </row>
    <row r="43" spans="2:13" ht="20" customHeight="1">
      <c r="B43" s="65">
        <f>IF($C43="","",ROW()-7)</f>
        <v/>
      </c>
      <c r="C43" s="10"/>
      <c r="D43" s="9"/>
      <c r="E43" s="66"/>
      <c r="F43" s="68"/>
      <c r="G43" s="68"/>
      <c r="H43" s="68"/>
      <c r="I43" s="68"/>
      <c r="J43" s="63">
        <f>IF($F43="","",ROUND($G43+$H43+$I43,2))</f>
        <v/>
      </c>
      <c r="K43" s="63">
        <f>IF($F43="","",$F43-$J43)</f>
        <v/>
      </c>
      <c r="L43" s="66"/>
      <c r="M43" s="86">
        <f>IF($F43="","",IF($K43&lt;=0,"🟢 Paid in full",IF($J43&gt;0,"🟠 Partial","🔴 Unpaid")))</f>
        <v/>
      </c>
    </row>
    <row r="44" spans="2:13" ht="20" customHeight="1">
      <c r="B44" s="58">
        <f>IF($C44="","",ROW()-7)</f>
        <v/>
      </c>
      <c r="C44" s="60"/>
      <c r="D44" s="14"/>
      <c r="E44" s="59"/>
      <c r="F44" s="62"/>
      <c r="G44" s="62"/>
      <c r="H44" s="62"/>
      <c r="I44" s="62"/>
      <c r="J44" s="63">
        <f>IF($F44="","",ROUND($G44+$H44+$I44,2))</f>
        <v/>
      </c>
      <c r="K44" s="63">
        <f>IF($F44="","",$F44-$J44)</f>
        <v/>
      </c>
      <c r="L44" s="59"/>
      <c r="M44" s="86">
        <f>IF($F44="","",IF($K44&lt;=0,"🟢 Paid in full",IF($J44&gt;0,"🟠 Partial","🔴 Unpaid")))</f>
        <v/>
      </c>
    </row>
    <row r="45" spans="2:13" ht="20" customHeight="1">
      <c r="B45" s="65">
        <f>IF($C45="","",ROW()-7)</f>
        <v/>
      </c>
      <c r="C45" s="10"/>
      <c r="D45" s="9"/>
      <c r="E45" s="66"/>
      <c r="F45" s="68"/>
      <c r="G45" s="68"/>
      <c r="H45" s="68"/>
      <c r="I45" s="68"/>
      <c r="J45" s="63">
        <f>IF($F45="","",ROUND($G45+$H45+$I45,2))</f>
        <v/>
      </c>
      <c r="K45" s="63">
        <f>IF($F45="","",$F45-$J45)</f>
        <v/>
      </c>
      <c r="L45" s="66"/>
      <c r="M45" s="86">
        <f>IF($F45="","",IF($K45&lt;=0,"🟢 Paid in full",IF($J45&gt;0,"🟠 Partial","🔴 Unpaid")))</f>
        <v/>
      </c>
    </row>
    <row r="46" spans="2:13" ht="20" customHeight="1">
      <c r="B46" s="58">
        <f>IF($C46="","",ROW()-7)</f>
        <v/>
      </c>
      <c r="C46" s="60"/>
      <c r="D46" s="14"/>
      <c r="E46" s="59"/>
      <c r="F46" s="62"/>
      <c r="G46" s="62"/>
      <c r="H46" s="62"/>
      <c r="I46" s="62"/>
      <c r="J46" s="63">
        <f>IF($F46="","",ROUND($G46+$H46+$I46,2))</f>
        <v/>
      </c>
      <c r="K46" s="63">
        <f>IF($F46="","",$F46-$J46)</f>
        <v/>
      </c>
      <c r="L46" s="59"/>
      <c r="M46" s="86">
        <f>IF($F46="","",IF($K46&lt;=0,"🟢 Paid in full",IF($J46&gt;0,"🟠 Partial","🔴 Unpaid")))</f>
        <v/>
      </c>
    </row>
    <row r="47" spans="2:13" ht="20" customHeight="1">
      <c r="B47" s="65">
        <f>IF($C47="","",ROW()-7)</f>
        <v/>
      </c>
      <c r="C47" s="10"/>
      <c r="D47" s="9"/>
      <c r="E47" s="66"/>
      <c r="F47" s="68"/>
      <c r="G47" s="68"/>
      <c r="H47" s="68"/>
      <c r="I47" s="68"/>
      <c r="J47" s="63">
        <f>IF($F47="","",ROUND($G47+$H47+$I47,2))</f>
        <v/>
      </c>
      <c r="K47" s="63">
        <f>IF($F47="","",$F47-$J47)</f>
        <v/>
      </c>
      <c r="L47" s="66"/>
      <c r="M47" s="86">
        <f>IF($F47="","",IF($K47&lt;=0,"🟢 Paid in full",IF($J47&gt;0,"🟠 Partial","🔴 Unpaid")))</f>
        <v/>
      </c>
    </row>
    <row r="48" spans="2:13" ht="20" customHeight="1">
      <c r="B48" s="58">
        <f>IF($C48="","",ROW()-7)</f>
        <v/>
      </c>
      <c r="C48" s="60"/>
      <c r="D48" s="14"/>
      <c r="E48" s="59"/>
      <c r="F48" s="62"/>
      <c r="G48" s="62"/>
      <c r="H48" s="62"/>
      <c r="I48" s="62"/>
      <c r="J48" s="63">
        <f>IF($F48="","",ROUND($G48+$H48+$I48,2))</f>
        <v/>
      </c>
      <c r="K48" s="63">
        <f>IF($F48="","",$F48-$J48)</f>
        <v/>
      </c>
      <c r="L48" s="59"/>
      <c r="M48" s="86">
        <f>IF($F48="","",IF($K48&lt;=0,"🟢 Paid in full",IF($J48&gt;0,"🟠 Partial","🔴 Unpaid")))</f>
        <v/>
      </c>
    </row>
    <row r="49" spans="2:13" ht="20" customHeight="1">
      <c r="B49" s="65">
        <f>IF($C49="","",ROW()-7)</f>
        <v/>
      </c>
      <c r="C49" s="10"/>
      <c r="D49" s="9"/>
      <c r="E49" s="66"/>
      <c r="F49" s="68"/>
      <c r="G49" s="68"/>
      <c r="H49" s="68"/>
      <c r="I49" s="68"/>
      <c r="J49" s="63">
        <f>IF($F49="","",ROUND($G49+$H49+$I49,2))</f>
        <v/>
      </c>
      <c r="K49" s="63">
        <f>IF($F49="","",$F49-$J49)</f>
        <v/>
      </c>
      <c r="L49" s="66"/>
      <c r="M49" s="86">
        <f>IF($F49="","",IF($K49&lt;=0,"🟢 Paid in full",IF($J49&gt;0,"🟠 Partial","🔴 Unpaid")))</f>
        <v/>
      </c>
    </row>
    <row r="50" spans="2:13" ht="20" customHeight="1">
      <c r="B50" s="58">
        <f>IF($C50="","",ROW()-7)</f>
        <v/>
      </c>
      <c r="C50" s="60"/>
      <c r="D50" s="14"/>
      <c r="E50" s="59"/>
      <c r="F50" s="62"/>
      <c r="G50" s="62"/>
      <c r="H50" s="62"/>
      <c r="I50" s="62"/>
      <c r="J50" s="63">
        <f>IF($F50="","",ROUND($G50+$H50+$I50,2))</f>
        <v/>
      </c>
      <c r="K50" s="63">
        <f>IF($F50="","",$F50-$J50)</f>
        <v/>
      </c>
      <c r="L50" s="59"/>
      <c r="M50" s="86">
        <f>IF($F50="","",IF($K50&lt;=0,"🟢 Paid in full",IF($J50&gt;0,"🟠 Partial","🔴 Unpaid")))</f>
        <v/>
      </c>
    </row>
    <row r="51" spans="2:13" ht="20" customHeight="1">
      <c r="B51" s="65">
        <f>IF($C51="","",ROW()-7)</f>
        <v/>
      </c>
      <c r="C51" s="10"/>
      <c r="D51" s="9"/>
      <c r="E51" s="66"/>
      <c r="F51" s="68"/>
      <c r="G51" s="68"/>
      <c r="H51" s="68"/>
      <c r="I51" s="68"/>
      <c r="J51" s="63">
        <f>IF($F51="","",ROUND($G51+$H51+$I51,2))</f>
        <v/>
      </c>
      <c r="K51" s="63">
        <f>IF($F51="","",$F51-$J51)</f>
        <v/>
      </c>
      <c r="L51" s="66"/>
      <c r="M51" s="86">
        <f>IF($F51="","",IF($K51&lt;=0,"🟢 Paid in full",IF($J51&gt;0,"🟠 Partial","🔴 Unpaid")))</f>
        <v/>
      </c>
    </row>
    <row r="52" spans="2:13" ht="20" customHeight="1">
      <c r="B52" s="58">
        <f>IF($C52="","",ROW()-7)</f>
        <v/>
      </c>
      <c r="C52" s="60"/>
      <c r="D52" s="14"/>
      <c r="E52" s="59"/>
      <c r="F52" s="62"/>
      <c r="G52" s="62"/>
      <c r="H52" s="62"/>
      <c r="I52" s="62"/>
      <c r="J52" s="63">
        <f>IF($F52="","",ROUND($G52+$H52+$I52,2))</f>
        <v/>
      </c>
      <c r="K52" s="63">
        <f>IF($F52="","",$F52-$J52)</f>
        <v/>
      </c>
      <c r="L52" s="59"/>
      <c r="M52" s="86">
        <f>IF($F52="","",IF($K52&lt;=0,"🟢 Paid in full",IF($J52&gt;0,"🟠 Partial","🔴 Unpaid")))</f>
        <v/>
      </c>
    </row>
    <row r="53" spans="2:13" ht="20" customHeight="1">
      <c r="B53" s="65">
        <f>IF($C53="","",ROW()-7)</f>
        <v/>
      </c>
      <c r="C53" s="10"/>
      <c r="D53" s="9"/>
      <c r="E53" s="66"/>
      <c r="F53" s="68"/>
      <c r="G53" s="68"/>
      <c r="H53" s="68"/>
      <c r="I53" s="68"/>
      <c r="J53" s="63">
        <f>IF($F53="","",ROUND($G53+$H53+$I53,2))</f>
        <v/>
      </c>
      <c r="K53" s="63">
        <f>IF($F53="","",$F53-$J53)</f>
        <v/>
      </c>
      <c r="L53" s="66"/>
      <c r="M53" s="86">
        <f>IF($F53="","",IF($K53&lt;=0,"🟢 Paid in full",IF($J53&gt;0,"🟠 Partial","🔴 Unpaid")))</f>
        <v/>
      </c>
    </row>
    <row r="54" spans="2:13" ht="20" customHeight="1">
      <c r="B54" s="58">
        <f>IF($C54="","",ROW()-7)</f>
        <v/>
      </c>
      <c r="C54" s="60"/>
      <c r="D54" s="14"/>
      <c r="E54" s="59"/>
      <c r="F54" s="62"/>
      <c r="G54" s="62"/>
      <c r="H54" s="62"/>
      <c r="I54" s="62"/>
      <c r="J54" s="63">
        <f>IF($F54="","",ROUND($G54+$H54+$I54,2))</f>
        <v/>
      </c>
      <c r="K54" s="63">
        <f>IF($F54="","",$F54-$J54)</f>
        <v/>
      </c>
      <c r="L54" s="59"/>
      <c r="M54" s="86">
        <f>IF($F54="","",IF($K54&lt;=0,"🟢 Paid in full",IF($J54&gt;0,"🟠 Partial","🔴 Unpaid")))</f>
        <v/>
      </c>
    </row>
    <row r="55" spans="2:13" ht="20" customHeight="1">
      <c r="B55" s="65">
        <f>IF($C55="","",ROW()-7)</f>
        <v/>
      </c>
      <c r="C55" s="10"/>
      <c r="D55" s="9"/>
      <c r="E55" s="66"/>
      <c r="F55" s="68"/>
      <c r="G55" s="68"/>
      <c r="H55" s="68"/>
      <c r="I55" s="68"/>
      <c r="J55" s="63">
        <f>IF($F55="","",ROUND($G55+$H55+$I55,2))</f>
        <v/>
      </c>
      <c r="K55" s="63">
        <f>IF($F55="","",$F55-$J55)</f>
        <v/>
      </c>
      <c r="L55" s="66"/>
      <c r="M55" s="86">
        <f>IF($F55="","",IF($K55&lt;=0,"🟢 Paid in full",IF($J55&gt;0,"🟠 Partial","🔴 Unpaid")))</f>
        <v/>
      </c>
    </row>
    <row r="56" spans="2:13" ht="20" customHeight="1">
      <c r="B56" s="58">
        <f>IF($C56="","",ROW()-7)</f>
        <v/>
      </c>
      <c r="C56" s="60"/>
      <c r="D56" s="14"/>
      <c r="E56" s="59"/>
      <c r="F56" s="62"/>
      <c r="G56" s="62"/>
      <c r="H56" s="62"/>
      <c r="I56" s="62"/>
      <c r="J56" s="63">
        <f>IF($F56="","",ROUND($G56+$H56+$I56,2))</f>
        <v/>
      </c>
      <c r="K56" s="63">
        <f>IF($F56="","",$F56-$J56)</f>
        <v/>
      </c>
      <c r="L56" s="59"/>
      <c r="M56" s="86">
        <f>IF($F56="","",IF($K56&lt;=0,"🟢 Paid in full",IF($J56&gt;0,"🟠 Partial","🔴 Unpaid")))</f>
        <v/>
      </c>
    </row>
    <row r="57" spans="2:13" ht="20" customHeight="1">
      <c r="B57" s="65">
        <f>IF($C57="","",ROW()-7)</f>
        <v/>
      </c>
      <c r="C57" s="10"/>
      <c r="D57" s="9"/>
      <c r="E57" s="66"/>
      <c r="F57" s="68"/>
      <c r="G57" s="68"/>
      <c r="H57" s="68"/>
      <c r="I57" s="68"/>
      <c r="J57" s="63">
        <f>IF($F57="","",ROUND($G57+$H57+$I57,2))</f>
        <v/>
      </c>
      <c r="K57" s="63">
        <f>IF($F57="","",$F57-$J57)</f>
        <v/>
      </c>
      <c r="L57" s="66"/>
      <c r="M57" s="86">
        <f>IF($F57="","",IF($K57&lt;=0,"🟢 Paid in full",IF($J57&gt;0,"🟠 Partial","🔴 Unpaid")))</f>
        <v/>
      </c>
    </row>
    <row r="58" spans="2:13" ht="20" customHeight="1">
      <c r="B58" s="58">
        <f>IF($C58="","",ROW()-7)</f>
        <v/>
      </c>
      <c r="C58" s="60"/>
      <c r="D58" s="14"/>
      <c r="E58" s="59"/>
      <c r="F58" s="62"/>
      <c r="G58" s="62"/>
      <c r="H58" s="62"/>
      <c r="I58" s="62"/>
      <c r="J58" s="63">
        <f>IF($F58="","",ROUND($G58+$H58+$I58,2))</f>
        <v/>
      </c>
      <c r="K58" s="63">
        <f>IF($F58="","",$F58-$J58)</f>
        <v/>
      </c>
      <c r="L58" s="59"/>
      <c r="M58" s="86">
        <f>IF($F58="","",IF($K58&lt;=0,"🟢 Paid in full",IF($J58&gt;0,"🟠 Partial","🔴 Unpaid")))</f>
        <v/>
      </c>
    </row>
    <row r="59" spans="2:13" ht="20" customHeight="1">
      <c r="B59" s="65">
        <f>IF($C59="","",ROW()-7)</f>
        <v/>
      </c>
      <c r="C59" s="10"/>
      <c r="D59" s="9"/>
      <c r="E59" s="66"/>
      <c r="F59" s="68"/>
      <c r="G59" s="68"/>
      <c r="H59" s="68"/>
      <c r="I59" s="68"/>
      <c r="J59" s="63">
        <f>IF($F59="","",ROUND($G59+$H59+$I59,2))</f>
        <v/>
      </c>
      <c r="K59" s="63">
        <f>IF($F59="","",$F59-$J59)</f>
        <v/>
      </c>
      <c r="L59" s="66"/>
      <c r="M59" s="86">
        <f>IF($F59="","",IF($K59&lt;=0,"🟢 Paid in full",IF($J59&gt;0,"🟠 Partial","🔴 Unpaid")))</f>
        <v/>
      </c>
    </row>
    <row r="60" spans="2:13" ht="20" customHeight="1">
      <c r="B60" s="58">
        <f>IF($C60="","",ROW()-7)</f>
        <v/>
      </c>
      <c r="C60" s="60"/>
      <c r="D60" s="14"/>
      <c r="E60" s="59"/>
      <c r="F60" s="62"/>
      <c r="G60" s="62"/>
      <c r="H60" s="62"/>
      <c r="I60" s="62"/>
      <c r="J60" s="63">
        <f>IF($F60="","",ROUND($G60+$H60+$I60,2))</f>
        <v/>
      </c>
      <c r="K60" s="63">
        <f>IF($F60="","",$F60-$J60)</f>
        <v/>
      </c>
      <c r="L60" s="59"/>
      <c r="M60" s="86">
        <f>IF($F60="","",IF($K60&lt;=0,"🟢 Paid in full",IF($J60&gt;0,"🟠 Partial","🔴 Unpaid")))</f>
        <v/>
      </c>
    </row>
    <row r="61" spans="2:13" ht="20" customHeight="1">
      <c r="B61" s="65">
        <f>IF($C61="","",ROW()-7)</f>
        <v/>
      </c>
      <c r="C61" s="10"/>
      <c r="D61" s="9"/>
      <c r="E61" s="66"/>
      <c r="F61" s="68"/>
      <c r="G61" s="68"/>
      <c r="H61" s="68"/>
      <c r="I61" s="68"/>
      <c r="J61" s="63">
        <f>IF($F61="","",ROUND($G61+$H61+$I61,2))</f>
        <v/>
      </c>
      <c r="K61" s="63">
        <f>IF($F61="","",$F61-$J61)</f>
        <v/>
      </c>
      <c r="L61" s="66"/>
      <c r="M61" s="86">
        <f>IF($F61="","",IF($K61&lt;=0,"🟢 Paid in full",IF($J61&gt;0,"🟠 Partial","🔴 Unpaid")))</f>
        <v/>
      </c>
    </row>
    <row r="62" spans="2:13" ht="20" customHeight="1">
      <c r="B62" s="58">
        <f>IF($C62="","",ROW()-7)</f>
        <v/>
      </c>
      <c r="C62" s="60"/>
      <c r="D62" s="14"/>
      <c r="E62" s="59"/>
      <c r="F62" s="62"/>
      <c r="G62" s="62"/>
      <c r="H62" s="62"/>
      <c r="I62" s="62"/>
      <c r="J62" s="63">
        <f>IF($F62="","",ROUND($G62+$H62+$I62,2))</f>
        <v/>
      </c>
      <c r="K62" s="63">
        <f>IF($F62="","",$F62-$J62)</f>
        <v/>
      </c>
      <c r="L62" s="59"/>
      <c r="M62" s="86">
        <f>IF($F62="","",IF($K62&lt;=0,"🟢 Paid in full",IF($J62&gt;0,"🟠 Partial","🔴 Unpaid")))</f>
        <v/>
      </c>
    </row>
    <row r="63" spans="2:13" ht="20" customHeight="1">
      <c r="B63" s="65">
        <f>IF($C63="","",ROW()-7)</f>
        <v/>
      </c>
      <c r="C63" s="10"/>
      <c r="D63" s="9"/>
      <c r="E63" s="66"/>
      <c r="F63" s="68"/>
      <c r="G63" s="68"/>
      <c r="H63" s="68"/>
      <c r="I63" s="68"/>
      <c r="J63" s="63">
        <f>IF($F63="","",ROUND($G63+$H63+$I63,2))</f>
        <v/>
      </c>
      <c r="K63" s="63">
        <f>IF($F63="","",$F63-$J63)</f>
        <v/>
      </c>
      <c r="L63" s="66"/>
      <c r="M63" s="86">
        <f>IF($F63="","",IF($K63&lt;=0,"🟢 Paid in full",IF($J63&gt;0,"🟠 Partial","🔴 Unpaid")))</f>
        <v/>
      </c>
    </row>
    <row r="64" spans="2:13" ht="20" customHeight="1">
      <c r="B64" s="58">
        <f>IF($C64="","",ROW()-7)</f>
        <v/>
      </c>
      <c r="C64" s="60"/>
      <c r="D64" s="14"/>
      <c r="E64" s="59"/>
      <c r="F64" s="62"/>
      <c r="G64" s="62"/>
      <c r="H64" s="62"/>
      <c r="I64" s="62"/>
      <c r="J64" s="63">
        <f>IF($F64="","",ROUND($G64+$H64+$I64,2))</f>
        <v/>
      </c>
      <c r="K64" s="63">
        <f>IF($F64="","",$F64-$J64)</f>
        <v/>
      </c>
      <c r="L64" s="59"/>
      <c r="M64" s="86">
        <f>IF($F64="","",IF($K64&lt;=0,"🟢 Paid in full",IF($J64&gt;0,"🟠 Partial","🔴 Unpaid")))</f>
        <v/>
      </c>
    </row>
    <row r="65" spans="2:13" ht="20" customHeight="1">
      <c r="B65" s="65">
        <f>IF($C65="","",ROW()-7)</f>
        <v/>
      </c>
      <c r="C65" s="10"/>
      <c r="D65" s="9"/>
      <c r="E65" s="66"/>
      <c r="F65" s="68"/>
      <c r="G65" s="68"/>
      <c r="H65" s="68"/>
      <c r="I65" s="68"/>
      <c r="J65" s="63">
        <f>IF($F65="","",ROUND($G65+$H65+$I65,2))</f>
        <v/>
      </c>
      <c r="K65" s="63">
        <f>IF($F65="","",$F65-$J65)</f>
        <v/>
      </c>
      <c r="L65" s="66"/>
      <c r="M65" s="86">
        <f>IF($F65="","",IF($K65&lt;=0,"🟢 Paid in full",IF($J65&gt;0,"🟠 Partial","🔴 Unpaid")))</f>
        <v/>
      </c>
    </row>
    <row r="66" spans="2:13" ht="20" customHeight="1">
      <c r="B66" s="58">
        <f>IF($C66="","",ROW()-7)</f>
        <v/>
      </c>
      <c r="C66" s="60"/>
      <c r="D66" s="14"/>
      <c r="E66" s="59"/>
      <c r="F66" s="62"/>
      <c r="G66" s="62"/>
      <c r="H66" s="62"/>
      <c r="I66" s="62"/>
      <c r="J66" s="63">
        <f>IF($F66="","",ROUND($G66+$H66+$I66,2))</f>
        <v/>
      </c>
      <c r="K66" s="63">
        <f>IF($F66="","",$F66-$J66)</f>
        <v/>
      </c>
      <c r="L66" s="59"/>
      <c r="M66" s="86">
        <f>IF($F66="","",IF($K66&lt;=0,"🟢 Paid in full",IF($J66&gt;0,"🟠 Partial","🔴 Unpaid")))</f>
        <v/>
      </c>
    </row>
    <row r="67" spans="2:13" ht="20" customHeight="1">
      <c r="B67" s="65">
        <f>IF($C67="","",ROW()-7)</f>
        <v/>
      </c>
      <c r="C67" s="10"/>
      <c r="D67" s="9"/>
      <c r="E67" s="66"/>
      <c r="F67" s="68"/>
      <c r="G67" s="68"/>
      <c r="H67" s="68"/>
      <c r="I67" s="68"/>
      <c r="J67" s="63">
        <f>IF($F67="","",ROUND($G67+$H67+$I67,2))</f>
        <v/>
      </c>
      <c r="K67" s="63">
        <f>IF($F67="","",$F67-$J67)</f>
        <v/>
      </c>
      <c r="L67" s="66"/>
      <c r="M67" s="86">
        <f>IF($F67="","",IF($K67&lt;=0,"🟢 Paid in full",IF($J67&gt;0,"🟠 Partial","🔴 Unpaid")))</f>
        <v/>
      </c>
    </row>
    <row r="68" spans="2:13" ht="24" customHeight="1">
      <c r="B68" s="70" t="s">
        <v>218</v>
      </c>
      <c r="C68" s="70"/>
      <c r="D68" s="70"/>
      <c r="E68" s="71"/>
      <c r="F68" s="72">
        <f>SUM('💰 Payments'!$F$8:$F$67)</f>
        <v>0</v>
      </c>
      <c r="G68" s="71"/>
      <c r="H68" s="71"/>
      <c r="I68" s="71"/>
      <c r="J68" s="72">
        <f>SUM('💰 Payments'!$G$8:$G$67)+SUM('💰 Payments'!$H$8:$H$67)+SUM('💰 Payments'!$I$8:$I$67)</f>
        <v>0</v>
      </c>
      <c r="K68" s="72">
        <f>SUM('💰 Payments'!$F$8:$F$67)-SUM('💰 Payments'!$G$8:$G$67)-SUM('💰 Payments'!$H$8:$H$67)-SUM('💰 Payments'!$I$8:$I$67)</f>
        <v>0</v>
      </c>
      <c r="L68" s="71"/>
      <c r="M68" s="71"/>
    </row>
    <row r="88" spans="2:13" ht="22" customHeight="1">
      <c r="B88" s="15" t="s">
        <v>219</v>
      </c>
      <c r="C88" s="15"/>
      <c r="D88" s="15"/>
      <c r="E88" s="15"/>
      <c r="F88" s="15"/>
      <c r="G88" s="15"/>
      <c r="H88" s="15"/>
      <c r="I88" s="15"/>
      <c r="J88" s="15"/>
      <c r="K88" s="15"/>
      <c r="L88" s="15"/>
    </row>
    <row r="89" spans="2:13" ht="51.8" customHeight="1">
      <c r="B89" s="22" t="s">
        <v>308</v>
      </c>
      <c r="C89" s="22"/>
      <c r="D89" s="22"/>
      <c r="E89" s="22"/>
      <c r="F89" s="22"/>
      <c r="G89" s="22"/>
      <c r="H89" s="22"/>
      <c r="I89" s="22"/>
      <c r="J89" s="22"/>
      <c r="K89" s="22"/>
      <c r="L89" s="22"/>
    </row>
    <row r="95" spans="2:13">
      <c r="B95" s="23" t="s">
        <v>202</v>
      </c>
      <c r="C95" s="23"/>
      <c r="D95" s="24" t="s">
        <v>164</v>
      </c>
      <c r="E95" s="24"/>
      <c r="F95" s="25" t="s">
        <v>165</v>
      </c>
      <c r="G95" s="25"/>
      <c r="H95" s="26" t="s">
        <v>17</v>
      </c>
      <c r="I95" s="26"/>
      <c r="J95" s="27" t="s">
        <v>166</v>
      </c>
      <c r="K95" s="27"/>
      <c r="L95" s="28" t="s">
        <v>167</v>
      </c>
      <c r="M95" s="28"/>
    </row>
    <row r="96" spans="2:13" ht="24" customHeight="1">
      <c r="B96" s="29" t="s">
        <v>168</v>
      </c>
      <c r="C96" s="29"/>
      <c r="D96" s="30" t="s">
        <v>169</v>
      </c>
      <c r="E96" s="30"/>
      <c r="F96" s="24" t="s">
        <v>170</v>
      </c>
      <c r="G96" s="24"/>
      <c r="H96" s="26" t="s">
        <v>309</v>
      </c>
      <c r="I96" s="26"/>
      <c r="J96" s="23" t="s">
        <v>172</v>
      </c>
      <c r="K96" s="23"/>
      <c r="L96" s="24" t="s">
        <v>173</v>
      </c>
      <c r="M96" s="24"/>
    </row>
    <row r="97" spans="2:13" ht="24" customHeight="1">
      <c r="B97" s="25" t="s">
        <v>174</v>
      </c>
      <c r="C97" s="25"/>
      <c r="D97" s="26" t="s">
        <v>175</v>
      </c>
      <c r="E97" s="26"/>
      <c r="F97" s="27" t="s">
        <v>176</v>
      </c>
      <c r="G97" s="27"/>
      <c r="H97" s="28" t="s">
        <v>177</v>
      </c>
      <c r="I97" s="28"/>
      <c r="J97" s="29" t="s">
        <v>178</v>
      </c>
      <c r="K97" s="29"/>
      <c r="L97" s="30" t="s">
        <v>179</v>
      </c>
      <c r="M97" s="30"/>
    </row>
    <row r="98" spans="2:13" ht="24" customHeight="1">
      <c r="B98" s="24" t="s">
        <v>180</v>
      </c>
      <c r="C98" s="24"/>
    </row>
  </sheetData>
  <mergeCells count="29">
    <mergeCell ref="B2:J2"/>
    <mergeCell ref="B3:J3"/>
    <mergeCell ref="K3:M3"/>
    <mergeCell ref="B5:C5"/>
    <mergeCell ref="D5:E5"/>
    <mergeCell ref="F5:G5"/>
    <mergeCell ref="H5:I5"/>
    <mergeCell ref="B68:D68"/>
    <mergeCell ref="B88:L88"/>
    <mergeCell ref="B89:L89"/>
    <mergeCell ref="B95:C95"/>
    <mergeCell ref="D95:E95"/>
    <mergeCell ref="F95:G95"/>
    <mergeCell ref="H95:I95"/>
    <mergeCell ref="J95:K95"/>
    <mergeCell ref="L95:M95"/>
    <mergeCell ref="B96:C96"/>
    <mergeCell ref="D96:E96"/>
    <mergeCell ref="F96:G96"/>
    <mergeCell ref="H96:I96"/>
    <mergeCell ref="J96:K96"/>
    <mergeCell ref="L96:M96"/>
    <mergeCell ref="B97:C97"/>
    <mergeCell ref="D97:E97"/>
    <mergeCell ref="F97:G97"/>
    <mergeCell ref="H97:I97"/>
    <mergeCell ref="J97:K97"/>
    <mergeCell ref="L97:M97"/>
    <mergeCell ref="B98:C98"/>
  </mergeCells>
  <conditionalFormatting sqref="L8:L67">
    <cfRule type="expression" dxfId="7" priority="4">
      <formula>AND($L8&lt;&gt;"",$L8&lt;TODAY(),$K8&gt;0)</formula>
    </cfRule>
    <cfRule type="expression" dxfId="8" priority="5">
      <formula>AND($L8&lt;&gt;"",$L8&gt;=TODAY(),$L8-TODAY()&lt;=DueSoonDays,$K8&gt;0)</formula>
    </cfRule>
  </conditionalFormatting>
  <conditionalFormatting sqref="M8:M67">
    <cfRule type="expression" dxfId="0" priority="1">
      <formula>$M8="🔴 Unpaid"</formula>
    </cfRule>
    <cfRule type="expression" dxfId="1" priority="2">
      <formula>$M8="🟠 Partial"</formula>
    </cfRule>
    <cfRule type="expression" dxfId="2" priority="3">
      <formula>$M8="🟢 Paid in full"</formula>
    </cfRule>
  </conditionalFormatting>
  <dataValidations count="7">
    <dataValidation type="list" allowBlank="1" showInputMessage="1" showErrorMessage="1" promptTitle="Client" prompt="Pick a client from the Clients tab." sqref="D8:D67">
      <formula1>ClientsList</formula1>
    </dataValidation>
    <dataValidation type="date" errorStyle="warning" allowBlank="1" showInputMessage="1" showErrorMessage="1" errorTitle="That's not a date" error="Enter a date between 2000 and 2100." promptTitle="Date" prompt="Type a date, or pick one from the calendar picker." sqref="E8:E67">
      <formula1>36526</formula1>
      <formula2>73415</formula2>
    </dataValidation>
    <dataValidation type="date" errorStyle="warning" allowBlank="1" showInputMessage="1" showErrorMessage="1" errorTitle="That's not a date" error="Enter a date between 2000 and 2100." promptTitle="Date" prompt="Type a date, or pick one from the calendar picker." sqref="L8:L67">
      <formula1>36526</formula1>
      <formula2>73415</formula2>
    </dataValidation>
    <dataValidation type="decimal" operator="greaterThanOrEqual" errorStyle="warning" allowBlank="1" showInputMessage="1" showErrorMessage="1" errorTitle="Enter money" error="Please enter a positive number (no currency symbol) - the symbol comes from Setup." sqref="F8:F67">
      <formula1>0</formula1>
    </dataValidation>
    <dataValidation type="decimal" operator="greaterThanOrEqual" errorStyle="warning" allowBlank="1" showInputMessage="1" showErrorMessage="1" errorTitle="Enter money" error="Please enter a positive number (no currency symbol) - the symbol comes from Setup." sqref="G8:G67">
      <formula1>0</formula1>
    </dataValidation>
    <dataValidation type="decimal" operator="greaterThanOrEqual" errorStyle="warning" allowBlank="1" showInputMessage="1" showErrorMessage="1" errorTitle="Enter money" error="Please enter a positive number (no currency symbol) - the symbol comes from Setup." sqref="H8:H67">
      <formula1>0</formula1>
    </dataValidation>
    <dataValidation type="decimal" operator="greaterThanOrEqual" errorStyle="warning" allowBlank="1" showInputMessage="1" showErrorMessage="1" errorTitle="Enter money" error="Please enter a positive number (no currency symbol) - the symbol comes from Setup." sqref="I8:I67">
      <formula1>0</formula1>
    </dataValidation>
  </dataValidations>
  <hyperlinks>
    <hyperlink ref="K3" location="'📊 Dashboard'!A1" display="🏠  Back to Dashboard"/>
    <hyperlink ref="B95" location="'⚙️ Setup'!A1" display="Setup"/>
    <hyperlink ref="D95" location="'📊 Dashboard'!A1" display="🏠 Home"/>
    <hyperlink ref="F95" location="'👥 Clients'!A1" display="Clients"/>
    <hyperlink ref="H95" location="'📅 Events'!A1" display="Events"/>
    <hyperlink ref="J95" location="'🧮 Quote Calculator'!A1" display="Quote"/>
    <hyperlink ref="L95" location="'🍽️ Menu Costing'!A1" display="Menu"/>
    <hyperlink ref="B96" location="'📦 Inventory'!A1" display="Stock"/>
    <hyperlink ref="D96" location="'🛒 Shopping List'!A1" display="Shop"/>
    <hyperlink ref="F96" location="'💸 Expenses'!A1" display="Expenses"/>
    <hyperlink ref="H96" location="'💰 Payments'!A1" display="▶ Payments"/>
    <hyperlink ref="J96" location="'👷 Staff &amp; Labor'!A1" display="Staff"/>
    <hyperlink ref="L96" location="'🍳 Equipment'!A1" display="Equip"/>
    <hyperlink ref="B97" location="'🚚 Suppliers'!A1" display="Suppliers"/>
    <hyperlink ref="D97" location="'📆 Event Calendar'!A1" display="Calendar"/>
    <hyperlink ref="F97" location="'📈 P&amp;L &amp; Reports'!A1" display="P&amp;L"/>
    <hyperlink ref="H97" location="'🧾 Tax Tracker'!A1" display="Tax"/>
    <hyperlink ref="J97" location="'✅ Checklists'!A1" display="Checks"/>
    <hyperlink ref="L97" location="'🖨️ Invoice &amp; Proposal'!A1" display="Invoice"/>
    <hyperlink ref="B98"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drawing r:id="rId1"/>
</worksheet>
</file>

<file path=xl/worksheets/sheet12.xml><?xml version="1.0" encoding="utf-8"?>
<worksheet xmlns="http://schemas.openxmlformats.org/spreadsheetml/2006/main" xmlns:r="http://schemas.openxmlformats.org/officeDocument/2006/relationships">
  <sheetPr>
    <tabColor rgb="FF6C5B94"/>
    <pageSetUpPr fitToPage="1"/>
  </sheetPr>
  <dimension ref="A1:K68"/>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RowHeight="15"/>
  <cols>
    <col min="1" max="1" width="2.85546875" customWidth="1"/>
    <col min="2" max="2" width="5.28515625" customWidth="1"/>
    <col min="3" max="3" width="18.7109375" customWidth="1"/>
    <col min="4" max="4" width="13.7109375" customWidth="1"/>
    <col min="5" max="5" width="12.7109375" customWidth="1"/>
    <col min="6" max="6" width="8.7109375" customWidth="1"/>
    <col min="7" max="7" width="10.7109375" customWidth="1"/>
    <col min="8" max="8" width="8.7109375" customWidth="1"/>
    <col min="9" max="9" width="12.7109375" customWidth="1"/>
    <col min="10" max="10" width="9.7109375" customWidth="1"/>
    <col min="11" max="11" width="22.7109375" customWidth="1"/>
  </cols>
  <sheetData>
    <row r="1" spans="2:11" ht="7" customHeight="1"/>
    <row r="2" spans="2:11" ht="30" customHeight="1">
      <c r="B2" s="3" t="s">
        <v>310</v>
      </c>
      <c r="C2" s="3"/>
      <c r="D2" s="3"/>
      <c r="E2" s="3"/>
      <c r="F2" s="3"/>
      <c r="G2" s="3"/>
      <c r="H2" s="3"/>
      <c r="I2" s="4"/>
      <c r="J2" s="4"/>
      <c r="K2" s="4"/>
    </row>
    <row r="3" spans="2:11" ht="18" customHeight="1">
      <c r="B3" s="5" t="s">
        <v>311</v>
      </c>
      <c r="C3" s="5"/>
      <c r="D3" s="5"/>
      <c r="E3" s="5"/>
      <c r="F3" s="5"/>
      <c r="G3" s="5"/>
      <c r="H3" s="5"/>
      <c r="I3" s="6" t="s">
        <v>97</v>
      </c>
      <c r="J3" s="6"/>
      <c r="K3" s="6"/>
    </row>
    <row r="4" spans="2:11" ht="7" customHeight="1"/>
    <row r="5" spans="2:11" ht="26" customHeight="1">
      <c r="B5" s="50" t="str">
        <f>"Shifts logged: "&amp;COUNTA('👷 Staff &amp; Labor'!$C$8:$C$57)</f>
        <v>Shifts logged: 0</v>
      </c>
      <c r="C5" s="50"/>
      <c r="D5" s="83" t="str">
        <f>"Wage bill: "&amp;Currency&amp;TEXT(SUMPRODUCT(('👷 Staff &amp; Labor'!$C$8:$C$57&lt;&gt;"")*'👷 Staff &amp; Labor'!$F$8:$F$57*'👷 Staff &amp; Labor'!$G$8:$G$57)+SUMPRODUCT(('👷 Staff &amp; Labor'!$C$8:$C$57&lt;&gt;"")*'👷 Staff &amp; Labor'!$H$8:$H$57*'👷 Staff &amp; Labor'!$G$8:$G$57*1.5),"#,##0")</f>
        <v>Wage bill: $0</v>
      </c>
      <c r="E5" s="83"/>
      <c r="F5" s="53" t="str">
        <f>"Unpaid shifts: "&amp;'_Data'!$AF$26</f>
        <v>Unpaid shifts: 0</v>
      </c>
      <c r="G5" s="53"/>
    </row>
    <row r="6" spans="2:11" ht="7" customHeight="1"/>
    <row r="7" spans="2:11" ht="36" customHeight="1">
      <c r="B7" s="2" t="s">
        <v>205</v>
      </c>
      <c r="C7" s="54" t="s">
        <v>312</v>
      </c>
      <c r="D7" s="2" t="s">
        <v>313</v>
      </c>
      <c r="E7" s="2" t="s">
        <v>284</v>
      </c>
      <c r="F7" s="2" t="s">
        <v>314</v>
      </c>
      <c r="G7" s="2" t="s">
        <v>315</v>
      </c>
      <c r="H7" s="2" t="s">
        <v>316</v>
      </c>
      <c r="I7" s="2" t="s">
        <v>317</v>
      </c>
      <c r="J7" s="56" t="s">
        <v>318</v>
      </c>
      <c r="K7" s="2" t="s">
        <v>217</v>
      </c>
    </row>
    <row r="8" spans="2:11" ht="20" customHeight="1">
      <c r="B8" s="58">
        <f>IF($C8="","",ROW()-7)</f>
        <v/>
      </c>
      <c r="C8" s="14"/>
      <c r="D8" s="60"/>
      <c r="E8" s="60"/>
      <c r="F8" s="85"/>
      <c r="G8" s="62"/>
      <c r="H8" s="85"/>
      <c r="I8" s="63">
        <f>IF(OR($F8="",$G8=""),"",ROUND($F8*$G8+$H8*$G8*1.5,2))</f>
        <v/>
      </c>
      <c r="J8" s="89"/>
      <c r="K8" s="64"/>
    </row>
    <row r="9" spans="2:11" ht="20" customHeight="1">
      <c r="B9" s="65">
        <f>IF($C9="","",ROW()-7)</f>
        <v/>
      </c>
      <c r="C9" s="9"/>
      <c r="D9" s="10"/>
      <c r="E9" s="10"/>
      <c r="F9" s="87"/>
      <c r="G9" s="68"/>
      <c r="H9" s="87"/>
      <c r="I9" s="63">
        <f>IF(OR($F9="",$G9=""),"",ROUND($F9*$G9+$H9*$G9*1.5,2))</f>
        <v/>
      </c>
      <c r="J9" s="90"/>
      <c r="K9" s="69"/>
    </row>
    <row r="10" spans="2:11" ht="20" customHeight="1">
      <c r="B10" s="58">
        <f>IF($C10="","",ROW()-7)</f>
        <v/>
      </c>
      <c r="C10" s="14"/>
      <c r="D10" s="60"/>
      <c r="E10" s="60"/>
      <c r="F10" s="85"/>
      <c r="G10" s="62"/>
      <c r="H10" s="85"/>
      <c r="I10" s="63">
        <f>IF(OR($F10="",$G10=""),"",ROUND($F10*$G10+$H10*$G10*1.5,2))</f>
        <v/>
      </c>
      <c r="J10" s="89"/>
      <c r="K10" s="64"/>
    </row>
    <row r="11" spans="2:11" ht="20" customHeight="1">
      <c r="B11" s="65">
        <f>IF($C11="","",ROW()-7)</f>
        <v/>
      </c>
      <c r="C11" s="9"/>
      <c r="D11" s="10"/>
      <c r="E11" s="10"/>
      <c r="F11" s="87"/>
      <c r="G11" s="68"/>
      <c r="H11" s="87"/>
      <c r="I11" s="63">
        <f>IF(OR($F11="",$G11=""),"",ROUND($F11*$G11+$H11*$G11*1.5,2))</f>
        <v/>
      </c>
      <c r="J11" s="90"/>
      <c r="K11" s="69"/>
    </row>
    <row r="12" spans="2:11" ht="20" customHeight="1">
      <c r="B12" s="58">
        <f>IF($C12="","",ROW()-7)</f>
        <v/>
      </c>
      <c r="C12" s="14"/>
      <c r="D12" s="60"/>
      <c r="E12" s="60"/>
      <c r="F12" s="85"/>
      <c r="G12" s="62"/>
      <c r="H12" s="85"/>
      <c r="I12" s="63">
        <f>IF(OR($F12="",$G12=""),"",ROUND($F12*$G12+$H12*$G12*1.5,2))</f>
        <v/>
      </c>
      <c r="J12" s="89"/>
      <c r="K12" s="64"/>
    </row>
    <row r="13" spans="2:11" ht="20" customHeight="1">
      <c r="B13" s="65">
        <f>IF($C13="","",ROW()-7)</f>
        <v/>
      </c>
      <c r="C13" s="9"/>
      <c r="D13" s="10"/>
      <c r="E13" s="10"/>
      <c r="F13" s="87"/>
      <c r="G13" s="68"/>
      <c r="H13" s="87"/>
      <c r="I13" s="63">
        <f>IF(OR($F13="",$G13=""),"",ROUND($F13*$G13+$H13*$G13*1.5,2))</f>
        <v/>
      </c>
      <c r="J13" s="90"/>
      <c r="K13" s="69"/>
    </row>
    <row r="14" spans="2:11" ht="20" customHeight="1">
      <c r="B14" s="58">
        <f>IF($C14="","",ROW()-7)</f>
        <v/>
      </c>
      <c r="C14" s="14"/>
      <c r="D14" s="60"/>
      <c r="E14" s="60"/>
      <c r="F14" s="85"/>
      <c r="G14" s="62"/>
      <c r="H14" s="85"/>
      <c r="I14" s="63">
        <f>IF(OR($F14="",$G14=""),"",ROUND($F14*$G14+$H14*$G14*1.5,2))</f>
        <v/>
      </c>
      <c r="J14" s="89"/>
      <c r="K14" s="64"/>
    </row>
    <row r="15" spans="2:11" ht="20" customHeight="1">
      <c r="B15" s="65">
        <f>IF($C15="","",ROW()-7)</f>
        <v/>
      </c>
      <c r="C15" s="9"/>
      <c r="D15" s="10"/>
      <c r="E15" s="10"/>
      <c r="F15" s="87"/>
      <c r="G15" s="68"/>
      <c r="H15" s="87"/>
      <c r="I15" s="63">
        <f>IF(OR($F15="",$G15=""),"",ROUND($F15*$G15+$H15*$G15*1.5,2))</f>
        <v/>
      </c>
      <c r="J15" s="90"/>
      <c r="K15" s="69"/>
    </row>
    <row r="16" spans="2:11" ht="20" customHeight="1">
      <c r="B16" s="58">
        <f>IF($C16="","",ROW()-7)</f>
        <v/>
      </c>
      <c r="C16" s="14"/>
      <c r="D16" s="60"/>
      <c r="E16" s="60"/>
      <c r="F16" s="85"/>
      <c r="G16" s="62"/>
      <c r="H16" s="85"/>
      <c r="I16" s="63">
        <f>IF(OR($F16="",$G16=""),"",ROUND($F16*$G16+$H16*$G16*1.5,2))</f>
        <v/>
      </c>
      <c r="J16" s="89"/>
      <c r="K16" s="64"/>
    </row>
    <row r="17" spans="2:11" ht="20" customHeight="1">
      <c r="B17" s="65">
        <f>IF($C17="","",ROW()-7)</f>
        <v/>
      </c>
      <c r="C17" s="9"/>
      <c r="D17" s="10"/>
      <c r="E17" s="10"/>
      <c r="F17" s="87"/>
      <c r="G17" s="68"/>
      <c r="H17" s="87"/>
      <c r="I17" s="63">
        <f>IF(OR($F17="",$G17=""),"",ROUND($F17*$G17+$H17*$G17*1.5,2))</f>
        <v/>
      </c>
      <c r="J17" s="90"/>
      <c r="K17" s="69"/>
    </row>
    <row r="18" spans="2:11" ht="20" customHeight="1">
      <c r="B18" s="58">
        <f>IF($C18="","",ROW()-7)</f>
        <v/>
      </c>
      <c r="C18" s="14"/>
      <c r="D18" s="60"/>
      <c r="E18" s="60"/>
      <c r="F18" s="85"/>
      <c r="G18" s="62"/>
      <c r="H18" s="85"/>
      <c r="I18" s="63">
        <f>IF(OR($F18="",$G18=""),"",ROUND($F18*$G18+$H18*$G18*1.5,2))</f>
        <v/>
      </c>
      <c r="J18" s="89"/>
      <c r="K18" s="64"/>
    </row>
    <row r="19" spans="2:11" ht="20" customHeight="1">
      <c r="B19" s="65">
        <f>IF($C19="","",ROW()-7)</f>
        <v/>
      </c>
      <c r="C19" s="9"/>
      <c r="D19" s="10"/>
      <c r="E19" s="10"/>
      <c r="F19" s="87"/>
      <c r="G19" s="68"/>
      <c r="H19" s="87"/>
      <c r="I19" s="63">
        <f>IF(OR($F19="",$G19=""),"",ROUND($F19*$G19+$H19*$G19*1.5,2))</f>
        <v/>
      </c>
      <c r="J19" s="90"/>
      <c r="K19" s="69"/>
    </row>
    <row r="20" spans="2:11" ht="20" customHeight="1">
      <c r="B20" s="58">
        <f>IF($C20="","",ROW()-7)</f>
        <v/>
      </c>
      <c r="C20" s="14"/>
      <c r="D20" s="60"/>
      <c r="E20" s="60"/>
      <c r="F20" s="85"/>
      <c r="G20" s="62"/>
      <c r="H20" s="85"/>
      <c r="I20" s="63">
        <f>IF(OR($F20="",$G20=""),"",ROUND($F20*$G20+$H20*$G20*1.5,2))</f>
        <v/>
      </c>
      <c r="J20" s="89"/>
      <c r="K20" s="64"/>
    </row>
    <row r="21" spans="2:11" ht="20" customHeight="1">
      <c r="B21" s="65">
        <f>IF($C21="","",ROW()-7)</f>
        <v/>
      </c>
      <c r="C21" s="9"/>
      <c r="D21" s="10"/>
      <c r="E21" s="10"/>
      <c r="F21" s="87"/>
      <c r="G21" s="68"/>
      <c r="H21" s="87"/>
      <c r="I21" s="63">
        <f>IF(OR($F21="",$G21=""),"",ROUND($F21*$G21+$H21*$G21*1.5,2))</f>
        <v/>
      </c>
      <c r="J21" s="90"/>
      <c r="K21" s="69"/>
    </row>
    <row r="22" spans="2:11" ht="20" customHeight="1">
      <c r="B22" s="58">
        <f>IF($C22="","",ROW()-7)</f>
        <v/>
      </c>
      <c r="C22" s="14"/>
      <c r="D22" s="60"/>
      <c r="E22" s="60"/>
      <c r="F22" s="85"/>
      <c r="G22" s="62"/>
      <c r="H22" s="85"/>
      <c r="I22" s="63">
        <f>IF(OR($F22="",$G22=""),"",ROUND($F22*$G22+$H22*$G22*1.5,2))</f>
        <v/>
      </c>
      <c r="J22" s="89"/>
      <c r="K22" s="64"/>
    </row>
    <row r="23" spans="2:11" ht="20" customHeight="1">
      <c r="B23" s="65">
        <f>IF($C23="","",ROW()-7)</f>
        <v/>
      </c>
      <c r="C23" s="9"/>
      <c r="D23" s="10"/>
      <c r="E23" s="10"/>
      <c r="F23" s="87"/>
      <c r="G23" s="68"/>
      <c r="H23" s="87"/>
      <c r="I23" s="63">
        <f>IF(OR($F23="",$G23=""),"",ROUND($F23*$G23+$H23*$G23*1.5,2))</f>
        <v/>
      </c>
      <c r="J23" s="90"/>
      <c r="K23" s="69"/>
    </row>
    <row r="24" spans="2:11" ht="20" customHeight="1">
      <c r="B24" s="58">
        <f>IF($C24="","",ROW()-7)</f>
        <v/>
      </c>
      <c r="C24" s="14"/>
      <c r="D24" s="60"/>
      <c r="E24" s="60"/>
      <c r="F24" s="85"/>
      <c r="G24" s="62"/>
      <c r="H24" s="85"/>
      <c r="I24" s="63">
        <f>IF(OR($F24="",$G24=""),"",ROUND($F24*$G24+$H24*$G24*1.5,2))</f>
        <v/>
      </c>
      <c r="J24" s="89"/>
      <c r="K24" s="64"/>
    </row>
    <row r="25" spans="2:11" ht="20" customHeight="1">
      <c r="B25" s="65">
        <f>IF($C25="","",ROW()-7)</f>
        <v/>
      </c>
      <c r="C25" s="9"/>
      <c r="D25" s="10"/>
      <c r="E25" s="10"/>
      <c r="F25" s="87"/>
      <c r="G25" s="68"/>
      <c r="H25" s="87"/>
      <c r="I25" s="63">
        <f>IF(OR($F25="",$G25=""),"",ROUND($F25*$G25+$H25*$G25*1.5,2))</f>
        <v/>
      </c>
      <c r="J25" s="90"/>
      <c r="K25" s="69"/>
    </row>
    <row r="26" spans="2:11" ht="20" customHeight="1">
      <c r="B26" s="58">
        <f>IF($C26="","",ROW()-7)</f>
        <v/>
      </c>
      <c r="C26" s="14"/>
      <c r="D26" s="60"/>
      <c r="E26" s="60"/>
      <c r="F26" s="85"/>
      <c r="G26" s="62"/>
      <c r="H26" s="85"/>
      <c r="I26" s="63">
        <f>IF(OR($F26="",$G26=""),"",ROUND($F26*$G26+$H26*$G26*1.5,2))</f>
        <v/>
      </c>
      <c r="J26" s="89"/>
      <c r="K26" s="64"/>
    </row>
    <row r="27" spans="2:11" ht="20" customHeight="1">
      <c r="B27" s="65">
        <f>IF($C27="","",ROW()-7)</f>
        <v/>
      </c>
      <c r="C27" s="9"/>
      <c r="D27" s="10"/>
      <c r="E27" s="10"/>
      <c r="F27" s="87"/>
      <c r="G27" s="68"/>
      <c r="H27" s="87"/>
      <c r="I27" s="63">
        <f>IF(OR($F27="",$G27=""),"",ROUND($F27*$G27+$H27*$G27*1.5,2))</f>
        <v/>
      </c>
      <c r="J27" s="90"/>
      <c r="K27" s="69"/>
    </row>
    <row r="28" spans="2:11" ht="20" customHeight="1">
      <c r="B28" s="58">
        <f>IF($C28="","",ROW()-7)</f>
        <v/>
      </c>
      <c r="C28" s="14"/>
      <c r="D28" s="60"/>
      <c r="E28" s="60"/>
      <c r="F28" s="85"/>
      <c r="G28" s="62"/>
      <c r="H28" s="85"/>
      <c r="I28" s="63">
        <f>IF(OR($F28="",$G28=""),"",ROUND($F28*$G28+$H28*$G28*1.5,2))</f>
        <v/>
      </c>
      <c r="J28" s="89"/>
      <c r="K28" s="64"/>
    </row>
    <row r="29" spans="2:11" ht="20" customHeight="1">
      <c r="B29" s="65">
        <f>IF($C29="","",ROW()-7)</f>
        <v/>
      </c>
      <c r="C29" s="9"/>
      <c r="D29" s="10"/>
      <c r="E29" s="10"/>
      <c r="F29" s="87"/>
      <c r="G29" s="68"/>
      <c r="H29" s="87"/>
      <c r="I29" s="63">
        <f>IF(OR($F29="",$G29=""),"",ROUND($F29*$G29+$H29*$G29*1.5,2))</f>
        <v/>
      </c>
      <c r="J29" s="90"/>
      <c r="K29" s="69"/>
    </row>
    <row r="30" spans="2:11" ht="20" customHeight="1">
      <c r="B30" s="58">
        <f>IF($C30="","",ROW()-7)</f>
        <v/>
      </c>
      <c r="C30" s="14"/>
      <c r="D30" s="60"/>
      <c r="E30" s="60"/>
      <c r="F30" s="85"/>
      <c r="G30" s="62"/>
      <c r="H30" s="85"/>
      <c r="I30" s="63">
        <f>IF(OR($F30="",$G30=""),"",ROUND($F30*$G30+$H30*$G30*1.5,2))</f>
        <v/>
      </c>
      <c r="J30" s="89"/>
      <c r="K30" s="64"/>
    </row>
    <row r="31" spans="2:11" ht="20" customHeight="1">
      <c r="B31" s="65">
        <f>IF($C31="","",ROW()-7)</f>
        <v/>
      </c>
      <c r="C31" s="9"/>
      <c r="D31" s="10"/>
      <c r="E31" s="10"/>
      <c r="F31" s="87"/>
      <c r="G31" s="68"/>
      <c r="H31" s="87"/>
      <c r="I31" s="63">
        <f>IF(OR($F31="",$G31=""),"",ROUND($F31*$G31+$H31*$G31*1.5,2))</f>
        <v/>
      </c>
      <c r="J31" s="90"/>
      <c r="K31" s="69"/>
    </row>
    <row r="32" spans="2:11" ht="20" customHeight="1">
      <c r="B32" s="58">
        <f>IF($C32="","",ROW()-7)</f>
        <v/>
      </c>
      <c r="C32" s="14"/>
      <c r="D32" s="60"/>
      <c r="E32" s="60"/>
      <c r="F32" s="85"/>
      <c r="G32" s="62"/>
      <c r="H32" s="85"/>
      <c r="I32" s="63">
        <f>IF(OR($F32="",$G32=""),"",ROUND($F32*$G32+$H32*$G32*1.5,2))</f>
        <v/>
      </c>
      <c r="J32" s="89"/>
      <c r="K32" s="64"/>
    </row>
    <row r="33" spans="2:11" ht="20" customHeight="1">
      <c r="B33" s="65">
        <f>IF($C33="","",ROW()-7)</f>
        <v/>
      </c>
      <c r="C33" s="9"/>
      <c r="D33" s="10"/>
      <c r="E33" s="10"/>
      <c r="F33" s="87"/>
      <c r="G33" s="68"/>
      <c r="H33" s="87"/>
      <c r="I33" s="63">
        <f>IF(OR($F33="",$G33=""),"",ROUND($F33*$G33+$H33*$G33*1.5,2))</f>
        <v/>
      </c>
      <c r="J33" s="90"/>
      <c r="K33" s="69"/>
    </row>
    <row r="34" spans="2:11" ht="20" customHeight="1">
      <c r="B34" s="58">
        <f>IF($C34="","",ROW()-7)</f>
        <v/>
      </c>
      <c r="C34" s="14"/>
      <c r="D34" s="60"/>
      <c r="E34" s="60"/>
      <c r="F34" s="85"/>
      <c r="G34" s="62"/>
      <c r="H34" s="85"/>
      <c r="I34" s="63">
        <f>IF(OR($F34="",$G34=""),"",ROUND($F34*$G34+$H34*$G34*1.5,2))</f>
        <v/>
      </c>
      <c r="J34" s="89"/>
      <c r="K34" s="64"/>
    </row>
    <row r="35" spans="2:11" ht="20" customHeight="1">
      <c r="B35" s="65">
        <f>IF($C35="","",ROW()-7)</f>
        <v/>
      </c>
      <c r="C35" s="9"/>
      <c r="D35" s="10"/>
      <c r="E35" s="10"/>
      <c r="F35" s="87"/>
      <c r="G35" s="68"/>
      <c r="H35" s="87"/>
      <c r="I35" s="63">
        <f>IF(OR($F35="",$G35=""),"",ROUND($F35*$G35+$H35*$G35*1.5,2))</f>
        <v/>
      </c>
      <c r="J35" s="90"/>
      <c r="K35" s="69"/>
    </row>
    <row r="36" spans="2:11" ht="20" customHeight="1">
      <c r="B36" s="58">
        <f>IF($C36="","",ROW()-7)</f>
        <v/>
      </c>
      <c r="C36" s="14"/>
      <c r="D36" s="60"/>
      <c r="E36" s="60"/>
      <c r="F36" s="85"/>
      <c r="G36" s="62"/>
      <c r="H36" s="85"/>
      <c r="I36" s="63">
        <f>IF(OR($F36="",$G36=""),"",ROUND($F36*$G36+$H36*$G36*1.5,2))</f>
        <v/>
      </c>
      <c r="J36" s="89"/>
      <c r="K36" s="64"/>
    </row>
    <row r="37" spans="2:11" ht="20" customHeight="1">
      <c r="B37" s="65">
        <f>IF($C37="","",ROW()-7)</f>
        <v/>
      </c>
      <c r="C37" s="9"/>
      <c r="D37" s="10"/>
      <c r="E37" s="10"/>
      <c r="F37" s="87"/>
      <c r="G37" s="68"/>
      <c r="H37" s="87"/>
      <c r="I37" s="63">
        <f>IF(OR($F37="",$G37=""),"",ROUND($F37*$G37+$H37*$G37*1.5,2))</f>
        <v/>
      </c>
      <c r="J37" s="90"/>
      <c r="K37" s="69"/>
    </row>
    <row r="38" spans="2:11" ht="20" customHeight="1">
      <c r="B38" s="58">
        <f>IF($C38="","",ROW()-7)</f>
        <v/>
      </c>
      <c r="C38" s="14"/>
      <c r="D38" s="60"/>
      <c r="E38" s="60"/>
      <c r="F38" s="85"/>
      <c r="G38" s="62"/>
      <c r="H38" s="85"/>
      <c r="I38" s="63">
        <f>IF(OR($F38="",$G38=""),"",ROUND($F38*$G38+$H38*$G38*1.5,2))</f>
        <v/>
      </c>
      <c r="J38" s="89"/>
      <c r="K38" s="64"/>
    </row>
    <row r="39" spans="2:11" ht="20" customHeight="1">
      <c r="B39" s="65">
        <f>IF($C39="","",ROW()-7)</f>
        <v/>
      </c>
      <c r="C39" s="9"/>
      <c r="D39" s="10"/>
      <c r="E39" s="10"/>
      <c r="F39" s="87"/>
      <c r="G39" s="68"/>
      <c r="H39" s="87"/>
      <c r="I39" s="63">
        <f>IF(OR($F39="",$G39=""),"",ROUND($F39*$G39+$H39*$G39*1.5,2))</f>
        <v/>
      </c>
      <c r="J39" s="90"/>
      <c r="K39" s="69"/>
    </row>
    <row r="40" spans="2:11" ht="20" customHeight="1">
      <c r="B40" s="58">
        <f>IF($C40="","",ROW()-7)</f>
        <v/>
      </c>
      <c r="C40" s="14"/>
      <c r="D40" s="60"/>
      <c r="E40" s="60"/>
      <c r="F40" s="85"/>
      <c r="G40" s="62"/>
      <c r="H40" s="85"/>
      <c r="I40" s="63">
        <f>IF(OR($F40="",$G40=""),"",ROUND($F40*$G40+$H40*$G40*1.5,2))</f>
        <v/>
      </c>
      <c r="J40" s="89"/>
      <c r="K40" s="64"/>
    </row>
    <row r="41" spans="2:11" ht="20" customHeight="1">
      <c r="B41" s="65">
        <f>IF($C41="","",ROW()-7)</f>
        <v/>
      </c>
      <c r="C41" s="9"/>
      <c r="D41" s="10"/>
      <c r="E41" s="10"/>
      <c r="F41" s="87"/>
      <c r="G41" s="68"/>
      <c r="H41" s="87"/>
      <c r="I41" s="63">
        <f>IF(OR($F41="",$G41=""),"",ROUND($F41*$G41+$H41*$G41*1.5,2))</f>
        <v/>
      </c>
      <c r="J41" s="90"/>
      <c r="K41" s="69"/>
    </row>
    <row r="42" spans="2:11" ht="20" customHeight="1">
      <c r="B42" s="58">
        <f>IF($C42="","",ROW()-7)</f>
        <v/>
      </c>
      <c r="C42" s="14"/>
      <c r="D42" s="60"/>
      <c r="E42" s="60"/>
      <c r="F42" s="85"/>
      <c r="G42" s="62"/>
      <c r="H42" s="85"/>
      <c r="I42" s="63">
        <f>IF(OR($F42="",$G42=""),"",ROUND($F42*$G42+$H42*$G42*1.5,2))</f>
        <v/>
      </c>
      <c r="J42" s="89"/>
      <c r="K42" s="64"/>
    </row>
    <row r="43" spans="2:11" ht="20" customHeight="1">
      <c r="B43" s="65">
        <f>IF($C43="","",ROW()-7)</f>
        <v/>
      </c>
      <c r="C43" s="9"/>
      <c r="D43" s="10"/>
      <c r="E43" s="10"/>
      <c r="F43" s="87"/>
      <c r="G43" s="68"/>
      <c r="H43" s="87"/>
      <c r="I43" s="63">
        <f>IF(OR($F43="",$G43=""),"",ROUND($F43*$G43+$H43*$G43*1.5,2))</f>
        <v/>
      </c>
      <c r="J43" s="90"/>
      <c r="K43" s="69"/>
    </row>
    <row r="44" spans="2:11" ht="20" customHeight="1">
      <c r="B44" s="58">
        <f>IF($C44="","",ROW()-7)</f>
        <v/>
      </c>
      <c r="C44" s="14"/>
      <c r="D44" s="60"/>
      <c r="E44" s="60"/>
      <c r="F44" s="85"/>
      <c r="G44" s="62"/>
      <c r="H44" s="85"/>
      <c r="I44" s="63">
        <f>IF(OR($F44="",$G44=""),"",ROUND($F44*$G44+$H44*$G44*1.5,2))</f>
        <v/>
      </c>
      <c r="J44" s="89"/>
      <c r="K44" s="64"/>
    </row>
    <row r="45" spans="2:11" ht="20" customHeight="1">
      <c r="B45" s="65">
        <f>IF($C45="","",ROW()-7)</f>
        <v/>
      </c>
      <c r="C45" s="9"/>
      <c r="D45" s="10"/>
      <c r="E45" s="10"/>
      <c r="F45" s="87"/>
      <c r="G45" s="68"/>
      <c r="H45" s="87"/>
      <c r="I45" s="63">
        <f>IF(OR($F45="",$G45=""),"",ROUND($F45*$G45+$H45*$G45*1.5,2))</f>
        <v/>
      </c>
      <c r="J45" s="90"/>
      <c r="K45" s="69"/>
    </row>
    <row r="46" spans="2:11" ht="20" customHeight="1">
      <c r="B46" s="58">
        <f>IF($C46="","",ROW()-7)</f>
        <v/>
      </c>
      <c r="C46" s="14"/>
      <c r="D46" s="60"/>
      <c r="E46" s="60"/>
      <c r="F46" s="85"/>
      <c r="G46" s="62"/>
      <c r="H46" s="85"/>
      <c r="I46" s="63">
        <f>IF(OR($F46="",$G46=""),"",ROUND($F46*$G46+$H46*$G46*1.5,2))</f>
        <v/>
      </c>
      <c r="J46" s="89"/>
      <c r="K46" s="64"/>
    </row>
    <row r="47" spans="2:11" ht="20" customHeight="1">
      <c r="B47" s="65">
        <f>IF($C47="","",ROW()-7)</f>
        <v/>
      </c>
      <c r="C47" s="9"/>
      <c r="D47" s="10"/>
      <c r="E47" s="10"/>
      <c r="F47" s="87"/>
      <c r="G47" s="68"/>
      <c r="H47" s="87"/>
      <c r="I47" s="63">
        <f>IF(OR($F47="",$G47=""),"",ROUND($F47*$G47+$H47*$G47*1.5,2))</f>
        <v/>
      </c>
      <c r="J47" s="90"/>
      <c r="K47" s="69"/>
    </row>
    <row r="48" spans="2:11" ht="20" customHeight="1">
      <c r="B48" s="58">
        <f>IF($C48="","",ROW()-7)</f>
        <v/>
      </c>
      <c r="C48" s="14"/>
      <c r="D48" s="60"/>
      <c r="E48" s="60"/>
      <c r="F48" s="85"/>
      <c r="G48" s="62"/>
      <c r="H48" s="85"/>
      <c r="I48" s="63">
        <f>IF(OR($F48="",$G48=""),"",ROUND($F48*$G48+$H48*$G48*1.5,2))</f>
        <v/>
      </c>
      <c r="J48" s="89"/>
      <c r="K48" s="64"/>
    </row>
    <row r="49" spans="2:11" ht="20" customHeight="1">
      <c r="B49" s="65">
        <f>IF($C49="","",ROW()-7)</f>
        <v/>
      </c>
      <c r="C49" s="9"/>
      <c r="D49" s="10"/>
      <c r="E49" s="10"/>
      <c r="F49" s="87"/>
      <c r="G49" s="68"/>
      <c r="H49" s="87"/>
      <c r="I49" s="63">
        <f>IF(OR($F49="",$G49=""),"",ROUND($F49*$G49+$H49*$G49*1.5,2))</f>
        <v/>
      </c>
      <c r="J49" s="90"/>
      <c r="K49" s="69"/>
    </row>
    <row r="50" spans="2:11" ht="20" customHeight="1">
      <c r="B50" s="58">
        <f>IF($C50="","",ROW()-7)</f>
        <v/>
      </c>
      <c r="C50" s="14"/>
      <c r="D50" s="60"/>
      <c r="E50" s="60"/>
      <c r="F50" s="85"/>
      <c r="G50" s="62"/>
      <c r="H50" s="85"/>
      <c r="I50" s="63">
        <f>IF(OR($F50="",$G50=""),"",ROUND($F50*$G50+$H50*$G50*1.5,2))</f>
        <v/>
      </c>
      <c r="J50" s="89"/>
      <c r="K50" s="64"/>
    </row>
    <row r="51" spans="2:11" ht="20" customHeight="1">
      <c r="B51" s="65">
        <f>IF($C51="","",ROW()-7)</f>
        <v/>
      </c>
      <c r="C51" s="9"/>
      <c r="D51" s="10"/>
      <c r="E51" s="10"/>
      <c r="F51" s="87"/>
      <c r="G51" s="68"/>
      <c r="H51" s="87"/>
      <c r="I51" s="63">
        <f>IF(OR($F51="",$G51=""),"",ROUND($F51*$G51+$H51*$G51*1.5,2))</f>
        <v/>
      </c>
      <c r="J51" s="90"/>
      <c r="K51" s="69"/>
    </row>
    <row r="52" spans="2:11" ht="20" customHeight="1">
      <c r="B52" s="58">
        <f>IF($C52="","",ROW()-7)</f>
        <v/>
      </c>
      <c r="C52" s="14"/>
      <c r="D52" s="60"/>
      <c r="E52" s="60"/>
      <c r="F52" s="85"/>
      <c r="G52" s="62"/>
      <c r="H52" s="85"/>
      <c r="I52" s="63">
        <f>IF(OR($F52="",$G52=""),"",ROUND($F52*$G52+$H52*$G52*1.5,2))</f>
        <v/>
      </c>
      <c r="J52" s="89"/>
      <c r="K52" s="64"/>
    </row>
    <row r="53" spans="2:11" ht="20" customHeight="1">
      <c r="B53" s="65">
        <f>IF($C53="","",ROW()-7)</f>
        <v/>
      </c>
      <c r="C53" s="9"/>
      <c r="D53" s="10"/>
      <c r="E53" s="10"/>
      <c r="F53" s="87"/>
      <c r="G53" s="68"/>
      <c r="H53" s="87"/>
      <c r="I53" s="63">
        <f>IF(OR($F53="",$G53=""),"",ROUND($F53*$G53+$H53*$G53*1.5,2))</f>
        <v/>
      </c>
      <c r="J53" s="90"/>
      <c r="K53" s="69"/>
    </row>
    <row r="54" spans="2:11" ht="20" customHeight="1">
      <c r="B54" s="58">
        <f>IF($C54="","",ROW()-7)</f>
        <v/>
      </c>
      <c r="C54" s="14"/>
      <c r="D54" s="60"/>
      <c r="E54" s="60"/>
      <c r="F54" s="85"/>
      <c r="G54" s="62"/>
      <c r="H54" s="85"/>
      <c r="I54" s="63">
        <f>IF(OR($F54="",$G54=""),"",ROUND($F54*$G54+$H54*$G54*1.5,2))</f>
        <v/>
      </c>
      <c r="J54" s="89"/>
      <c r="K54" s="64"/>
    </row>
    <row r="55" spans="2:11" ht="20" customHeight="1">
      <c r="B55" s="65">
        <f>IF($C55="","",ROW()-7)</f>
        <v/>
      </c>
      <c r="C55" s="9"/>
      <c r="D55" s="10"/>
      <c r="E55" s="10"/>
      <c r="F55" s="87"/>
      <c r="G55" s="68"/>
      <c r="H55" s="87"/>
      <c r="I55" s="63">
        <f>IF(OR($F55="",$G55=""),"",ROUND($F55*$G55+$H55*$G55*1.5,2))</f>
        <v/>
      </c>
      <c r="J55" s="90"/>
      <c r="K55" s="69"/>
    </row>
    <row r="56" spans="2:11" ht="20" customHeight="1">
      <c r="B56" s="58">
        <f>IF($C56="","",ROW()-7)</f>
        <v/>
      </c>
      <c r="C56" s="14"/>
      <c r="D56" s="60"/>
      <c r="E56" s="60"/>
      <c r="F56" s="85"/>
      <c r="G56" s="62"/>
      <c r="H56" s="85"/>
      <c r="I56" s="63">
        <f>IF(OR($F56="",$G56=""),"",ROUND($F56*$G56+$H56*$G56*1.5,2))</f>
        <v/>
      </c>
      <c r="J56" s="89"/>
      <c r="K56" s="64"/>
    </row>
    <row r="57" spans="2:11" ht="20" customHeight="1">
      <c r="B57" s="65">
        <f>IF($C57="","",ROW()-7)</f>
        <v/>
      </c>
      <c r="C57" s="9"/>
      <c r="D57" s="10"/>
      <c r="E57" s="10"/>
      <c r="F57" s="87"/>
      <c r="G57" s="68"/>
      <c r="H57" s="87"/>
      <c r="I57" s="63">
        <f>IF(OR($F57="",$G57=""),"",ROUND($F57*$G57+$H57*$G57*1.5,2))</f>
        <v/>
      </c>
      <c r="J57" s="90"/>
      <c r="K57" s="69"/>
    </row>
    <row r="58" spans="2:11" ht="24" customHeight="1">
      <c r="B58" s="70" t="s">
        <v>319</v>
      </c>
      <c r="C58" s="70"/>
      <c r="D58" s="70"/>
      <c r="E58" s="70"/>
      <c r="F58" s="70"/>
      <c r="G58" s="70"/>
      <c r="H58" s="71"/>
      <c r="I58" s="84">
        <f>SUMPRODUCT(('👷 Staff &amp; Labor'!$C$8:$C$57&lt;&gt;"")*'👷 Staff &amp; Labor'!$F$8:$F$57*'👷 Staff &amp; Labor'!$G$8:$G$57)+SUMPRODUCT(('👷 Staff &amp; Labor'!$C$8:$C$57&lt;&gt;"")*'👷 Staff &amp; Labor'!$H$8:$H$57*'👷 Staff &amp; Labor'!$G$8:$G$57*1.5)</f>
        <v>0</v>
      </c>
      <c r="J58" s="71"/>
      <c r="K58" s="71"/>
    </row>
    <row r="60" spans="2:11" ht="22" customHeight="1">
      <c r="B60" s="15" t="s">
        <v>219</v>
      </c>
      <c r="C60" s="15"/>
      <c r="D60" s="15"/>
      <c r="E60" s="15"/>
      <c r="F60" s="15"/>
      <c r="G60" s="15"/>
      <c r="H60" s="15"/>
      <c r="I60" s="15"/>
      <c r="J60" s="15"/>
    </row>
    <row r="61" spans="2:11" ht="51.8" customHeight="1">
      <c r="B61" s="22" t="s">
        <v>320</v>
      </c>
      <c r="C61" s="22"/>
      <c r="D61" s="22"/>
      <c r="E61" s="22"/>
      <c r="F61" s="22"/>
      <c r="G61" s="22"/>
      <c r="H61" s="22"/>
      <c r="I61" s="22"/>
      <c r="J61" s="22"/>
    </row>
    <row r="65" spans="2:11">
      <c r="B65" s="23" t="s">
        <v>202</v>
      </c>
      <c r="C65" s="23"/>
      <c r="D65" s="24" t="s">
        <v>164</v>
      </c>
      <c r="E65" s="24"/>
      <c r="F65" s="25" t="s">
        <v>165</v>
      </c>
      <c r="G65" s="25"/>
      <c r="H65" s="26" t="s">
        <v>17</v>
      </c>
      <c r="I65" s="26"/>
      <c r="J65" s="27" t="s">
        <v>166</v>
      </c>
      <c r="K65" s="27"/>
    </row>
    <row r="66" spans="2:11" ht="24" customHeight="1">
      <c r="B66" s="28" t="s">
        <v>167</v>
      </c>
      <c r="C66" s="28"/>
      <c r="D66" s="29" t="s">
        <v>168</v>
      </c>
      <c r="E66" s="29"/>
      <c r="F66" s="30" t="s">
        <v>169</v>
      </c>
      <c r="G66" s="30"/>
      <c r="H66" s="24" t="s">
        <v>170</v>
      </c>
      <c r="I66" s="24"/>
      <c r="J66" s="26" t="s">
        <v>171</v>
      </c>
      <c r="K66" s="26"/>
    </row>
    <row r="67" spans="2:11" ht="24" customHeight="1">
      <c r="B67" s="23" t="s">
        <v>321</v>
      </c>
      <c r="C67" s="23"/>
      <c r="D67" s="24" t="s">
        <v>173</v>
      </c>
      <c r="E67" s="24"/>
      <c r="F67" s="25" t="s">
        <v>174</v>
      </c>
      <c r="G67" s="25"/>
      <c r="H67" s="26" t="s">
        <v>175</v>
      </c>
      <c r="I67" s="26"/>
      <c r="J67" s="27" t="s">
        <v>176</v>
      </c>
      <c r="K67" s="27"/>
    </row>
    <row r="68" spans="2:11" ht="24" customHeight="1">
      <c r="B68" s="28" t="s">
        <v>177</v>
      </c>
      <c r="C68" s="28"/>
      <c r="D68" s="29" t="s">
        <v>178</v>
      </c>
      <c r="E68" s="29"/>
      <c r="F68" s="30" t="s">
        <v>179</v>
      </c>
      <c r="G68" s="30"/>
      <c r="H68" s="24" t="s">
        <v>180</v>
      </c>
      <c r="I68" s="24"/>
    </row>
  </sheetData>
  <mergeCells count="28">
    <mergeCell ref="B2:H2"/>
    <mergeCell ref="B3:H3"/>
    <mergeCell ref="I3:K3"/>
    <mergeCell ref="B5:C5"/>
    <mergeCell ref="D5:E5"/>
    <mergeCell ref="F5:G5"/>
    <mergeCell ref="B58:G58"/>
    <mergeCell ref="B60:J60"/>
    <mergeCell ref="B61:J61"/>
    <mergeCell ref="B65:C65"/>
    <mergeCell ref="D65:E65"/>
    <mergeCell ref="F65:G65"/>
    <mergeCell ref="H65:I65"/>
    <mergeCell ref="J65:K65"/>
    <mergeCell ref="B66:C66"/>
    <mergeCell ref="D66:E66"/>
    <mergeCell ref="F66:G66"/>
    <mergeCell ref="H66:I66"/>
    <mergeCell ref="J66:K66"/>
    <mergeCell ref="B67:C67"/>
    <mergeCell ref="D67:E67"/>
    <mergeCell ref="F67:G67"/>
    <mergeCell ref="H67:I67"/>
    <mergeCell ref="J67:K67"/>
    <mergeCell ref="B68:C68"/>
    <mergeCell ref="D68:E68"/>
    <mergeCell ref="F68:G68"/>
    <mergeCell ref="H68:I68"/>
  </mergeCells>
  <conditionalFormatting sqref="J8:J57">
    <cfRule type="expression" dxfId="10" priority="1">
      <formula>$J8="✓"</formula>
    </cfRule>
    <cfRule type="expression" dxfId="8" priority="2">
      <formula>AND($C8&lt;&gt;"",$J8&lt;&gt;"✓")</formula>
    </cfRule>
  </conditionalFormatting>
  <dataValidations count="4">
    <dataValidation type="list" allowBlank="1" showInputMessage="1" promptTitle="Role" prompt="Head Chef, Server... (edit on Setup)." sqref="D8:D57">
      <formula1>StaffRoles</formula1>
    </dataValidation>
    <dataValidation type="list" allowBlank="1" showInputMessage="1" showErrorMessage="1" promptTitle="Event" prompt="Which booking is this shift for?" sqref="E8:E57">
      <formula1>EventList</formula1>
    </dataValidation>
    <dataValidation type="decimal" operator="greaterThanOrEqual" errorStyle="warning" allowBlank="1" showInputMessage="1" showErrorMessage="1" errorTitle="Enter money" error="Please enter a positive number (no currency symbol) - the symbol comes from Setup." sqref="G8:G57">
      <formula1>0</formula1>
    </dataValidation>
    <dataValidation type="list" allowBlank="1" showInputMessage="1" promptTitle="Tick it off" prompt="Pick ✓ from the dropdown to tick it off (leave blank for not yet)." sqref="J8:J57">
      <formula1>Tick</formula1>
    </dataValidation>
  </dataValidations>
  <hyperlinks>
    <hyperlink ref="I3" location="'📊 Dashboard'!A1" display="🏠  Back to Dashboard"/>
    <hyperlink ref="B65" location="'⚙️ Setup'!A1" display="Setup"/>
    <hyperlink ref="D65" location="'📊 Dashboard'!A1" display="🏠 Home"/>
    <hyperlink ref="F65" location="'👥 Clients'!A1" display="Clients"/>
    <hyperlink ref="H65" location="'📅 Events'!A1" display="Events"/>
    <hyperlink ref="J65" location="'🧮 Quote Calculator'!A1" display="Quote"/>
    <hyperlink ref="B66" location="'🍽️ Menu Costing'!A1" display="Menu"/>
    <hyperlink ref="D66" location="'📦 Inventory'!A1" display="Stock"/>
    <hyperlink ref="F66" location="'🛒 Shopping List'!A1" display="Shop"/>
    <hyperlink ref="H66" location="'💸 Expenses'!A1" display="Expenses"/>
    <hyperlink ref="J66" location="'💰 Payments'!A1" display="Payments"/>
    <hyperlink ref="B67" location="'👷 Staff &amp; Labor'!A1" display="▶ Staff"/>
    <hyperlink ref="D67" location="'🍳 Equipment'!A1" display="Equip"/>
    <hyperlink ref="F67" location="'🚚 Suppliers'!A1" display="Suppliers"/>
    <hyperlink ref="H67" location="'📆 Event Calendar'!A1" display="Calendar"/>
    <hyperlink ref="J67" location="'📈 P&amp;L &amp; Reports'!A1" display="P&amp;L"/>
    <hyperlink ref="B68" location="'🧾 Tax Tracker'!A1" display="Tax"/>
    <hyperlink ref="D68" location="'✅ Checklists'!A1" display="Checks"/>
    <hyperlink ref="F68" location="'🖨️ Invoice &amp; Proposal'!A1" display="Invoice"/>
    <hyperlink ref="H68"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worksheet>
</file>

<file path=xl/worksheets/sheet13.xml><?xml version="1.0" encoding="utf-8"?>
<worksheet xmlns="http://schemas.openxmlformats.org/spreadsheetml/2006/main" xmlns:r="http://schemas.openxmlformats.org/officeDocument/2006/relationships">
  <sheetPr>
    <tabColor rgb="FF3E6E8E"/>
    <pageSetUpPr fitToPage="1"/>
  </sheetPr>
  <dimension ref="A1:L53"/>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RowHeight="15"/>
  <cols>
    <col min="1" max="1" width="2.85546875" customWidth="1"/>
    <col min="2" max="2" width="5.28515625" customWidth="1"/>
    <col min="3" max="3" width="27.7109375" customWidth="1"/>
    <col min="4" max="4" width="14.7109375" customWidth="1"/>
    <col min="5" max="5" width="8.7109375" customWidth="1"/>
    <col min="6" max="6" width="10.7109375" customWidth="1"/>
    <col min="7" max="7" width="9.7109375" customWidth="1"/>
    <col min="8" max="8" width="10.7109375" customWidth="1"/>
    <col min="9" max="9" width="11.7109375" customWidth="1"/>
    <col min="10" max="10" width="12.7109375" customWidth="1"/>
    <col min="11" max="11" width="13.7109375" customWidth="1"/>
    <col min="12" max="12" width="16.7109375" customWidth="1"/>
  </cols>
  <sheetData>
    <row r="1" spans="2:12" ht="7" customHeight="1"/>
    <row r="2" spans="2:12" ht="30" customHeight="1">
      <c r="B2" s="3" t="s">
        <v>24</v>
      </c>
      <c r="C2" s="3"/>
      <c r="D2" s="3"/>
      <c r="E2" s="3"/>
      <c r="F2" s="3"/>
      <c r="G2" s="3"/>
      <c r="H2" s="3"/>
      <c r="I2" s="3"/>
      <c r="J2" s="4"/>
      <c r="K2" s="4"/>
      <c r="L2" s="4"/>
    </row>
    <row r="3" spans="2:12" ht="18" customHeight="1">
      <c r="B3" s="5" t="s">
        <v>322</v>
      </c>
      <c r="C3" s="5"/>
      <c r="D3" s="5"/>
      <c r="E3" s="5"/>
      <c r="F3" s="5"/>
      <c r="G3" s="5"/>
      <c r="H3" s="5"/>
      <c r="I3" s="5"/>
      <c r="J3" s="6" t="s">
        <v>97</v>
      </c>
      <c r="K3" s="6"/>
      <c r="L3" s="6"/>
    </row>
    <row r="4" spans="2:12" ht="7" customHeight="1"/>
    <row r="5" spans="2:12" ht="26" customHeight="1">
      <c r="B5" s="50" t="str">
        <f>"Items owned: "&amp;COUNTA('🍳 Equipment'!$C$8:$C$42)</f>
        <v>Items owned: 0</v>
      </c>
      <c r="C5" s="50"/>
      <c r="D5" s="52" t="str">
        <f>"Equipment value: "&amp;Currency&amp;TEXT(SUMPRODUCT(('🍳 Equipment'!$C$8:$C$42&lt;&gt;"")*'🍳 Equipment'!$E$8:$E$42*'🍳 Equipment'!$I$8:$I$42),"#,##0")</f>
        <v>Equipment value: $0</v>
      </c>
      <c r="E5" s="52"/>
      <c r="F5" s="53" t="str">
        <f>"Reserved now: "&amp;SUMPRODUCT(('🍳 Equipment'!$C$8:$C$42&lt;&gt;"")*'🍳 Equipment'!$F$8:$F$42)</f>
        <v>Reserved now: 0</v>
      </c>
      <c r="G5" s="53"/>
      <c r="H5" s="83" t="str">
        <f>"Needs attention: "&amp;'_Data'!$AF$28</f>
        <v>Needs attention: 0</v>
      </c>
      <c r="I5" s="83"/>
    </row>
    <row r="6" spans="2:12" ht="7" customHeight="1"/>
    <row r="7" spans="2:12" ht="36" customHeight="1">
      <c r="B7" s="2" t="s">
        <v>205</v>
      </c>
      <c r="C7" s="54" t="s">
        <v>323</v>
      </c>
      <c r="D7" s="2" t="s">
        <v>262</v>
      </c>
      <c r="E7" s="2" t="s">
        <v>324</v>
      </c>
      <c r="F7" s="57" t="s">
        <v>325</v>
      </c>
      <c r="G7" s="75" t="s">
        <v>326</v>
      </c>
      <c r="H7" s="2" t="s">
        <v>327</v>
      </c>
      <c r="I7" s="2" t="s">
        <v>328</v>
      </c>
      <c r="J7" s="2" t="s">
        <v>329</v>
      </c>
      <c r="K7" s="55" t="s">
        <v>330</v>
      </c>
      <c r="L7" s="2" t="s">
        <v>42</v>
      </c>
    </row>
    <row r="8" spans="2:12" ht="20" customHeight="1">
      <c r="B8" s="58">
        <f>IF($C8="","",ROW()-7)</f>
        <v/>
      </c>
      <c r="C8" s="14"/>
      <c r="D8" s="60"/>
      <c r="E8" s="61"/>
      <c r="F8" s="61"/>
      <c r="G8" s="61"/>
      <c r="H8" s="91">
        <f>IF($C8="","",$E8-$F8-$G8)</f>
        <v/>
      </c>
      <c r="I8" s="62"/>
      <c r="J8" s="63">
        <f>IF(OR($E8="",$I8=""),"",ROUND($E8*$I8,2))</f>
        <v/>
      </c>
      <c r="K8" s="59"/>
      <c r="L8" s="86">
        <f>IF($C8="","",IF($G8&gt;0,"🔧 Service",IF($K8-TODAY()&lt;=30,"🟡 Soon","🟢 Ready")))</f>
        <v/>
      </c>
    </row>
    <row r="9" spans="2:12" ht="20" customHeight="1">
      <c r="B9" s="65">
        <f>IF($C9="","",ROW()-7)</f>
        <v/>
      </c>
      <c r="C9" s="9"/>
      <c r="D9" s="10"/>
      <c r="E9" s="67"/>
      <c r="F9" s="67"/>
      <c r="G9" s="67"/>
      <c r="H9" s="91">
        <f>IF($C9="","",$E9-$F9-$G9)</f>
        <v/>
      </c>
      <c r="I9" s="68"/>
      <c r="J9" s="63">
        <f>IF(OR($E9="",$I9=""),"",ROUND($E9*$I9,2))</f>
        <v/>
      </c>
      <c r="K9" s="66"/>
      <c r="L9" s="86">
        <f>IF($C9="","",IF($G9&gt;0,"🔧 Service",IF($K9-TODAY()&lt;=30,"🟡 Soon","🟢 Ready")))</f>
        <v/>
      </c>
    </row>
    <row r="10" spans="2:12" ht="20" customHeight="1">
      <c r="B10" s="58">
        <f>IF($C10="","",ROW()-7)</f>
        <v/>
      </c>
      <c r="C10" s="14"/>
      <c r="D10" s="60"/>
      <c r="E10" s="61"/>
      <c r="F10" s="61"/>
      <c r="G10" s="61"/>
      <c r="H10" s="91">
        <f>IF($C10="","",$E10-$F10-$G10)</f>
        <v/>
      </c>
      <c r="I10" s="62"/>
      <c r="J10" s="63">
        <f>IF(OR($E10="",$I10=""),"",ROUND($E10*$I10,2))</f>
        <v/>
      </c>
      <c r="K10" s="59"/>
      <c r="L10" s="86">
        <f>IF($C10="","",IF($G10&gt;0,"🔧 Service",IF($K10-TODAY()&lt;=30,"🟡 Soon","🟢 Ready")))</f>
        <v/>
      </c>
    </row>
    <row r="11" spans="2:12" ht="20" customHeight="1">
      <c r="B11" s="65">
        <f>IF($C11="","",ROW()-7)</f>
        <v/>
      </c>
      <c r="C11" s="9"/>
      <c r="D11" s="10"/>
      <c r="E11" s="67"/>
      <c r="F11" s="67"/>
      <c r="G11" s="67"/>
      <c r="H11" s="91">
        <f>IF($C11="","",$E11-$F11-$G11)</f>
        <v/>
      </c>
      <c r="I11" s="68"/>
      <c r="J11" s="63">
        <f>IF(OR($E11="",$I11=""),"",ROUND($E11*$I11,2))</f>
        <v/>
      </c>
      <c r="K11" s="66"/>
      <c r="L11" s="86">
        <f>IF($C11="","",IF($G11&gt;0,"🔧 Service",IF($K11-TODAY()&lt;=30,"🟡 Soon","🟢 Ready")))</f>
        <v/>
      </c>
    </row>
    <row r="12" spans="2:12" ht="20" customHeight="1">
      <c r="B12" s="58">
        <f>IF($C12="","",ROW()-7)</f>
        <v/>
      </c>
      <c r="C12" s="14"/>
      <c r="D12" s="60"/>
      <c r="E12" s="61"/>
      <c r="F12" s="61"/>
      <c r="G12" s="61"/>
      <c r="H12" s="91">
        <f>IF($C12="","",$E12-$F12-$G12)</f>
        <v/>
      </c>
      <c r="I12" s="62"/>
      <c r="J12" s="63">
        <f>IF(OR($E12="",$I12=""),"",ROUND($E12*$I12,2))</f>
        <v/>
      </c>
      <c r="K12" s="59"/>
      <c r="L12" s="86">
        <f>IF($C12="","",IF($G12&gt;0,"🔧 Service",IF($K12-TODAY()&lt;=30,"🟡 Soon","🟢 Ready")))</f>
        <v/>
      </c>
    </row>
    <row r="13" spans="2:12" ht="20" customHeight="1">
      <c r="B13" s="65">
        <f>IF($C13="","",ROW()-7)</f>
        <v/>
      </c>
      <c r="C13" s="9"/>
      <c r="D13" s="10"/>
      <c r="E13" s="67"/>
      <c r="F13" s="67"/>
      <c r="G13" s="67"/>
      <c r="H13" s="91">
        <f>IF($C13="","",$E13-$F13-$G13)</f>
        <v/>
      </c>
      <c r="I13" s="68"/>
      <c r="J13" s="63">
        <f>IF(OR($E13="",$I13=""),"",ROUND($E13*$I13,2))</f>
        <v/>
      </c>
      <c r="K13" s="66"/>
      <c r="L13" s="86">
        <f>IF($C13="","",IF($G13&gt;0,"🔧 Service",IF($K13-TODAY()&lt;=30,"🟡 Soon","🟢 Ready")))</f>
        <v/>
      </c>
    </row>
    <row r="14" spans="2:12" ht="20" customHeight="1">
      <c r="B14" s="58">
        <f>IF($C14="","",ROW()-7)</f>
        <v/>
      </c>
      <c r="C14" s="14"/>
      <c r="D14" s="60"/>
      <c r="E14" s="61"/>
      <c r="F14" s="61"/>
      <c r="G14" s="61"/>
      <c r="H14" s="91">
        <f>IF($C14="","",$E14-$F14-$G14)</f>
        <v/>
      </c>
      <c r="I14" s="62"/>
      <c r="J14" s="63">
        <f>IF(OR($E14="",$I14=""),"",ROUND($E14*$I14,2))</f>
        <v/>
      </c>
      <c r="K14" s="59"/>
      <c r="L14" s="86">
        <f>IF($C14="","",IF($G14&gt;0,"🔧 Service",IF($K14-TODAY()&lt;=30,"🟡 Soon","🟢 Ready")))</f>
        <v/>
      </c>
    </row>
    <row r="15" spans="2:12" ht="20" customHeight="1">
      <c r="B15" s="65">
        <f>IF($C15="","",ROW()-7)</f>
        <v/>
      </c>
      <c r="C15" s="9"/>
      <c r="D15" s="10"/>
      <c r="E15" s="67"/>
      <c r="F15" s="67"/>
      <c r="G15" s="67"/>
      <c r="H15" s="91">
        <f>IF($C15="","",$E15-$F15-$G15)</f>
        <v/>
      </c>
      <c r="I15" s="68"/>
      <c r="J15" s="63">
        <f>IF(OR($E15="",$I15=""),"",ROUND($E15*$I15,2))</f>
        <v/>
      </c>
      <c r="K15" s="66"/>
      <c r="L15" s="86">
        <f>IF($C15="","",IF($G15&gt;0,"🔧 Service",IF($K15-TODAY()&lt;=30,"🟡 Soon","🟢 Ready")))</f>
        <v/>
      </c>
    </row>
    <row r="16" spans="2:12" ht="20" customHeight="1">
      <c r="B16" s="58">
        <f>IF($C16="","",ROW()-7)</f>
        <v/>
      </c>
      <c r="C16" s="14"/>
      <c r="D16" s="60"/>
      <c r="E16" s="61"/>
      <c r="F16" s="61"/>
      <c r="G16" s="61"/>
      <c r="H16" s="91">
        <f>IF($C16="","",$E16-$F16-$G16)</f>
        <v/>
      </c>
      <c r="I16" s="62"/>
      <c r="J16" s="63">
        <f>IF(OR($E16="",$I16=""),"",ROUND($E16*$I16,2))</f>
        <v/>
      </c>
      <c r="K16" s="59"/>
      <c r="L16" s="86">
        <f>IF($C16="","",IF($G16&gt;0,"🔧 Service",IF($K16-TODAY()&lt;=30,"🟡 Soon","🟢 Ready")))</f>
        <v/>
      </c>
    </row>
    <row r="17" spans="2:12" ht="20" customHeight="1">
      <c r="B17" s="65">
        <f>IF($C17="","",ROW()-7)</f>
        <v/>
      </c>
      <c r="C17" s="9"/>
      <c r="D17" s="10"/>
      <c r="E17" s="67"/>
      <c r="F17" s="67"/>
      <c r="G17" s="67"/>
      <c r="H17" s="91">
        <f>IF($C17="","",$E17-$F17-$G17)</f>
        <v/>
      </c>
      <c r="I17" s="68"/>
      <c r="J17" s="63">
        <f>IF(OR($E17="",$I17=""),"",ROUND($E17*$I17,2))</f>
        <v/>
      </c>
      <c r="K17" s="66"/>
      <c r="L17" s="86">
        <f>IF($C17="","",IF($G17&gt;0,"🔧 Service",IF($K17-TODAY()&lt;=30,"🟡 Soon","🟢 Ready")))</f>
        <v/>
      </c>
    </row>
    <row r="18" spans="2:12" ht="20" customHeight="1">
      <c r="B18" s="58">
        <f>IF($C18="","",ROW()-7)</f>
        <v/>
      </c>
      <c r="C18" s="14"/>
      <c r="D18" s="60"/>
      <c r="E18" s="61"/>
      <c r="F18" s="61"/>
      <c r="G18" s="61"/>
      <c r="H18" s="91">
        <f>IF($C18="","",$E18-$F18-$G18)</f>
        <v/>
      </c>
      <c r="I18" s="62"/>
      <c r="J18" s="63">
        <f>IF(OR($E18="",$I18=""),"",ROUND($E18*$I18,2))</f>
        <v/>
      </c>
      <c r="K18" s="59"/>
      <c r="L18" s="86">
        <f>IF($C18="","",IF($G18&gt;0,"🔧 Service",IF($K18-TODAY()&lt;=30,"🟡 Soon","🟢 Ready")))</f>
        <v/>
      </c>
    </row>
    <row r="19" spans="2:12" ht="20" customHeight="1">
      <c r="B19" s="65">
        <f>IF($C19="","",ROW()-7)</f>
        <v/>
      </c>
      <c r="C19" s="9"/>
      <c r="D19" s="10"/>
      <c r="E19" s="67"/>
      <c r="F19" s="67"/>
      <c r="G19" s="67"/>
      <c r="H19" s="91">
        <f>IF($C19="","",$E19-$F19-$G19)</f>
        <v/>
      </c>
      <c r="I19" s="68"/>
      <c r="J19" s="63">
        <f>IF(OR($E19="",$I19=""),"",ROUND($E19*$I19,2))</f>
        <v/>
      </c>
      <c r="K19" s="66"/>
      <c r="L19" s="86">
        <f>IF($C19="","",IF($G19&gt;0,"🔧 Service",IF($K19-TODAY()&lt;=30,"🟡 Soon","🟢 Ready")))</f>
        <v/>
      </c>
    </row>
    <row r="20" spans="2:12" ht="20" customHeight="1">
      <c r="B20" s="58">
        <f>IF($C20="","",ROW()-7)</f>
        <v/>
      </c>
      <c r="C20" s="14"/>
      <c r="D20" s="60"/>
      <c r="E20" s="61"/>
      <c r="F20" s="61"/>
      <c r="G20" s="61"/>
      <c r="H20" s="91">
        <f>IF($C20="","",$E20-$F20-$G20)</f>
        <v/>
      </c>
      <c r="I20" s="62"/>
      <c r="J20" s="63">
        <f>IF(OR($E20="",$I20=""),"",ROUND($E20*$I20,2))</f>
        <v/>
      </c>
      <c r="K20" s="59"/>
      <c r="L20" s="86">
        <f>IF($C20="","",IF($G20&gt;0,"🔧 Service",IF($K20-TODAY()&lt;=30,"🟡 Soon","🟢 Ready")))</f>
        <v/>
      </c>
    </row>
    <row r="21" spans="2:12" ht="20" customHeight="1">
      <c r="B21" s="65">
        <f>IF($C21="","",ROW()-7)</f>
        <v/>
      </c>
      <c r="C21" s="9"/>
      <c r="D21" s="10"/>
      <c r="E21" s="67"/>
      <c r="F21" s="67"/>
      <c r="G21" s="67"/>
      <c r="H21" s="91">
        <f>IF($C21="","",$E21-$F21-$G21)</f>
        <v/>
      </c>
      <c r="I21" s="68"/>
      <c r="J21" s="63">
        <f>IF(OR($E21="",$I21=""),"",ROUND($E21*$I21,2))</f>
        <v/>
      </c>
      <c r="K21" s="66"/>
      <c r="L21" s="86">
        <f>IF($C21="","",IF($G21&gt;0,"🔧 Service",IF($K21-TODAY()&lt;=30,"🟡 Soon","🟢 Ready")))</f>
        <v/>
      </c>
    </row>
    <row r="22" spans="2:12" ht="20" customHeight="1">
      <c r="B22" s="58">
        <f>IF($C22="","",ROW()-7)</f>
        <v/>
      </c>
      <c r="C22" s="14"/>
      <c r="D22" s="60"/>
      <c r="E22" s="61"/>
      <c r="F22" s="61"/>
      <c r="G22" s="61"/>
      <c r="H22" s="91">
        <f>IF($C22="","",$E22-$F22-$G22)</f>
        <v/>
      </c>
      <c r="I22" s="62"/>
      <c r="J22" s="63">
        <f>IF(OR($E22="",$I22=""),"",ROUND($E22*$I22,2))</f>
        <v/>
      </c>
      <c r="K22" s="59"/>
      <c r="L22" s="86">
        <f>IF($C22="","",IF($G22&gt;0,"🔧 Service",IF($K22-TODAY()&lt;=30,"🟡 Soon","🟢 Ready")))</f>
        <v/>
      </c>
    </row>
    <row r="23" spans="2:12" ht="20" customHeight="1">
      <c r="B23" s="65">
        <f>IF($C23="","",ROW()-7)</f>
        <v/>
      </c>
      <c r="C23" s="9"/>
      <c r="D23" s="10"/>
      <c r="E23" s="67"/>
      <c r="F23" s="67"/>
      <c r="G23" s="67"/>
      <c r="H23" s="91">
        <f>IF($C23="","",$E23-$F23-$G23)</f>
        <v/>
      </c>
      <c r="I23" s="68"/>
      <c r="J23" s="63">
        <f>IF(OR($E23="",$I23=""),"",ROUND($E23*$I23,2))</f>
        <v/>
      </c>
      <c r="K23" s="66"/>
      <c r="L23" s="86">
        <f>IF($C23="","",IF($G23&gt;0,"🔧 Service",IF($K23-TODAY()&lt;=30,"🟡 Soon","🟢 Ready")))</f>
        <v/>
      </c>
    </row>
    <row r="24" spans="2:12" ht="20" customHeight="1">
      <c r="B24" s="58">
        <f>IF($C24="","",ROW()-7)</f>
        <v/>
      </c>
      <c r="C24" s="14"/>
      <c r="D24" s="60"/>
      <c r="E24" s="61"/>
      <c r="F24" s="61"/>
      <c r="G24" s="61"/>
      <c r="H24" s="91">
        <f>IF($C24="","",$E24-$F24-$G24)</f>
        <v/>
      </c>
      <c r="I24" s="62"/>
      <c r="J24" s="63">
        <f>IF(OR($E24="",$I24=""),"",ROUND($E24*$I24,2))</f>
        <v/>
      </c>
      <c r="K24" s="59"/>
      <c r="L24" s="86">
        <f>IF($C24="","",IF($G24&gt;0,"🔧 Service",IF($K24-TODAY()&lt;=30,"🟡 Soon","🟢 Ready")))</f>
        <v/>
      </c>
    </row>
    <row r="25" spans="2:12" ht="20" customHeight="1">
      <c r="B25" s="65">
        <f>IF($C25="","",ROW()-7)</f>
        <v/>
      </c>
      <c r="C25" s="9"/>
      <c r="D25" s="10"/>
      <c r="E25" s="67"/>
      <c r="F25" s="67"/>
      <c r="G25" s="67"/>
      <c r="H25" s="91">
        <f>IF($C25="","",$E25-$F25-$G25)</f>
        <v/>
      </c>
      <c r="I25" s="68"/>
      <c r="J25" s="63">
        <f>IF(OR($E25="",$I25=""),"",ROUND($E25*$I25,2))</f>
        <v/>
      </c>
      <c r="K25" s="66"/>
      <c r="L25" s="86">
        <f>IF($C25="","",IF($G25&gt;0,"🔧 Service",IF($K25-TODAY()&lt;=30,"🟡 Soon","🟢 Ready")))</f>
        <v/>
      </c>
    </row>
    <row r="26" spans="2:12" ht="20" customHeight="1">
      <c r="B26" s="58">
        <f>IF($C26="","",ROW()-7)</f>
        <v/>
      </c>
      <c r="C26" s="14"/>
      <c r="D26" s="60"/>
      <c r="E26" s="61"/>
      <c r="F26" s="61"/>
      <c r="G26" s="61"/>
      <c r="H26" s="91">
        <f>IF($C26="","",$E26-$F26-$G26)</f>
        <v/>
      </c>
      <c r="I26" s="62"/>
      <c r="J26" s="63">
        <f>IF(OR($E26="",$I26=""),"",ROUND($E26*$I26,2))</f>
        <v/>
      </c>
      <c r="K26" s="59"/>
      <c r="L26" s="86">
        <f>IF($C26="","",IF($G26&gt;0,"🔧 Service",IF($K26-TODAY()&lt;=30,"🟡 Soon","🟢 Ready")))</f>
        <v/>
      </c>
    </row>
    <row r="27" spans="2:12" ht="20" customHeight="1">
      <c r="B27" s="65">
        <f>IF($C27="","",ROW()-7)</f>
        <v/>
      </c>
      <c r="C27" s="9"/>
      <c r="D27" s="10"/>
      <c r="E27" s="67"/>
      <c r="F27" s="67"/>
      <c r="G27" s="67"/>
      <c r="H27" s="91">
        <f>IF($C27="","",$E27-$F27-$G27)</f>
        <v/>
      </c>
      <c r="I27" s="68"/>
      <c r="J27" s="63">
        <f>IF(OR($E27="",$I27=""),"",ROUND($E27*$I27,2))</f>
        <v/>
      </c>
      <c r="K27" s="66"/>
      <c r="L27" s="86">
        <f>IF($C27="","",IF($G27&gt;0,"🔧 Service",IF($K27-TODAY()&lt;=30,"🟡 Soon","🟢 Ready")))</f>
        <v/>
      </c>
    </row>
    <row r="28" spans="2:12" ht="20" customHeight="1">
      <c r="B28" s="58">
        <f>IF($C28="","",ROW()-7)</f>
        <v/>
      </c>
      <c r="C28" s="14"/>
      <c r="D28" s="60"/>
      <c r="E28" s="61"/>
      <c r="F28" s="61"/>
      <c r="G28" s="61"/>
      <c r="H28" s="91">
        <f>IF($C28="","",$E28-$F28-$G28)</f>
        <v/>
      </c>
      <c r="I28" s="62"/>
      <c r="J28" s="63">
        <f>IF(OR($E28="",$I28=""),"",ROUND($E28*$I28,2))</f>
        <v/>
      </c>
      <c r="K28" s="59"/>
      <c r="L28" s="86">
        <f>IF($C28="","",IF($G28&gt;0,"🔧 Service",IF($K28-TODAY()&lt;=30,"🟡 Soon","🟢 Ready")))</f>
        <v/>
      </c>
    </row>
    <row r="29" spans="2:12" ht="20" customHeight="1">
      <c r="B29" s="65">
        <f>IF($C29="","",ROW()-7)</f>
        <v/>
      </c>
      <c r="C29" s="9"/>
      <c r="D29" s="10"/>
      <c r="E29" s="67"/>
      <c r="F29" s="67"/>
      <c r="G29" s="67"/>
      <c r="H29" s="91">
        <f>IF($C29="","",$E29-$F29-$G29)</f>
        <v/>
      </c>
      <c r="I29" s="68"/>
      <c r="J29" s="63">
        <f>IF(OR($E29="",$I29=""),"",ROUND($E29*$I29,2))</f>
        <v/>
      </c>
      <c r="K29" s="66"/>
      <c r="L29" s="86">
        <f>IF($C29="","",IF($G29&gt;0,"🔧 Service",IF($K29-TODAY()&lt;=30,"🟡 Soon","🟢 Ready")))</f>
        <v/>
      </c>
    </row>
    <row r="30" spans="2:12" ht="20" customHeight="1">
      <c r="B30" s="58">
        <f>IF($C30="","",ROW()-7)</f>
        <v/>
      </c>
      <c r="C30" s="14"/>
      <c r="D30" s="60"/>
      <c r="E30" s="61"/>
      <c r="F30" s="61"/>
      <c r="G30" s="61"/>
      <c r="H30" s="91">
        <f>IF($C30="","",$E30-$F30-$G30)</f>
        <v/>
      </c>
      <c r="I30" s="62"/>
      <c r="J30" s="63">
        <f>IF(OR($E30="",$I30=""),"",ROUND($E30*$I30,2))</f>
        <v/>
      </c>
      <c r="K30" s="59"/>
      <c r="L30" s="86">
        <f>IF($C30="","",IF($G30&gt;0,"🔧 Service",IF($K30-TODAY()&lt;=30,"🟡 Soon","🟢 Ready")))</f>
        <v/>
      </c>
    </row>
    <row r="31" spans="2:12" ht="20" customHeight="1">
      <c r="B31" s="65">
        <f>IF($C31="","",ROW()-7)</f>
        <v/>
      </c>
      <c r="C31" s="9"/>
      <c r="D31" s="10"/>
      <c r="E31" s="67"/>
      <c r="F31" s="67"/>
      <c r="G31" s="67"/>
      <c r="H31" s="91">
        <f>IF($C31="","",$E31-$F31-$G31)</f>
        <v/>
      </c>
      <c r="I31" s="68"/>
      <c r="J31" s="63">
        <f>IF(OR($E31="",$I31=""),"",ROUND($E31*$I31,2))</f>
        <v/>
      </c>
      <c r="K31" s="66"/>
      <c r="L31" s="86">
        <f>IF($C31="","",IF($G31&gt;0,"🔧 Service",IF($K31-TODAY()&lt;=30,"🟡 Soon","🟢 Ready")))</f>
        <v/>
      </c>
    </row>
    <row r="32" spans="2:12" ht="20" customHeight="1">
      <c r="B32" s="58">
        <f>IF($C32="","",ROW()-7)</f>
        <v/>
      </c>
      <c r="C32" s="14"/>
      <c r="D32" s="60"/>
      <c r="E32" s="61"/>
      <c r="F32" s="61"/>
      <c r="G32" s="61"/>
      <c r="H32" s="91">
        <f>IF($C32="","",$E32-$F32-$G32)</f>
        <v/>
      </c>
      <c r="I32" s="62"/>
      <c r="J32" s="63">
        <f>IF(OR($E32="",$I32=""),"",ROUND($E32*$I32,2))</f>
        <v/>
      </c>
      <c r="K32" s="59"/>
      <c r="L32" s="86">
        <f>IF($C32="","",IF($G32&gt;0,"🔧 Service",IF($K32-TODAY()&lt;=30,"🟡 Soon","🟢 Ready")))</f>
        <v/>
      </c>
    </row>
    <row r="33" spans="2:12" ht="20" customHeight="1">
      <c r="B33" s="65">
        <f>IF($C33="","",ROW()-7)</f>
        <v/>
      </c>
      <c r="C33" s="9"/>
      <c r="D33" s="10"/>
      <c r="E33" s="67"/>
      <c r="F33" s="67"/>
      <c r="G33" s="67"/>
      <c r="H33" s="91">
        <f>IF($C33="","",$E33-$F33-$G33)</f>
        <v/>
      </c>
      <c r="I33" s="68"/>
      <c r="J33" s="63">
        <f>IF(OR($E33="",$I33=""),"",ROUND($E33*$I33,2))</f>
        <v/>
      </c>
      <c r="K33" s="66"/>
      <c r="L33" s="86">
        <f>IF($C33="","",IF($G33&gt;0,"🔧 Service",IF($K33-TODAY()&lt;=30,"🟡 Soon","🟢 Ready")))</f>
        <v/>
      </c>
    </row>
    <row r="34" spans="2:12" ht="20" customHeight="1">
      <c r="B34" s="58">
        <f>IF($C34="","",ROW()-7)</f>
        <v/>
      </c>
      <c r="C34" s="14"/>
      <c r="D34" s="60"/>
      <c r="E34" s="61"/>
      <c r="F34" s="61"/>
      <c r="G34" s="61"/>
      <c r="H34" s="91">
        <f>IF($C34="","",$E34-$F34-$G34)</f>
        <v/>
      </c>
      <c r="I34" s="62"/>
      <c r="J34" s="63">
        <f>IF(OR($E34="",$I34=""),"",ROUND($E34*$I34,2))</f>
        <v/>
      </c>
      <c r="K34" s="59"/>
      <c r="L34" s="86">
        <f>IF($C34="","",IF($G34&gt;0,"🔧 Service",IF($K34-TODAY()&lt;=30,"🟡 Soon","🟢 Ready")))</f>
        <v/>
      </c>
    </row>
    <row r="35" spans="2:12" ht="20" customHeight="1">
      <c r="B35" s="65">
        <f>IF($C35="","",ROW()-7)</f>
        <v/>
      </c>
      <c r="C35" s="9"/>
      <c r="D35" s="10"/>
      <c r="E35" s="67"/>
      <c r="F35" s="67"/>
      <c r="G35" s="67"/>
      <c r="H35" s="91">
        <f>IF($C35="","",$E35-$F35-$G35)</f>
        <v/>
      </c>
      <c r="I35" s="68"/>
      <c r="J35" s="63">
        <f>IF(OR($E35="",$I35=""),"",ROUND($E35*$I35,2))</f>
        <v/>
      </c>
      <c r="K35" s="66"/>
      <c r="L35" s="86">
        <f>IF($C35="","",IF($G35&gt;0,"🔧 Service",IF($K35-TODAY()&lt;=30,"🟡 Soon","🟢 Ready")))</f>
        <v/>
      </c>
    </row>
    <row r="36" spans="2:12" ht="20" customHeight="1">
      <c r="B36" s="58">
        <f>IF($C36="","",ROW()-7)</f>
        <v/>
      </c>
      <c r="C36" s="14"/>
      <c r="D36" s="60"/>
      <c r="E36" s="61"/>
      <c r="F36" s="61"/>
      <c r="G36" s="61"/>
      <c r="H36" s="91">
        <f>IF($C36="","",$E36-$F36-$G36)</f>
        <v/>
      </c>
      <c r="I36" s="62"/>
      <c r="J36" s="63">
        <f>IF(OR($E36="",$I36=""),"",ROUND($E36*$I36,2))</f>
        <v/>
      </c>
      <c r="K36" s="59"/>
      <c r="L36" s="86">
        <f>IF($C36="","",IF($G36&gt;0,"🔧 Service",IF($K36-TODAY()&lt;=30,"🟡 Soon","🟢 Ready")))</f>
        <v/>
      </c>
    </row>
    <row r="37" spans="2:12" ht="20" customHeight="1">
      <c r="B37" s="65">
        <f>IF($C37="","",ROW()-7)</f>
        <v/>
      </c>
      <c r="C37" s="9"/>
      <c r="D37" s="10"/>
      <c r="E37" s="67"/>
      <c r="F37" s="67"/>
      <c r="G37" s="67"/>
      <c r="H37" s="91">
        <f>IF($C37="","",$E37-$F37-$G37)</f>
        <v/>
      </c>
      <c r="I37" s="68"/>
      <c r="J37" s="63">
        <f>IF(OR($E37="",$I37=""),"",ROUND($E37*$I37,2))</f>
        <v/>
      </c>
      <c r="K37" s="66"/>
      <c r="L37" s="86">
        <f>IF($C37="","",IF($G37&gt;0,"🔧 Service",IF($K37-TODAY()&lt;=30,"🟡 Soon","🟢 Ready")))</f>
        <v/>
      </c>
    </row>
    <row r="38" spans="2:12" ht="20" customHeight="1">
      <c r="B38" s="58">
        <f>IF($C38="","",ROW()-7)</f>
        <v/>
      </c>
      <c r="C38" s="14"/>
      <c r="D38" s="60"/>
      <c r="E38" s="61"/>
      <c r="F38" s="61"/>
      <c r="G38" s="61"/>
      <c r="H38" s="91">
        <f>IF($C38="","",$E38-$F38-$G38)</f>
        <v/>
      </c>
      <c r="I38" s="62"/>
      <c r="J38" s="63">
        <f>IF(OR($E38="",$I38=""),"",ROUND($E38*$I38,2))</f>
        <v/>
      </c>
      <c r="K38" s="59"/>
      <c r="L38" s="86">
        <f>IF($C38="","",IF($G38&gt;0,"🔧 Service",IF($K38-TODAY()&lt;=30,"🟡 Soon","🟢 Ready")))</f>
        <v/>
      </c>
    </row>
    <row r="39" spans="2:12" ht="20" customHeight="1">
      <c r="B39" s="65">
        <f>IF($C39="","",ROW()-7)</f>
        <v/>
      </c>
      <c r="C39" s="9"/>
      <c r="D39" s="10"/>
      <c r="E39" s="67"/>
      <c r="F39" s="67"/>
      <c r="G39" s="67"/>
      <c r="H39" s="91">
        <f>IF($C39="","",$E39-$F39-$G39)</f>
        <v/>
      </c>
      <c r="I39" s="68"/>
      <c r="J39" s="63">
        <f>IF(OR($E39="",$I39=""),"",ROUND($E39*$I39,2))</f>
        <v/>
      </c>
      <c r="K39" s="66"/>
      <c r="L39" s="86">
        <f>IF($C39="","",IF($G39&gt;0,"🔧 Service",IF($K39-TODAY()&lt;=30,"🟡 Soon","🟢 Ready")))</f>
        <v/>
      </c>
    </row>
    <row r="40" spans="2:12" ht="20" customHeight="1">
      <c r="B40" s="58">
        <f>IF($C40="","",ROW()-7)</f>
        <v/>
      </c>
      <c r="C40" s="14"/>
      <c r="D40" s="60"/>
      <c r="E40" s="61"/>
      <c r="F40" s="61"/>
      <c r="G40" s="61"/>
      <c r="H40" s="91">
        <f>IF($C40="","",$E40-$F40-$G40)</f>
        <v/>
      </c>
      <c r="I40" s="62"/>
      <c r="J40" s="63">
        <f>IF(OR($E40="",$I40=""),"",ROUND($E40*$I40,2))</f>
        <v/>
      </c>
      <c r="K40" s="59"/>
      <c r="L40" s="86">
        <f>IF($C40="","",IF($G40&gt;0,"🔧 Service",IF($K40-TODAY()&lt;=30,"🟡 Soon","🟢 Ready")))</f>
        <v/>
      </c>
    </row>
    <row r="41" spans="2:12" ht="20" customHeight="1">
      <c r="B41" s="65">
        <f>IF($C41="","",ROW()-7)</f>
        <v/>
      </c>
      <c r="C41" s="9"/>
      <c r="D41" s="10"/>
      <c r="E41" s="67"/>
      <c r="F41" s="67"/>
      <c r="G41" s="67"/>
      <c r="H41" s="91">
        <f>IF($C41="","",$E41-$F41-$G41)</f>
        <v/>
      </c>
      <c r="I41" s="68"/>
      <c r="J41" s="63">
        <f>IF(OR($E41="",$I41=""),"",ROUND($E41*$I41,2))</f>
        <v/>
      </c>
      <c r="K41" s="66"/>
      <c r="L41" s="86">
        <f>IF($C41="","",IF($G41&gt;0,"🔧 Service",IF($K41-TODAY()&lt;=30,"🟡 Soon","🟢 Ready")))</f>
        <v/>
      </c>
    </row>
    <row r="42" spans="2:12" ht="20" customHeight="1">
      <c r="B42" s="58">
        <f>IF($C42="","",ROW()-7)</f>
        <v/>
      </c>
      <c r="C42" s="14"/>
      <c r="D42" s="60"/>
      <c r="E42" s="61"/>
      <c r="F42" s="61"/>
      <c r="G42" s="61"/>
      <c r="H42" s="91">
        <f>IF($C42="","",$E42-$F42-$G42)</f>
        <v/>
      </c>
      <c r="I42" s="62"/>
      <c r="J42" s="63">
        <f>IF(OR($E42="",$I42=""),"",ROUND($E42*$I42,2))</f>
        <v/>
      </c>
      <c r="K42" s="59"/>
      <c r="L42" s="86">
        <f>IF($C42="","",IF($G42&gt;0,"🔧 Service",IF($K42-TODAY()&lt;=30,"🟡 Soon","🟢 Ready")))</f>
        <v/>
      </c>
    </row>
    <row r="43" spans="2:12" ht="24" customHeight="1">
      <c r="B43" s="70" t="s">
        <v>331</v>
      </c>
      <c r="C43" s="70"/>
      <c r="D43" s="71"/>
      <c r="E43" s="72">
        <f>SUM('🍳 Equipment'!$E$8:$E$42)</f>
        <v>0</v>
      </c>
      <c r="F43" s="71"/>
      <c r="G43" s="71"/>
      <c r="H43" s="71"/>
      <c r="I43" s="71"/>
      <c r="J43" s="72">
        <f>SUMPRODUCT(('🍳 Equipment'!$C$8:$C$42&lt;&gt;"")*'🍳 Equipment'!$E$8:$E$42*'🍳 Equipment'!$I$8:$I$42)</f>
        <v>0</v>
      </c>
      <c r="K43" s="71"/>
      <c r="L43" s="71"/>
    </row>
    <row r="45" spans="2:12" ht="22" customHeight="1">
      <c r="B45" s="15" t="s">
        <v>219</v>
      </c>
      <c r="C45" s="15"/>
      <c r="D45" s="15"/>
      <c r="E45" s="15"/>
      <c r="F45" s="15"/>
      <c r="G45" s="15"/>
      <c r="H45" s="15"/>
      <c r="I45" s="15"/>
      <c r="J45" s="15"/>
      <c r="K45" s="15"/>
    </row>
    <row r="46" spans="2:12" ht="51.8" customHeight="1">
      <c r="B46" s="22" t="s">
        <v>332</v>
      </c>
      <c r="C46" s="22"/>
      <c r="D46" s="22"/>
      <c r="E46" s="22"/>
      <c r="F46" s="22"/>
      <c r="G46" s="22"/>
      <c r="H46" s="22"/>
      <c r="I46" s="22"/>
      <c r="J46" s="22"/>
      <c r="K46" s="22"/>
    </row>
    <row r="50" spans="2:11">
      <c r="B50" s="23" t="s">
        <v>202</v>
      </c>
      <c r="C50" s="23"/>
      <c r="D50" s="24" t="s">
        <v>164</v>
      </c>
      <c r="E50" s="24"/>
      <c r="F50" s="25" t="s">
        <v>165</v>
      </c>
      <c r="G50" s="25"/>
      <c r="H50" s="26" t="s">
        <v>17</v>
      </c>
      <c r="I50" s="26"/>
      <c r="J50" s="27" t="s">
        <v>166</v>
      </c>
      <c r="K50" s="27"/>
    </row>
    <row r="51" spans="2:11" ht="24" customHeight="1">
      <c r="B51" s="28" t="s">
        <v>167</v>
      </c>
      <c r="C51" s="28"/>
      <c r="D51" s="29" t="s">
        <v>168</v>
      </c>
      <c r="E51" s="29"/>
      <c r="F51" s="30" t="s">
        <v>169</v>
      </c>
      <c r="G51" s="30"/>
      <c r="H51" s="24" t="s">
        <v>170</v>
      </c>
      <c r="I51" s="24"/>
      <c r="J51" s="26" t="s">
        <v>171</v>
      </c>
      <c r="K51" s="26"/>
    </row>
    <row r="52" spans="2:11" ht="24" customHeight="1">
      <c r="B52" s="23" t="s">
        <v>172</v>
      </c>
      <c r="C52" s="23"/>
      <c r="D52" s="24" t="s">
        <v>333</v>
      </c>
      <c r="E52" s="24"/>
      <c r="F52" s="25" t="s">
        <v>174</v>
      </c>
      <c r="G52" s="25"/>
      <c r="H52" s="26" t="s">
        <v>175</v>
      </c>
      <c r="I52" s="26"/>
      <c r="J52" s="27" t="s">
        <v>176</v>
      </c>
      <c r="K52" s="27"/>
    </row>
    <row r="53" spans="2:11" ht="24" customHeight="1">
      <c r="B53" s="28" t="s">
        <v>177</v>
      </c>
      <c r="C53" s="28"/>
      <c r="D53" s="29" t="s">
        <v>178</v>
      </c>
      <c r="E53" s="29"/>
      <c r="F53" s="30" t="s">
        <v>179</v>
      </c>
      <c r="G53" s="30"/>
      <c r="H53" s="24" t="s">
        <v>180</v>
      </c>
      <c r="I53" s="24"/>
    </row>
  </sheetData>
  <mergeCells count="29">
    <mergeCell ref="B2:I2"/>
    <mergeCell ref="B3:I3"/>
    <mergeCell ref="J3:L3"/>
    <mergeCell ref="B5:C5"/>
    <mergeCell ref="D5:E5"/>
    <mergeCell ref="F5:G5"/>
    <mergeCell ref="H5:I5"/>
    <mergeCell ref="B43:C43"/>
    <mergeCell ref="B45:K45"/>
    <mergeCell ref="B46:K46"/>
    <mergeCell ref="B50:C50"/>
    <mergeCell ref="D50:E50"/>
    <mergeCell ref="F50:G50"/>
    <mergeCell ref="H50:I50"/>
    <mergeCell ref="J50:K50"/>
    <mergeCell ref="B51:C51"/>
    <mergeCell ref="D51:E51"/>
    <mergeCell ref="F51:G51"/>
    <mergeCell ref="H51:I51"/>
    <mergeCell ref="J51:K51"/>
    <mergeCell ref="B52:C52"/>
    <mergeCell ref="D52:E52"/>
    <mergeCell ref="F52:G52"/>
    <mergeCell ref="H52:I52"/>
    <mergeCell ref="J52:K52"/>
    <mergeCell ref="B53:C53"/>
    <mergeCell ref="D53:E53"/>
    <mergeCell ref="F53:G53"/>
    <mergeCell ref="H53:I53"/>
  </mergeCells>
  <conditionalFormatting sqref="K8:K42">
    <cfRule type="expression" dxfId="8" priority="4">
      <formula>AND($K8&lt;&gt;"",$K8-TODAY()&lt;=30)</formula>
    </cfRule>
  </conditionalFormatting>
  <conditionalFormatting sqref="L8:L42">
    <cfRule type="expression" dxfId="0" priority="1">
      <formula>$L8="🔧 Service"</formula>
    </cfRule>
    <cfRule type="expression" dxfId="1" priority="2">
      <formula>$L8="🟡 Soon"</formula>
    </cfRule>
    <cfRule type="expression" dxfId="2" priority="3">
      <formula>$L8="🟢 Ready"</formula>
    </cfRule>
  </conditionalFormatting>
  <dataValidations count="5">
    <dataValidation type="whole" errorStyle="warning" allowBlank="1" showInputMessage="1" showErrorMessage="1" errorTitle="Whole numbers only" error="Please enter a whole number." sqref="E8:E42">
      <formula1>0</formula1>
      <formula2>100000</formula2>
    </dataValidation>
    <dataValidation type="whole" errorStyle="warning" allowBlank="1" showInputMessage="1" showErrorMessage="1" errorTitle="Whole numbers only" error="Please enter a whole number." sqref="F8:F42">
      <formula1>0</formula1>
      <formula2>100000</formula2>
    </dataValidation>
    <dataValidation type="whole" errorStyle="warning" allowBlank="1" showInputMessage="1" showErrorMessage="1" errorTitle="Whole numbers only" error="Please enter a whole number." sqref="G8:G42">
      <formula1>0</formula1>
      <formula2>100000</formula2>
    </dataValidation>
    <dataValidation type="decimal" operator="greaterThanOrEqual" errorStyle="warning" allowBlank="1" showInputMessage="1" showErrorMessage="1" errorTitle="Enter money" error="Please enter a positive number (no currency symbol) - the symbol comes from Setup." sqref="I8:I42">
      <formula1>0</formula1>
    </dataValidation>
    <dataValidation type="date" errorStyle="warning" allowBlank="1" showInputMessage="1" showErrorMessage="1" errorTitle="That's not a date" error="Enter a date between 2000 and 2100." promptTitle="Date" prompt="Type a date, or pick one from the calendar picker." sqref="K8:K42">
      <formula1>36526</formula1>
      <formula2>73415</formula2>
    </dataValidation>
  </dataValidations>
  <hyperlinks>
    <hyperlink ref="J3" location="'📊 Dashboard'!A1" display="🏠  Back to Dashboard"/>
    <hyperlink ref="B50" location="'⚙️ Setup'!A1" display="Setup"/>
    <hyperlink ref="D50" location="'📊 Dashboard'!A1" display="🏠 Home"/>
    <hyperlink ref="F50" location="'👥 Clients'!A1" display="Clients"/>
    <hyperlink ref="H50" location="'📅 Events'!A1" display="Events"/>
    <hyperlink ref="J50" location="'🧮 Quote Calculator'!A1" display="Quote"/>
    <hyperlink ref="B51" location="'🍽️ Menu Costing'!A1" display="Menu"/>
    <hyperlink ref="D51" location="'📦 Inventory'!A1" display="Stock"/>
    <hyperlink ref="F51" location="'🛒 Shopping List'!A1" display="Shop"/>
    <hyperlink ref="H51" location="'💸 Expenses'!A1" display="Expenses"/>
    <hyperlink ref="J51" location="'💰 Payments'!A1" display="Payments"/>
    <hyperlink ref="B52" location="'👷 Staff &amp; Labor'!A1" display="Staff"/>
    <hyperlink ref="D52" location="'🍳 Equipment'!A1" display="▶ Equip"/>
    <hyperlink ref="F52" location="'🚚 Suppliers'!A1" display="Suppliers"/>
    <hyperlink ref="H52" location="'📆 Event Calendar'!A1" display="Calendar"/>
    <hyperlink ref="J52" location="'📈 P&amp;L &amp; Reports'!A1" display="P&amp;L"/>
    <hyperlink ref="B53" location="'🧾 Tax Tracker'!A1" display="Tax"/>
    <hyperlink ref="D53" location="'✅ Checklists'!A1" display="Checks"/>
    <hyperlink ref="F53" location="'🖨️ Invoice &amp; Proposal'!A1" display="Invoice"/>
    <hyperlink ref="H53"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7C12"/>
    <pageSetUpPr fitToPage="1"/>
  </sheetPr>
  <dimension ref="A1:M48"/>
  <sheetViews>
    <sheetView showGridLines="0" zoomScale="90" zoomScaleNormal="90" workbookViewId="0">
      <pane xSplit="2" ySplit="7" topLeftCell="C8" activePane="bottomRight" state="frozen"/>
      <selection pane="topRight" activeCell="C1" sqref="C1"/>
      <selection pane="bottomLeft" activeCell="A8" sqref="A8"/>
      <selection pane="bottomRight"/>
    </sheetView>
  </sheetViews>
  <sheetFormatPr defaultRowHeight="15" x14ac:dyDescent="0.25"/>
  <cols>
    <col min="1" max="1" width="2.85546875" customWidth="1"/>
    <col min="2" max="2" width="5.28515625" customWidth="1"/>
    <col min="3" max="3" width="20.7109375" customWidth="1"/>
    <col min="4" max="4" width="16.7109375" customWidth="1"/>
    <col min="5" max="5" width="14.7109375" customWidth="1"/>
    <col min="6" max="6" width="29.7109375" customWidth="1"/>
    <col min="7" max="7" width="16.7109375" customWidth="1"/>
    <col min="8" max="8" width="27.7109375" customWidth="1"/>
    <col min="9" max="11" width="10.7109375" customWidth="1"/>
    <col min="12" max="12" width="14.7109375" customWidth="1"/>
    <col min="13" max="13" width="22.7109375" customWidth="1"/>
  </cols>
  <sheetData>
    <row r="1" spans="2:13" ht="7" customHeight="1" x14ac:dyDescent="0.25"/>
    <row r="2" spans="2:13" ht="30" customHeight="1" x14ac:dyDescent="0.25">
      <c r="B2" s="3" t="s">
        <v>174</v>
      </c>
      <c r="C2" s="3"/>
      <c r="D2" s="3"/>
      <c r="E2" s="3"/>
      <c r="F2" s="3"/>
      <c r="G2" s="3"/>
      <c r="H2" s="3"/>
      <c r="I2" s="3"/>
      <c r="J2" s="3"/>
      <c r="K2" s="4"/>
      <c r="L2" s="4"/>
      <c r="M2" s="4"/>
    </row>
    <row r="3" spans="2:13" ht="18" customHeight="1" x14ac:dyDescent="0.25">
      <c r="B3" s="5" t="s">
        <v>334</v>
      </c>
      <c r="C3" s="5"/>
      <c r="D3" s="5"/>
      <c r="E3" s="5"/>
      <c r="F3" s="5"/>
      <c r="G3" s="5"/>
      <c r="H3" s="5"/>
      <c r="I3" s="5"/>
      <c r="J3" s="5"/>
      <c r="K3" s="6" t="s">
        <v>97</v>
      </c>
      <c r="L3" s="6"/>
      <c r="M3" s="6"/>
    </row>
    <row r="4" spans="2:13" ht="7" customHeight="1" x14ac:dyDescent="0.25"/>
    <row r="5" spans="2:13" ht="26" customHeight="1" x14ac:dyDescent="0.25">
      <c r="B5" s="50" t="str">
        <f>"Suppliers: "&amp;COUNTA('🚚 Suppliers'!$C$8:$C$37)</f>
        <v>Suppliers: 0</v>
      </c>
      <c r="C5" s="50"/>
      <c r="D5" s="73" t="str">
        <f>"Categories: "&amp;SUMPRODUCT(('🚚 Suppliers'!$G$8:$G$37&lt;&gt;"")/COUNTIF('🚚 Suppliers'!$G$8:$G$37,'🚚 Suppliers'!$G$8:$G$37&amp;""))</f>
        <v>Categories: 0</v>
      </c>
      <c r="E5" s="73"/>
    </row>
    <row r="6" spans="2:13" ht="7" customHeight="1" x14ac:dyDescent="0.25"/>
    <row r="7" spans="2:13" ht="36" customHeight="1" x14ac:dyDescent="0.25">
      <c r="B7" s="2" t="s">
        <v>205</v>
      </c>
      <c r="C7" s="54" t="s">
        <v>278</v>
      </c>
      <c r="D7" s="2" t="s">
        <v>335</v>
      </c>
      <c r="E7" s="2" t="s">
        <v>207</v>
      </c>
      <c r="F7" s="2" t="s">
        <v>208</v>
      </c>
      <c r="G7" s="2" t="s">
        <v>262</v>
      </c>
      <c r="H7" s="2" t="s">
        <v>336</v>
      </c>
      <c r="I7" s="56" t="s">
        <v>337</v>
      </c>
      <c r="J7" s="57" t="s">
        <v>338</v>
      </c>
      <c r="K7" s="2" t="s">
        <v>339</v>
      </c>
      <c r="L7" s="2" t="s">
        <v>340</v>
      </c>
      <c r="M7" s="2" t="s">
        <v>217</v>
      </c>
    </row>
    <row r="8" spans="2:13" ht="20" customHeight="1" x14ac:dyDescent="0.25">
      <c r="B8" s="58">
        <f>IF($C8="","",ROW()-7)</f>
        <v/>
      </c>
      <c r="C8" s="14"/>
      <c r="D8" s="14"/>
      <c r="E8" s="14"/>
      <c r="F8" s="14"/>
      <c r="G8" s="60"/>
      <c r="H8" s="64"/>
      <c r="I8" s="62"/>
      <c r="J8" s="92"/>
      <c r="K8" s="60"/>
      <c r="L8" s="60"/>
      <c r="M8" s="64"/>
    </row>
    <row r="9" spans="2:13" ht="20" customHeight="1" x14ac:dyDescent="0.25">
      <c r="B9" s="65">
        <f>IF($C9="","",ROW()-7)</f>
        <v/>
      </c>
      <c r="C9" s="9"/>
      <c r="D9" s="9"/>
      <c r="E9" s="9"/>
      <c r="F9" s="9"/>
      <c r="G9" s="10"/>
      <c r="H9" s="69"/>
      <c r="I9" s="68"/>
      <c r="J9" s="93"/>
      <c r="K9" s="10"/>
      <c r="L9" s="10"/>
      <c r="M9" s="69"/>
    </row>
    <row r="10" spans="2:13" ht="20" customHeight="1" x14ac:dyDescent="0.25">
      <c r="B10" s="58">
        <f>IF($C10="","",ROW()-7)</f>
        <v/>
      </c>
      <c r="C10" s="14"/>
      <c r="D10" s="14"/>
      <c r="E10" s="14"/>
      <c r="F10" s="14"/>
      <c r="G10" s="60"/>
      <c r="H10" s="64"/>
      <c r="I10" s="62"/>
      <c r="J10" s="92"/>
      <c r="K10" s="60"/>
      <c r="L10" s="60"/>
      <c r="M10" s="64"/>
    </row>
    <row r="11" spans="2:13" ht="20" customHeight="1" x14ac:dyDescent="0.25">
      <c r="B11" s="65">
        <f>IF($C11="","",ROW()-7)</f>
        <v/>
      </c>
      <c r="C11" s="9"/>
      <c r="D11" s="9"/>
      <c r="E11" s="9"/>
      <c r="F11" s="9"/>
      <c r="G11" s="10"/>
      <c r="H11" s="69"/>
      <c r="I11" s="68"/>
      <c r="J11" s="93"/>
      <c r="K11" s="10"/>
      <c r="L11" s="10"/>
      <c r="M11" s="69"/>
    </row>
    <row r="12" spans="2:13" ht="20" customHeight="1" x14ac:dyDescent="0.25">
      <c r="B12" s="58">
        <f>IF($C12="","",ROW()-7)</f>
        <v/>
      </c>
      <c r="C12" s="14"/>
      <c r="D12" s="14"/>
      <c r="E12" s="14"/>
      <c r="F12" s="14"/>
      <c r="G12" s="60"/>
      <c r="H12" s="64"/>
      <c r="I12" s="62"/>
      <c r="J12" s="92"/>
      <c r="K12" s="60"/>
      <c r="L12" s="60"/>
      <c r="M12" s="64"/>
    </row>
    <row r="13" spans="2:13" ht="20" customHeight="1" x14ac:dyDescent="0.25">
      <c r="B13" s="65">
        <f>IF($C13="","",ROW()-7)</f>
        <v/>
      </c>
      <c r="C13" s="9"/>
      <c r="D13" s="9"/>
      <c r="E13" s="9"/>
      <c r="F13" s="9"/>
      <c r="G13" s="10"/>
      <c r="H13" s="69"/>
      <c r="I13" s="68"/>
      <c r="J13" s="93"/>
      <c r="K13" s="10"/>
      <c r="L13" s="10"/>
      <c r="M13" s="69"/>
    </row>
    <row r="14" spans="2:13" ht="20" customHeight="1" x14ac:dyDescent="0.25">
      <c r="B14" s="58">
        <f>IF($C14="","",ROW()-7)</f>
        <v/>
      </c>
      <c r="C14" s="14"/>
      <c r="D14" s="14"/>
      <c r="E14" s="14"/>
      <c r="F14" s="14"/>
      <c r="G14" s="60"/>
      <c r="H14" s="64"/>
      <c r="I14" s="62"/>
      <c r="J14" s="92"/>
      <c r="K14" s="60"/>
      <c r="L14" s="60"/>
      <c r="M14" s="64"/>
    </row>
    <row r="15" spans="2:13" ht="20" customHeight="1" x14ac:dyDescent="0.25">
      <c r="B15" s="65">
        <f>IF($C15="","",ROW()-7)</f>
        <v/>
      </c>
      <c r="C15" s="9"/>
      <c r="D15" s="9"/>
      <c r="E15" s="9"/>
      <c r="F15" s="9"/>
      <c r="G15" s="10"/>
      <c r="H15" s="69"/>
      <c r="I15" s="68"/>
      <c r="J15" s="93"/>
      <c r="K15" s="10"/>
      <c r="L15" s="10"/>
      <c r="M15" s="69"/>
    </row>
    <row r="16" spans="2:13" ht="20" customHeight="1" x14ac:dyDescent="0.25">
      <c r="B16" s="58">
        <f>IF($C16="","",ROW()-7)</f>
        <v/>
      </c>
      <c r="C16" s="14"/>
      <c r="D16" s="14"/>
      <c r="E16" s="14"/>
      <c r="F16" s="14"/>
      <c r="G16" s="60"/>
      <c r="H16" s="64"/>
      <c r="I16" s="62"/>
      <c r="J16" s="92"/>
      <c r="K16" s="60"/>
      <c r="L16" s="60"/>
      <c r="M16" s="64"/>
    </row>
    <row r="17" spans="2:13" ht="20" customHeight="1" x14ac:dyDescent="0.25">
      <c r="B17" s="65">
        <f>IF($C17="","",ROW()-7)</f>
        <v/>
      </c>
      <c r="C17" s="9"/>
      <c r="D17" s="9"/>
      <c r="E17" s="9"/>
      <c r="F17" s="9"/>
      <c r="G17" s="10"/>
      <c r="H17" s="69"/>
      <c r="I17" s="68"/>
      <c r="J17" s="93"/>
      <c r="K17" s="10"/>
      <c r="L17" s="10"/>
      <c r="M17" s="69"/>
    </row>
    <row r="18" spans="2:13" ht="20" customHeight="1" x14ac:dyDescent="0.25">
      <c r="B18" s="58">
        <f>IF($C18="","",ROW()-7)</f>
        <v/>
      </c>
      <c r="C18" s="14"/>
      <c r="D18" s="14"/>
      <c r="E18" s="14"/>
      <c r="F18" s="14"/>
      <c r="G18" s="60"/>
      <c r="H18" s="64"/>
      <c r="I18" s="62"/>
      <c r="J18" s="92"/>
      <c r="K18" s="60"/>
      <c r="L18" s="60"/>
      <c r="M18" s="64"/>
    </row>
    <row r="19" spans="2:13" ht="20" customHeight="1" x14ac:dyDescent="0.25">
      <c r="B19" s="65">
        <f>IF($C19="","",ROW()-7)</f>
        <v/>
      </c>
      <c r="C19" s="9"/>
      <c r="D19" s="9"/>
      <c r="E19" s="9"/>
      <c r="F19" s="9"/>
      <c r="G19" s="10"/>
      <c r="H19" s="69"/>
      <c r="I19" s="68"/>
      <c r="J19" s="93"/>
      <c r="K19" s="10"/>
      <c r="L19" s="10"/>
      <c r="M19" s="69"/>
    </row>
    <row r="20" spans="2:13" ht="20" customHeight="1" x14ac:dyDescent="0.25">
      <c r="B20" s="58">
        <f>IF($C20="","",ROW()-7)</f>
        <v/>
      </c>
      <c r="C20" s="14"/>
      <c r="D20" s="14"/>
      <c r="E20" s="14"/>
      <c r="F20" s="14"/>
      <c r="G20" s="60"/>
      <c r="H20" s="64"/>
      <c r="I20" s="62"/>
      <c r="J20" s="92"/>
      <c r="K20" s="60"/>
      <c r="L20" s="60"/>
      <c r="M20" s="64"/>
    </row>
    <row r="21" spans="2:13" ht="20" customHeight="1" x14ac:dyDescent="0.25">
      <c r="B21" s="65">
        <f>IF($C21="","",ROW()-7)</f>
        <v/>
      </c>
      <c r="C21" s="9"/>
      <c r="D21" s="9"/>
      <c r="E21" s="9"/>
      <c r="F21" s="9"/>
      <c r="G21" s="10"/>
      <c r="H21" s="69"/>
      <c r="I21" s="68"/>
      <c r="J21" s="93"/>
      <c r="K21" s="10"/>
      <c r="L21" s="10"/>
      <c r="M21" s="69"/>
    </row>
    <row r="22" spans="2:13" ht="20" customHeight="1" x14ac:dyDescent="0.25">
      <c r="B22" s="58">
        <f>IF($C22="","",ROW()-7)</f>
        <v/>
      </c>
      <c r="C22" s="14"/>
      <c r="D22" s="14"/>
      <c r="E22" s="14"/>
      <c r="F22" s="14"/>
      <c r="G22" s="60"/>
      <c r="H22" s="64"/>
      <c r="I22" s="62"/>
      <c r="J22" s="92"/>
      <c r="K22" s="60"/>
      <c r="L22" s="60"/>
      <c r="M22" s="64"/>
    </row>
    <row r="23" spans="2:13" ht="20" customHeight="1" x14ac:dyDescent="0.25">
      <c r="B23" s="65">
        <f>IF($C23="","",ROW()-7)</f>
        <v/>
      </c>
      <c r="C23" s="9"/>
      <c r="D23" s="9"/>
      <c r="E23" s="9"/>
      <c r="F23" s="9"/>
      <c r="G23" s="10"/>
      <c r="H23" s="69"/>
      <c r="I23" s="68"/>
      <c r="J23" s="93"/>
      <c r="K23" s="10"/>
      <c r="L23" s="10"/>
      <c r="M23" s="69"/>
    </row>
    <row r="24" spans="2:13" ht="20" customHeight="1" x14ac:dyDescent="0.25">
      <c r="B24" s="58">
        <f>IF($C24="","",ROW()-7)</f>
        <v/>
      </c>
      <c r="C24" s="14"/>
      <c r="D24" s="14"/>
      <c r="E24" s="14"/>
      <c r="F24" s="14"/>
      <c r="G24" s="60"/>
      <c r="H24" s="64"/>
      <c r="I24" s="62"/>
      <c r="J24" s="92"/>
      <c r="K24" s="60"/>
      <c r="L24" s="60"/>
      <c r="M24" s="64"/>
    </row>
    <row r="25" spans="2:13" ht="20" customHeight="1" x14ac:dyDescent="0.25">
      <c r="B25" s="65">
        <f>IF($C25="","",ROW()-7)</f>
        <v/>
      </c>
      <c r="C25" s="9"/>
      <c r="D25" s="9"/>
      <c r="E25" s="9"/>
      <c r="F25" s="9"/>
      <c r="G25" s="10"/>
      <c r="H25" s="69"/>
      <c r="I25" s="68"/>
      <c r="J25" s="93"/>
      <c r="K25" s="10"/>
      <c r="L25" s="10"/>
      <c r="M25" s="69"/>
    </row>
    <row r="26" spans="2:13" ht="20" customHeight="1" x14ac:dyDescent="0.25">
      <c r="B26" s="58">
        <f>IF($C26="","",ROW()-7)</f>
        <v/>
      </c>
      <c r="C26" s="14"/>
      <c r="D26" s="14"/>
      <c r="E26" s="14"/>
      <c r="F26" s="14"/>
      <c r="G26" s="60"/>
      <c r="H26" s="64"/>
      <c r="I26" s="62"/>
      <c r="J26" s="92"/>
      <c r="K26" s="60"/>
      <c r="L26" s="60"/>
      <c r="M26" s="64"/>
    </row>
    <row r="27" spans="2:13" ht="20" customHeight="1" x14ac:dyDescent="0.25">
      <c r="B27" s="65">
        <f>IF($C27="","",ROW()-7)</f>
        <v/>
      </c>
      <c r="C27" s="9"/>
      <c r="D27" s="9"/>
      <c r="E27" s="9"/>
      <c r="F27" s="9"/>
      <c r="G27" s="10"/>
      <c r="H27" s="69"/>
      <c r="I27" s="68"/>
      <c r="J27" s="93"/>
      <c r="K27" s="10"/>
      <c r="L27" s="10"/>
      <c r="M27" s="69"/>
    </row>
    <row r="28" spans="2:13" ht="20" customHeight="1" x14ac:dyDescent="0.25">
      <c r="B28" s="58">
        <f>IF($C28="","",ROW()-7)</f>
        <v/>
      </c>
      <c r="C28" s="14"/>
      <c r="D28" s="14"/>
      <c r="E28" s="14"/>
      <c r="F28" s="14"/>
      <c r="G28" s="60"/>
      <c r="H28" s="64"/>
      <c r="I28" s="62"/>
      <c r="J28" s="92"/>
      <c r="K28" s="60"/>
      <c r="L28" s="60"/>
      <c r="M28" s="64"/>
    </row>
    <row r="29" spans="2:13" ht="20" customHeight="1" x14ac:dyDescent="0.25">
      <c r="B29" s="65">
        <f>IF($C29="","",ROW()-7)</f>
        <v/>
      </c>
      <c r="C29" s="9"/>
      <c r="D29" s="9"/>
      <c r="E29" s="9"/>
      <c r="F29" s="9"/>
      <c r="G29" s="10"/>
      <c r="H29" s="69"/>
      <c r="I29" s="68"/>
      <c r="J29" s="93"/>
      <c r="K29" s="10"/>
      <c r="L29" s="10"/>
      <c r="M29" s="69"/>
    </row>
    <row r="30" spans="2:13" ht="20" customHeight="1" x14ac:dyDescent="0.25">
      <c r="B30" s="58">
        <f>IF($C30="","",ROW()-7)</f>
        <v/>
      </c>
      <c r="C30" s="14"/>
      <c r="D30" s="14"/>
      <c r="E30" s="14"/>
      <c r="F30" s="14"/>
      <c r="G30" s="60"/>
      <c r="H30" s="64"/>
      <c r="I30" s="62"/>
      <c r="J30" s="92"/>
      <c r="K30" s="60"/>
      <c r="L30" s="60"/>
      <c r="M30" s="64"/>
    </row>
    <row r="31" spans="2:13" ht="20" customHeight="1" x14ac:dyDescent="0.25">
      <c r="B31" s="65">
        <f>IF($C31="","",ROW()-7)</f>
        <v/>
      </c>
      <c r="C31" s="9"/>
      <c r="D31" s="9"/>
      <c r="E31" s="9"/>
      <c r="F31" s="9"/>
      <c r="G31" s="10"/>
      <c r="H31" s="69"/>
      <c r="I31" s="68"/>
      <c r="J31" s="93"/>
      <c r="K31" s="10"/>
      <c r="L31" s="10"/>
      <c r="M31" s="69"/>
    </row>
    <row r="32" spans="2:13" ht="20" customHeight="1" x14ac:dyDescent="0.25">
      <c r="B32" s="58">
        <f>IF($C32="","",ROW()-7)</f>
        <v/>
      </c>
      <c r="C32" s="14"/>
      <c r="D32" s="14"/>
      <c r="E32" s="14"/>
      <c r="F32" s="14"/>
      <c r="G32" s="60"/>
      <c r="H32" s="64"/>
      <c r="I32" s="62"/>
      <c r="J32" s="92"/>
      <c r="K32" s="60"/>
      <c r="L32" s="60"/>
      <c r="M32" s="64"/>
    </row>
    <row r="33" spans="2:13" ht="20" customHeight="1" x14ac:dyDescent="0.25">
      <c r="B33" s="65">
        <f>IF($C33="","",ROW()-7)</f>
        <v/>
      </c>
      <c r="C33" s="9"/>
      <c r="D33" s="9"/>
      <c r="E33" s="9"/>
      <c r="F33" s="9"/>
      <c r="G33" s="10"/>
      <c r="H33" s="69"/>
      <c r="I33" s="68"/>
      <c r="J33" s="93"/>
      <c r="K33" s="10"/>
      <c r="L33" s="10"/>
      <c r="M33" s="69"/>
    </row>
    <row r="34" spans="2:13" ht="20" customHeight="1" x14ac:dyDescent="0.25">
      <c r="B34" s="58">
        <f>IF($C34="","",ROW()-7)</f>
        <v/>
      </c>
      <c r="C34" s="14"/>
      <c r="D34" s="14"/>
      <c r="E34" s="14"/>
      <c r="F34" s="14"/>
      <c r="G34" s="60"/>
      <c r="H34" s="64"/>
      <c r="I34" s="62"/>
      <c r="J34" s="92"/>
      <c r="K34" s="60"/>
      <c r="L34" s="60"/>
      <c r="M34" s="64"/>
    </row>
    <row r="35" spans="2:13" ht="20" customHeight="1" x14ac:dyDescent="0.25">
      <c r="B35" s="65">
        <f>IF($C35="","",ROW()-7)</f>
        <v/>
      </c>
      <c r="C35" s="9"/>
      <c r="D35" s="9"/>
      <c r="E35" s="9"/>
      <c r="F35" s="9"/>
      <c r="G35" s="10"/>
      <c r="H35" s="69"/>
      <c r="I35" s="68"/>
      <c r="J35" s="93"/>
      <c r="K35" s="10"/>
      <c r="L35" s="10"/>
      <c r="M35" s="69"/>
    </row>
    <row r="36" spans="2:13" ht="20" customHeight="1" x14ac:dyDescent="0.25">
      <c r="B36" s="58">
        <f>IF($C36="","",ROW()-7)</f>
        <v/>
      </c>
      <c r="C36" s="14"/>
      <c r="D36" s="14"/>
      <c r="E36" s="14"/>
      <c r="F36" s="14"/>
      <c r="G36" s="60"/>
      <c r="H36" s="64"/>
      <c r="I36" s="62"/>
      <c r="J36" s="92"/>
      <c r="K36" s="60"/>
      <c r="L36" s="60"/>
      <c r="M36" s="64"/>
    </row>
    <row r="37" spans="2:13" ht="20" customHeight="1" x14ac:dyDescent="0.25">
      <c r="B37" s="65">
        <f>IF($C37="","",ROW()-7)</f>
        <v/>
      </c>
      <c r="C37" s="9"/>
      <c r="D37" s="9"/>
      <c r="E37" s="9"/>
      <c r="F37" s="9"/>
      <c r="G37" s="10"/>
      <c r="H37" s="69"/>
      <c r="I37" s="68"/>
      <c r="J37" s="93"/>
      <c r="K37" s="10"/>
      <c r="L37" s="10"/>
      <c r="M37" s="69"/>
    </row>
    <row r="40" spans="2:13" ht="22" customHeight="1" x14ac:dyDescent="0.25">
      <c r="B40" s="15" t="s">
        <v>219</v>
      </c>
      <c r="C40" s="15"/>
      <c r="D40" s="15"/>
      <c r="E40" s="15"/>
      <c r="F40" s="15"/>
      <c r="G40" s="15"/>
      <c r="H40" s="15"/>
      <c r="I40" s="15"/>
      <c r="J40" s="15"/>
      <c r="K40" s="15"/>
      <c r="L40" s="15"/>
    </row>
    <row r="41" spans="2:13" ht="37.2" customHeight="1" x14ac:dyDescent="0.25">
      <c r="B41" s="22" t="s">
        <v>341</v>
      </c>
      <c r="C41" s="22"/>
      <c r="D41" s="22"/>
      <c r="E41" s="22"/>
      <c r="F41" s="22"/>
      <c r="G41" s="22"/>
      <c r="H41" s="22"/>
      <c r="I41" s="22"/>
      <c r="J41" s="22"/>
      <c r="K41" s="22"/>
      <c r="L41" s="22"/>
    </row>
    <row r="45" spans="2:13" x14ac:dyDescent="0.25">
      <c r="B45" s="23" t="s">
        <v>202</v>
      </c>
      <c r="C45" s="23"/>
      <c r="D45" s="24" t="s">
        <v>164</v>
      </c>
      <c r="E45" s="24"/>
      <c r="F45" s="25" t="s">
        <v>165</v>
      </c>
      <c r="G45" s="25"/>
      <c r="H45" s="26" t="s">
        <v>17</v>
      </c>
      <c r="I45" s="26"/>
      <c r="J45" s="27" t="s">
        <v>166</v>
      </c>
      <c r="K45" s="27"/>
      <c r="L45" s="28" t="s">
        <v>167</v>
      </c>
      <c r="M45" s="28"/>
    </row>
    <row r="46" spans="2:13" ht="24" customHeight="1" x14ac:dyDescent="0.25">
      <c r="B46" s="29" t="s">
        <v>168</v>
      </c>
      <c r="C46" s="29"/>
      <c r="D46" s="30" t="s">
        <v>169</v>
      </c>
      <c r="E46" s="30"/>
      <c r="F46" s="24" t="s">
        <v>170</v>
      </c>
      <c r="G46" s="24"/>
      <c r="H46" s="26" t="s">
        <v>171</v>
      </c>
      <c r="I46" s="26"/>
      <c r="J46" s="23" t="s">
        <v>172</v>
      </c>
      <c r="K46" s="23"/>
      <c r="L46" s="24" t="s">
        <v>173</v>
      </c>
      <c r="M46" s="24"/>
    </row>
    <row r="47" spans="2:13" ht="24" customHeight="1" x14ac:dyDescent="0.25">
      <c r="B47" s="25" t="s">
        <v>342</v>
      </c>
      <c r="C47" s="25"/>
      <c r="D47" s="26" t="s">
        <v>175</v>
      </c>
      <c r="E47" s="26"/>
      <c r="F47" s="27" t="s">
        <v>176</v>
      </c>
      <c r="G47" s="27"/>
      <c r="H47" s="28" t="s">
        <v>177</v>
      </c>
      <c r="I47" s="28"/>
      <c r="J47" s="29" t="s">
        <v>178</v>
      </c>
      <c r="K47" s="29"/>
      <c r="L47" s="30" t="s">
        <v>179</v>
      </c>
      <c r="M47" s="30"/>
    </row>
    <row r="48" spans="2:13" ht="24" customHeight="1" x14ac:dyDescent="0.25">
      <c r="B48" s="24" t="s">
        <v>180</v>
      </c>
      <c r="C48" s="24"/>
    </row>
  </sheetData>
  <mergeCells count="26">
    <mergeCell ref="B2:J2"/>
    <mergeCell ref="B3:J3"/>
    <mergeCell ref="K3:M3"/>
    <mergeCell ref="B5:C5"/>
    <mergeCell ref="D5:E5"/>
    <mergeCell ref="B40:L40"/>
    <mergeCell ref="B41:L41"/>
    <mergeCell ref="B45:C45"/>
    <mergeCell ref="D45:E45"/>
    <mergeCell ref="F45:G45"/>
    <mergeCell ref="H45:I45"/>
    <mergeCell ref="J45:K45"/>
    <mergeCell ref="L45:M45"/>
    <mergeCell ref="B46:C46"/>
    <mergeCell ref="D46:E46"/>
    <mergeCell ref="F46:G46"/>
    <mergeCell ref="H46:I46"/>
    <mergeCell ref="J46:K46"/>
    <mergeCell ref="L46:M46"/>
    <mergeCell ref="B47:C47"/>
    <mergeCell ref="D47:E47"/>
    <mergeCell ref="F47:G47"/>
    <mergeCell ref="H47:I47"/>
    <mergeCell ref="J47:K47"/>
    <mergeCell ref="L47:M47"/>
    <mergeCell ref="B48:C48"/>
  </mergeCells>
  <conditionalFormatting sqref="I8:I37">
    <cfRule type="dataBar" priority="1">
      <dataBar>
        <cfvo type="num" val="0"/>
        <cfvo type="num" val="1"/>
        <color rgb="FF3E7C4F"/>
      </dataBar>
      <extLst>
        <ext xmlns:x14="http://schemas.microsoft.com/office/spreadsheetml/2009/9/main" uri="{B025F937-C7B1-47D3-B67F-A62EFF666E3E}">
          <x14:id>{DA7ABA51-AAAA-BBBB-000E-000000000001}</x14:id>
        </ext>
      </extLst>
    </cfRule>
  </conditionalFormatting>
  <dataValidations count="3">
    <dataValidation type="decimal" operator="greaterThanOrEqual" errorStyle="warning" allowBlank="1" showInputMessage="1" showErrorMessage="1" errorTitle="Enter money" error="Please enter a positive number (no currency symbol) - the symbol comes from Setup." sqref="I8:I37">
      <formula1>0</formula1>
    </dataValidation>
    <dataValidation type="decimal" operator="greaterThanOrEqual" errorStyle="warning" allowBlank="1" showInputMessage="1" showErrorMessage="1" errorTitle="Enter money" error="Please enter a positive number (no currency symbol) - the symbol comes from Setup." sqref="J8:J37">
      <formula1>0</formula1>
    </dataValidation>
    <dataValidation type="list" allowBlank="1" showInputMessage="1" showErrorMessage="1" promptTitle="Delivery" prompt="How fast do they deliver?" sqref="K8:K37">
      <formula1>"Same day,Next day,2 days,3 days,4 days,5 days,Weekly"</formula1>
    </dataValidation>
  </dataValidations>
  <hyperlinks>
    <hyperlink ref="K3" location="'📊 Dashboard'!A1" display="🏠  Back to Dashboard"/>
    <hyperlink ref="B45" location="'⚙️ Setup'!A1" display="Setup"/>
    <hyperlink ref="D45" location="'📊 Dashboard'!A1" display="🏠 Home"/>
    <hyperlink ref="F45" location="'👥 Clients'!A1" display="Clients"/>
    <hyperlink ref="H45" location="'📅 Events'!A1" display="Events"/>
    <hyperlink ref="J45" location="'🧮 Quote Calculator'!A1" display="Quote"/>
    <hyperlink ref="L45" location="'🍽️ Menu Costing'!A1" display="Menu"/>
    <hyperlink ref="B46" location="'📦 Inventory'!A1" display="Stock"/>
    <hyperlink ref="D46" location="'🛒 Shopping List'!A1" display="Shop"/>
    <hyperlink ref="F46" location="'💸 Expenses'!A1" display="Expenses"/>
    <hyperlink ref="H46" location="'💰 Payments'!A1" display="Payments"/>
    <hyperlink ref="J46" location="'👷 Staff &amp; Labor'!A1" display="Staff"/>
    <hyperlink ref="L46" location="'🍳 Equipment'!A1" display="Equip"/>
    <hyperlink ref="B47" location="'🚚 Suppliers'!A1" display="▶ Suppliers"/>
    <hyperlink ref="D47" location="'📆 Event Calendar'!A1" display="Calendar"/>
    <hyperlink ref="F47" location="'📈 P&amp;L &amp; Reports'!A1" display="P&amp;L"/>
    <hyperlink ref="H47" location="'🧾 Tax Tracker'!A1" display="Tax"/>
    <hyperlink ref="J47" location="'✅ Checklists'!A1" display="Checks"/>
    <hyperlink ref="L47" location="'🖨️ Invoice &amp; Proposal'!A1" display="Invoice"/>
    <hyperlink ref="B48"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extLst>
    <ext xmlns:x14="http://schemas.microsoft.com/office/spreadsheetml/2009/9/main" uri="{78C0D931-6437-407d-A8EE-F0AAD7539E65}">
      <x14:conditionalFormattings>
        <x14:conditionalFormatting xmlns:xm="http://schemas.microsoft.com/office/excel/2006/main">
          <x14:cfRule type="dataBar" id="{DA7ABA51-AAAA-BBBB-000E-000000000001}">
            <x14:dataBar minLength="0" maxLength="100" border="1" gradient="0" negativeBarBorderColorSameAsPositive="0">
              <x14:cfvo type="num">
                <xm:f>0</xm:f>
              </x14:cfvo>
              <x14:cfvo type="num">
                <xm:f>1</xm:f>
              </x14:cfvo>
              <x14:borderColor rgb="FF3E7C4F"/>
              <x14:negativeFillColor rgb="FFFF0000"/>
              <x14:negativeBorderColor rgb="FFFF0000"/>
              <x14:axisColor rgb="FF000000"/>
            </x14:dataBar>
          </x14:cfRule>
          <xm:sqref>I8:I37</xm:sqref>
        </x14:conditionalFormatting>
      </x14:conditionalFormattings>
    </ext>
  </extLst>
</worksheet>
</file>

<file path=xl/worksheets/sheet15.xml><?xml version="1.0" encoding="utf-8"?>
<worksheet xmlns="http://schemas.openxmlformats.org/spreadsheetml/2006/main" xmlns:r="http://schemas.openxmlformats.org/officeDocument/2006/relationships">
  <sheetPr>
    <tabColor rgb="FFC99A18"/>
    <pageSetUpPr fitToPage="1"/>
  </sheetPr>
  <dimension ref="A1:N48"/>
  <sheetViews>
    <sheetView showGridLines="0" zoomScale="90" zoomScaleNormal="90" workbookViewId="0"/>
  </sheetViews>
  <sheetFormatPr defaultRowHeight="15"/>
  <cols>
    <col min="1" max="1" width="2.85546875" customWidth="1"/>
    <col min="2" max="8" width="15.7109375" customWidth="1"/>
    <col min="9" max="9" width="3.28515625" customWidth="1"/>
    <col min="10" max="10" width="12.7109375" customWidth="1"/>
    <col min="11" max="11" width="34.7109375" customWidth="1"/>
    <col min="12" max="12" width="16.7109375" customWidth="1"/>
    <col min="13" max="13" width="3.7109375" customWidth="1"/>
    <col min="14" max="14" width="10.7109375" customWidth="1"/>
  </cols>
  <sheetData>
    <row r="1" spans="2:14" ht="7" customHeight="1"/>
    <row r="2" spans="2:14" ht="30" customHeight="1">
      <c r="B2" s="3" t="str">
        <f>TEXT(DATE(CalYear,CalMonth,1),"mmmm yyyy")</f>
        <v>September 2026</v>
      </c>
      <c r="C2" s="3"/>
      <c r="D2" s="3"/>
      <c r="E2" s="3"/>
      <c r="F2" s="3"/>
      <c r="G2" s="3"/>
      <c r="H2" s="3"/>
      <c r="I2" s="3"/>
      <c r="J2" s="4"/>
      <c r="K2" s="4"/>
      <c r="L2" s="4"/>
    </row>
    <row r="3" spans="2:14" ht="18" customHeight="1">
      <c r="B3" s="5" t="s">
        <v>344</v>
      </c>
      <c r="C3" s="5"/>
      <c r="D3" s="5"/>
      <c r="E3" s="5"/>
      <c r="F3" s="5"/>
      <c r="G3" s="5"/>
      <c r="H3" s="5"/>
      <c r="I3" s="5"/>
      <c r="J3" s="6" t="s">
        <v>97</v>
      </c>
      <c r="K3" s="6"/>
      <c r="L3" s="6"/>
    </row>
    <row r="4" spans="2:14" ht="7" customHeight="1"/>
    <row r="5" spans="2:14" ht="26" customHeight="1">
      <c r="B5" s="50" t="str">
        <f>"Events this month: "&amp;COUNTIFS('_Data'!$AA$2:$AA$41,"&gt;="&amp;DATE(CalYear,CalMonth,1),'_Data'!$AA$2:$AA$41,"&lt;="&amp;EOMONTH(DATE(CalYear,CalMonth,1),0))</f>
        <v>Events this month: 0</v>
      </c>
      <c r="C5" s="50"/>
      <c r="D5" s="53" t="str">
        <f>"Payments due: "&amp;COUNTIFS('_Data'!$AA$42:$AA$101,"&gt;="&amp;DATE(CalYear,CalMonth,1),'_Data'!$AA$42:$AA$101,"&lt;="&amp;EOMONTH(DATE(CalYear,CalMonth,1),0))</f>
        <v>Payments due: 0</v>
      </c>
      <c r="E5" s="53"/>
      <c r="F5" s="52" t="str">
        <f>"Next up: "&amp;IF('_Data'!$AA$2="","-",'_Data'!$AB$2)</f>
        <v>Next up: -</v>
      </c>
      <c r="G5" s="52"/>
    </row>
    <row r="6" spans="2:14" ht="7" customHeight="1"/>
    <row r="7" spans="2:14" ht="18" customHeight="1"/>
    <row r="8" spans="2:14" ht="18" customHeight="1">
      <c r="N8" s="1" t="s">
        <v>354</v>
      </c>
    </row>
    <row r="9" spans="2:14" ht="18" customHeight="1">
      <c r="N9" s="1">
        <f>IFERROR(MATCH(DATE(CalYear,CalMonth,1)-0.5,'_Data'!$AA$2:$AA$41,1)+1,1)</f>
        <v>1</v>
      </c>
    </row>
    <row r="10" spans="2:14" ht="18" customHeight="1">
      <c r="N10" s="1">
        <f>IFERROR(MATCH(DATE(CalYear,CalMonth,1)-0.5,'_Data'!$AA$42:$AA$101,1)+1,1)</f>
        <v>1</v>
      </c>
    </row>
    <row r="11" spans="2:14" ht="20" customHeight="1">
      <c r="B11" s="2" t="s">
        <v>345</v>
      </c>
      <c r="C11" s="2" t="s">
        <v>346</v>
      </c>
      <c r="D11" s="2" t="s">
        <v>347</v>
      </c>
      <c r="E11" s="2" t="s">
        <v>348</v>
      </c>
      <c r="F11" s="2" t="s">
        <v>349</v>
      </c>
      <c r="G11" s="54" t="s">
        <v>350</v>
      </c>
      <c r="H11" s="54" t="s">
        <v>351</v>
      </c>
      <c r="J11" s="2" t="s">
        <v>352</v>
      </c>
      <c r="K11" s="2"/>
      <c r="L11" s="2"/>
    </row>
    <row r="12" spans="2:14" ht="16" customHeight="1">
      <c r="B12" s="94">
        <f>IF(MONTH(DATE(CalYear,CalMonth,1)-WEEKDAY(DATE(CalYear,CalMonth,1),2)+1+0)=CalMonth,DATE(CalYear,CalMonth,1)-WEEKDAY(DATE(CalYear,CalMonth,1),2)+1+0,"")</f>
        <v/>
      </c>
      <c r="C12" s="94">
        <f>IF(MONTH(DATE(CalYear,CalMonth,1)-WEEKDAY(DATE(CalYear,CalMonth,1),2)+1+1)=CalMonth,DATE(CalYear,CalMonth,1)-WEEKDAY(DATE(CalYear,CalMonth,1),2)+1+1,"")</f>
        <v/>
      </c>
      <c r="D12" s="94">
        <f>IF(MONTH(DATE(CalYear,CalMonth,1)-WEEKDAY(DATE(CalYear,CalMonth,1),2)+1+2)=CalMonth,DATE(CalYear,CalMonth,1)-WEEKDAY(DATE(CalYear,CalMonth,1),2)+1+2,"")</f>
        <v/>
      </c>
      <c r="E12" s="94">
        <f>IF(MONTH(DATE(CalYear,CalMonth,1)-WEEKDAY(DATE(CalYear,CalMonth,1),2)+1+3)=CalMonth,DATE(CalYear,CalMonth,1)-WEEKDAY(DATE(CalYear,CalMonth,1),2)+1+3,"")</f>
        <v/>
      </c>
      <c r="F12" s="94">
        <f>IF(MONTH(DATE(CalYear,CalMonth,1)-WEEKDAY(DATE(CalYear,CalMonth,1),2)+1+4)=CalMonth,DATE(CalYear,CalMonth,1)-WEEKDAY(DATE(CalYear,CalMonth,1),2)+1+4,"")</f>
        <v/>
      </c>
      <c r="G12" s="94">
        <f>IF(MONTH(DATE(CalYear,CalMonth,1)-WEEKDAY(DATE(CalYear,CalMonth,1),2)+1+5)=CalMonth,DATE(CalYear,CalMonth,1)-WEEKDAY(DATE(CalYear,CalMonth,1),2)+1+5,"")</f>
        <v/>
      </c>
      <c r="H12" s="94">
        <f>IF(MONTH(DATE(CalYear,CalMonth,1)-WEEKDAY(DATE(CalYear,CalMonth,1),2)+1+6)=CalMonth,DATE(CalYear,CalMonth,1)-WEEKDAY(DATE(CalYear,CalMonth,1),2)+1+6,"")</f>
        <v/>
      </c>
      <c r="J12" s="66">
        <f>IFERROR(IF(INDEX('_Data'!$AA$2:$AA$41,$N$9+0)="","",IF(MONTH(INDEX('_Data'!$AA$2:$AA$41,$N$9+0))&lt;&gt;CalMonth,"",INDEX('_Data'!$AA$2:$AA$41,$N$9+0))),"")</f>
        <v/>
      </c>
      <c r="K12" s="9">
        <f>IF($J12="","",INDEX('_Data'!$AB$2:$AB$41,$N$9+0))</f>
        <v/>
      </c>
      <c r="L12" s="10">
        <f>IF($J12="","",INDEX('_Data'!$AC$2:$AC$41,$N$9+0))</f>
        <v/>
      </c>
    </row>
    <row r="13" spans="2:14" ht="46" customHeight="1">
      <c r="B13" s="95">
        <f>IF($B$12="","",TRIM(IF(COUNTIF('_Data'!$AA$2:$AA$41,$B$12)&gt;0,"● "&amp;COUNTIF('_Data'!$AA$2:$AA$41,$B$12)&amp;IF(COUNTIF('_Data'!$AA$2:$AA$41,$B$12)&gt;1," events"," event"),"")&amp;IF(COUNTIF('_Data'!$AA$42:$AA$101,$B$12)&gt;0," ▲ "&amp;COUNTIF('_Data'!$AA$42:$AA$101,$B$12)&amp;" due","")))</f>
        <v/>
      </c>
      <c r="C13" s="95">
        <f>IF($C$12="","",TRIM(IF(COUNTIF('_Data'!$AA$2:$AA$41,$C$12)&gt;0,"● "&amp;COUNTIF('_Data'!$AA$2:$AA$41,$C$12)&amp;IF(COUNTIF('_Data'!$AA$2:$AA$41,$C$12)&gt;1," events"," event"),"")&amp;IF(COUNTIF('_Data'!$AA$42:$AA$101,$C$12)&gt;0," ▲ "&amp;COUNTIF('_Data'!$AA$42:$AA$101,$C$12)&amp;" due","")))</f>
        <v/>
      </c>
      <c r="D13" s="95">
        <f>IF($D$12="","",TRIM(IF(COUNTIF('_Data'!$AA$2:$AA$41,$D$12)&gt;0,"● "&amp;COUNTIF('_Data'!$AA$2:$AA$41,$D$12)&amp;IF(COUNTIF('_Data'!$AA$2:$AA$41,$D$12)&gt;1," events"," event"),"")&amp;IF(COUNTIF('_Data'!$AA$42:$AA$101,$D$12)&gt;0," ▲ "&amp;COUNTIF('_Data'!$AA$42:$AA$101,$D$12)&amp;" due","")))</f>
        <v/>
      </c>
      <c r="E13" s="95">
        <f>IF($E$12="","",TRIM(IF(COUNTIF('_Data'!$AA$2:$AA$41,$E$12)&gt;0,"● "&amp;COUNTIF('_Data'!$AA$2:$AA$41,$E$12)&amp;IF(COUNTIF('_Data'!$AA$2:$AA$41,$E$12)&gt;1," events"," event"),"")&amp;IF(COUNTIF('_Data'!$AA$42:$AA$101,$E$12)&gt;0," ▲ "&amp;COUNTIF('_Data'!$AA$42:$AA$101,$E$12)&amp;" due","")))</f>
        <v/>
      </c>
      <c r="F13" s="95">
        <f>IF($F$12="","",TRIM(IF(COUNTIF('_Data'!$AA$2:$AA$41,$F$12)&gt;0,"● "&amp;COUNTIF('_Data'!$AA$2:$AA$41,$F$12)&amp;IF(COUNTIF('_Data'!$AA$2:$AA$41,$F$12)&gt;1," events"," event"),"")&amp;IF(COUNTIF('_Data'!$AA$42:$AA$101,$F$12)&gt;0," ▲ "&amp;COUNTIF('_Data'!$AA$42:$AA$101,$F$12)&amp;" due","")))</f>
        <v/>
      </c>
      <c r="G13" s="95">
        <f>IF($G$12="","",TRIM(IF(COUNTIF('_Data'!$AA$2:$AA$41,$G$12)&gt;0,"● "&amp;COUNTIF('_Data'!$AA$2:$AA$41,$G$12)&amp;IF(COUNTIF('_Data'!$AA$2:$AA$41,$G$12)&gt;1," events"," event"),"")&amp;IF(COUNTIF('_Data'!$AA$42:$AA$101,$G$12)&gt;0," ▲ "&amp;COUNTIF('_Data'!$AA$42:$AA$101,$G$12)&amp;" due","")))</f>
        <v/>
      </c>
      <c r="H13" s="95">
        <f>IF($H$12="","",TRIM(IF(COUNTIF('_Data'!$AA$2:$AA$41,$H$12)&gt;0,"● "&amp;COUNTIF('_Data'!$AA$2:$AA$41,$H$12)&amp;IF(COUNTIF('_Data'!$AA$2:$AA$41,$H$12)&gt;1," events"," event"),"")&amp;IF(COUNTIF('_Data'!$AA$42:$AA$101,$H$12)&gt;0," ▲ "&amp;COUNTIF('_Data'!$AA$42:$AA$101,$H$12)&amp;" due","")))</f>
        <v/>
      </c>
      <c r="J13" s="66">
        <f>IFERROR(IF(INDEX('_Data'!$AA$2:$AA$41,$N$9+1)="","",IF(MONTH(INDEX('_Data'!$AA$2:$AA$41,$N$9+1))&lt;&gt;CalMonth,"",INDEX('_Data'!$AA$2:$AA$41,$N$9+1))),"")</f>
        <v/>
      </c>
      <c r="K13" s="9">
        <f>IF($J13="","",INDEX('_Data'!$AB$2:$AB$41,$N$9+1))</f>
        <v/>
      </c>
      <c r="L13" s="10">
        <f>IF($J13="","",INDEX('_Data'!$AC$2:$AC$41,$N$9+1))</f>
        <v/>
      </c>
    </row>
    <row r="14" spans="2:14" ht="16" customHeight="1">
      <c r="B14" s="94">
        <f>IF(MONTH(DATE(CalYear,CalMonth,1)-WEEKDAY(DATE(CalYear,CalMonth,1),2)+1+7)=CalMonth,DATE(CalYear,CalMonth,1)-WEEKDAY(DATE(CalYear,CalMonth,1),2)+1+7,"")</f>
        <v/>
      </c>
      <c r="C14" s="94">
        <f>IF(MONTH(DATE(CalYear,CalMonth,1)-WEEKDAY(DATE(CalYear,CalMonth,1),2)+1+8)=CalMonth,DATE(CalYear,CalMonth,1)-WEEKDAY(DATE(CalYear,CalMonth,1),2)+1+8,"")</f>
        <v/>
      </c>
      <c r="D14" s="94">
        <f>IF(MONTH(DATE(CalYear,CalMonth,1)-WEEKDAY(DATE(CalYear,CalMonth,1),2)+1+9)=CalMonth,DATE(CalYear,CalMonth,1)-WEEKDAY(DATE(CalYear,CalMonth,1),2)+1+9,"")</f>
        <v/>
      </c>
      <c r="E14" s="94">
        <f>IF(MONTH(DATE(CalYear,CalMonth,1)-WEEKDAY(DATE(CalYear,CalMonth,1),2)+1+10)=CalMonth,DATE(CalYear,CalMonth,1)-WEEKDAY(DATE(CalYear,CalMonth,1),2)+1+10,"")</f>
        <v/>
      </c>
      <c r="F14" s="94">
        <f>IF(MONTH(DATE(CalYear,CalMonth,1)-WEEKDAY(DATE(CalYear,CalMonth,1),2)+1+11)=CalMonth,DATE(CalYear,CalMonth,1)-WEEKDAY(DATE(CalYear,CalMonth,1),2)+1+11,"")</f>
        <v/>
      </c>
      <c r="G14" s="94">
        <f>IF(MONTH(DATE(CalYear,CalMonth,1)-WEEKDAY(DATE(CalYear,CalMonth,1),2)+1+12)=CalMonth,DATE(CalYear,CalMonth,1)-WEEKDAY(DATE(CalYear,CalMonth,1),2)+1+12,"")</f>
        <v/>
      </c>
      <c r="H14" s="94">
        <f>IF(MONTH(DATE(CalYear,CalMonth,1)-WEEKDAY(DATE(CalYear,CalMonth,1),2)+1+13)=CalMonth,DATE(CalYear,CalMonth,1)-WEEKDAY(DATE(CalYear,CalMonth,1),2)+1+13,"")</f>
        <v/>
      </c>
      <c r="J14" s="66">
        <f>IFERROR(IF(INDEX('_Data'!$AA$2:$AA$41,$N$9+2)="","",IF(MONTH(INDEX('_Data'!$AA$2:$AA$41,$N$9+2))&lt;&gt;CalMonth,"",INDEX('_Data'!$AA$2:$AA$41,$N$9+2))),"")</f>
        <v/>
      </c>
      <c r="K14" s="9">
        <f>IF($J14="","",INDEX('_Data'!$AB$2:$AB$41,$N$9+2))</f>
        <v/>
      </c>
      <c r="L14" s="10">
        <f>IF($J14="","",INDEX('_Data'!$AC$2:$AC$41,$N$9+2))</f>
        <v/>
      </c>
    </row>
    <row r="15" spans="2:14" ht="46" customHeight="1">
      <c r="B15" s="95">
        <f>IF($B$14="","",TRIM(IF(COUNTIF('_Data'!$AA$2:$AA$41,$B$14)&gt;0,"● "&amp;COUNTIF('_Data'!$AA$2:$AA$41,$B$14)&amp;IF(COUNTIF('_Data'!$AA$2:$AA$41,$B$14)&gt;1," events"," event"),"")&amp;IF(COUNTIF('_Data'!$AA$42:$AA$101,$B$14)&gt;0," ▲ "&amp;COUNTIF('_Data'!$AA$42:$AA$101,$B$14)&amp;" due","")))</f>
        <v/>
      </c>
      <c r="C15" s="95">
        <f>IF($C$14="","",TRIM(IF(COUNTIF('_Data'!$AA$2:$AA$41,$C$14)&gt;0,"● "&amp;COUNTIF('_Data'!$AA$2:$AA$41,$C$14)&amp;IF(COUNTIF('_Data'!$AA$2:$AA$41,$C$14)&gt;1," events"," event"),"")&amp;IF(COUNTIF('_Data'!$AA$42:$AA$101,$C$14)&gt;0," ▲ "&amp;COUNTIF('_Data'!$AA$42:$AA$101,$C$14)&amp;" due","")))</f>
        <v/>
      </c>
      <c r="D15" s="95">
        <f>IF($D$14="","",TRIM(IF(COUNTIF('_Data'!$AA$2:$AA$41,$D$14)&gt;0,"● "&amp;COUNTIF('_Data'!$AA$2:$AA$41,$D$14)&amp;IF(COUNTIF('_Data'!$AA$2:$AA$41,$D$14)&gt;1," events"," event"),"")&amp;IF(COUNTIF('_Data'!$AA$42:$AA$101,$D$14)&gt;0," ▲ "&amp;COUNTIF('_Data'!$AA$42:$AA$101,$D$14)&amp;" due","")))</f>
        <v/>
      </c>
      <c r="E15" s="95">
        <f>IF($E$14="","",TRIM(IF(COUNTIF('_Data'!$AA$2:$AA$41,$E$14)&gt;0,"● "&amp;COUNTIF('_Data'!$AA$2:$AA$41,$E$14)&amp;IF(COUNTIF('_Data'!$AA$2:$AA$41,$E$14)&gt;1," events"," event"),"")&amp;IF(COUNTIF('_Data'!$AA$42:$AA$101,$E$14)&gt;0," ▲ "&amp;COUNTIF('_Data'!$AA$42:$AA$101,$E$14)&amp;" due","")))</f>
        <v/>
      </c>
      <c r="F15" s="95">
        <f>IF($F$14="","",TRIM(IF(COUNTIF('_Data'!$AA$2:$AA$41,$F$14)&gt;0,"● "&amp;COUNTIF('_Data'!$AA$2:$AA$41,$F$14)&amp;IF(COUNTIF('_Data'!$AA$2:$AA$41,$F$14)&gt;1," events"," event"),"")&amp;IF(COUNTIF('_Data'!$AA$42:$AA$101,$F$14)&gt;0," ▲ "&amp;COUNTIF('_Data'!$AA$42:$AA$101,$F$14)&amp;" due","")))</f>
        <v/>
      </c>
      <c r="G15" s="95">
        <f>IF($G$14="","",TRIM(IF(COUNTIF('_Data'!$AA$2:$AA$41,$G$14)&gt;0,"● "&amp;COUNTIF('_Data'!$AA$2:$AA$41,$G$14)&amp;IF(COUNTIF('_Data'!$AA$2:$AA$41,$G$14)&gt;1," events"," event"),"")&amp;IF(COUNTIF('_Data'!$AA$42:$AA$101,$G$14)&gt;0," ▲ "&amp;COUNTIF('_Data'!$AA$42:$AA$101,$G$14)&amp;" due","")))</f>
        <v/>
      </c>
      <c r="H15" s="95">
        <f>IF($H$14="","",TRIM(IF(COUNTIF('_Data'!$AA$2:$AA$41,$H$14)&gt;0,"● "&amp;COUNTIF('_Data'!$AA$2:$AA$41,$H$14)&amp;IF(COUNTIF('_Data'!$AA$2:$AA$41,$H$14)&gt;1," events"," event"),"")&amp;IF(COUNTIF('_Data'!$AA$42:$AA$101,$H$14)&gt;0," ▲ "&amp;COUNTIF('_Data'!$AA$42:$AA$101,$H$14)&amp;" due","")))</f>
        <v/>
      </c>
      <c r="J15" s="66">
        <f>IFERROR(IF(INDEX('_Data'!$AA$2:$AA$41,$N$9+3)="","",IF(MONTH(INDEX('_Data'!$AA$2:$AA$41,$N$9+3))&lt;&gt;CalMonth,"",INDEX('_Data'!$AA$2:$AA$41,$N$9+3))),"")</f>
        <v/>
      </c>
      <c r="K15" s="9">
        <f>IF($J15="","",INDEX('_Data'!$AB$2:$AB$41,$N$9+3))</f>
        <v/>
      </c>
      <c r="L15" s="10">
        <f>IF($J15="","",INDEX('_Data'!$AC$2:$AC$41,$N$9+3))</f>
        <v/>
      </c>
    </row>
    <row r="16" spans="2:14" ht="16" customHeight="1">
      <c r="B16" s="94">
        <f>IF(MONTH(DATE(CalYear,CalMonth,1)-WEEKDAY(DATE(CalYear,CalMonth,1),2)+1+14)=CalMonth,DATE(CalYear,CalMonth,1)-WEEKDAY(DATE(CalYear,CalMonth,1),2)+1+14,"")</f>
        <v/>
      </c>
      <c r="C16" s="94">
        <f>IF(MONTH(DATE(CalYear,CalMonth,1)-WEEKDAY(DATE(CalYear,CalMonth,1),2)+1+15)=CalMonth,DATE(CalYear,CalMonth,1)-WEEKDAY(DATE(CalYear,CalMonth,1),2)+1+15,"")</f>
        <v/>
      </c>
      <c r="D16" s="94">
        <f>IF(MONTH(DATE(CalYear,CalMonth,1)-WEEKDAY(DATE(CalYear,CalMonth,1),2)+1+16)=CalMonth,DATE(CalYear,CalMonth,1)-WEEKDAY(DATE(CalYear,CalMonth,1),2)+1+16,"")</f>
        <v/>
      </c>
      <c r="E16" s="94">
        <f>IF(MONTH(DATE(CalYear,CalMonth,1)-WEEKDAY(DATE(CalYear,CalMonth,1),2)+1+17)=CalMonth,DATE(CalYear,CalMonth,1)-WEEKDAY(DATE(CalYear,CalMonth,1),2)+1+17,"")</f>
        <v/>
      </c>
      <c r="F16" s="94">
        <f>IF(MONTH(DATE(CalYear,CalMonth,1)-WEEKDAY(DATE(CalYear,CalMonth,1),2)+1+18)=CalMonth,DATE(CalYear,CalMonth,1)-WEEKDAY(DATE(CalYear,CalMonth,1),2)+1+18,"")</f>
        <v/>
      </c>
      <c r="G16" s="94">
        <f>IF(MONTH(DATE(CalYear,CalMonth,1)-WEEKDAY(DATE(CalYear,CalMonth,1),2)+1+19)=CalMonth,DATE(CalYear,CalMonth,1)-WEEKDAY(DATE(CalYear,CalMonth,1),2)+1+19,"")</f>
        <v/>
      </c>
      <c r="H16" s="94">
        <f>IF(MONTH(DATE(CalYear,CalMonth,1)-WEEKDAY(DATE(CalYear,CalMonth,1),2)+1+20)=CalMonth,DATE(CalYear,CalMonth,1)-WEEKDAY(DATE(CalYear,CalMonth,1),2)+1+20,"")</f>
        <v/>
      </c>
      <c r="J16" s="66">
        <f>IFERROR(IF(INDEX('_Data'!$AA$2:$AA$41,$N$9+4)="","",IF(MONTH(INDEX('_Data'!$AA$2:$AA$41,$N$9+4))&lt;&gt;CalMonth,"",INDEX('_Data'!$AA$2:$AA$41,$N$9+4))),"")</f>
        <v/>
      </c>
      <c r="K16" s="9">
        <f>IF($J16="","",INDEX('_Data'!$AB$2:$AB$41,$N$9+4))</f>
        <v/>
      </c>
      <c r="L16" s="10">
        <f>IF($J16="","",INDEX('_Data'!$AC$2:$AC$41,$N$9+4))</f>
        <v/>
      </c>
    </row>
    <row r="17" spans="2:12" ht="46" customHeight="1">
      <c r="B17" s="95">
        <f>IF($B$16="","",TRIM(IF(COUNTIF('_Data'!$AA$2:$AA$41,$B$16)&gt;0,"● "&amp;COUNTIF('_Data'!$AA$2:$AA$41,$B$16)&amp;IF(COUNTIF('_Data'!$AA$2:$AA$41,$B$16)&gt;1," events"," event"),"")&amp;IF(COUNTIF('_Data'!$AA$42:$AA$101,$B$16)&gt;0," ▲ "&amp;COUNTIF('_Data'!$AA$42:$AA$101,$B$16)&amp;" due","")))</f>
        <v/>
      </c>
      <c r="C17" s="95">
        <f>IF($C$16="","",TRIM(IF(COUNTIF('_Data'!$AA$2:$AA$41,$C$16)&gt;0,"● "&amp;COUNTIF('_Data'!$AA$2:$AA$41,$C$16)&amp;IF(COUNTIF('_Data'!$AA$2:$AA$41,$C$16)&gt;1," events"," event"),"")&amp;IF(COUNTIF('_Data'!$AA$42:$AA$101,$C$16)&gt;0," ▲ "&amp;COUNTIF('_Data'!$AA$42:$AA$101,$C$16)&amp;" due","")))</f>
        <v/>
      </c>
      <c r="D17" s="95">
        <f>IF($D$16="","",TRIM(IF(COUNTIF('_Data'!$AA$2:$AA$41,$D$16)&gt;0,"● "&amp;COUNTIF('_Data'!$AA$2:$AA$41,$D$16)&amp;IF(COUNTIF('_Data'!$AA$2:$AA$41,$D$16)&gt;1," events"," event"),"")&amp;IF(COUNTIF('_Data'!$AA$42:$AA$101,$D$16)&gt;0," ▲ "&amp;COUNTIF('_Data'!$AA$42:$AA$101,$D$16)&amp;" due","")))</f>
        <v/>
      </c>
      <c r="E17" s="95">
        <f>IF($E$16="","",TRIM(IF(COUNTIF('_Data'!$AA$2:$AA$41,$E$16)&gt;0,"● "&amp;COUNTIF('_Data'!$AA$2:$AA$41,$E$16)&amp;IF(COUNTIF('_Data'!$AA$2:$AA$41,$E$16)&gt;1," events"," event"),"")&amp;IF(COUNTIF('_Data'!$AA$42:$AA$101,$E$16)&gt;0," ▲ "&amp;COUNTIF('_Data'!$AA$42:$AA$101,$E$16)&amp;" due","")))</f>
        <v/>
      </c>
      <c r="F17" s="95">
        <f>IF($F$16="","",TRIM(IF(COUNTIF('_Data'!$AA$2:$AA$41,$F$16)&gt;0,"● "&amp;COUNTIF('_Data'!$AA$2:$AA$41,$F$16)&amp;IF(COUNTIF('_Data'!$AA$2:$AA$41,$F$16)&gt;1," events"," event"),"")&amp;IF(COUNTIF('_Data'!$AA$42:$AA$101,$F$16)&gt;0," ▲ "&amp;COUNTIF('_Data'!$AA$42:$AA$101,$F$16)&amp;" due","")))</f>
        <v/>
      </c>
      <c r="G17" s="95">
        <f>IF($G$16="","",TRIM(IF(COUNTIF('_Data'!$AA$2:$AA$41,$G$16)&gt;0,"● "&amp;COUNTIF('_Data'!$AA$2:$AA$41,$G$16)&amp;IF(COUNTIF('_Data'!$AA$2:$AA$41,$G$16)&gt;1," events"," event"),"")&amp;IF(COUNTIF('_Data'!$AA$42:$AA$101,$G$16)&gt;0," ▲ "&amp;COUNTIF('_Data'!$AA$42:$AA$101,$G$16)&amp;" due","")))</f>
        <v/>
      </c>
      <c r="H17" s="95">
        <f>IF($H$16="","",TRIM(IF(COUNTIF('_Data'!$AA$2:$AA$41,$H$16)&gt;0,"● "&amp;COUNTIF('_Data'!$AA$2:$AA$41,$H$16)&amp;IF(COUNTIF('_Data'!$AA$2:$AA$41,$H$16)&gt;1," events"," event"),"")&amp;IF(COUNTIF('_Data'!$AA$42:$AA$101,$H$16)&gt;0," ▲ "&amp;COUNTIF('_Data'!$AA$42:$AA$101,$H$16)&amp;" due","")))</f>
        <v/>
      </c>
      <c r="J17" s="66">
        <f>IFERROR(IF(INDEX('_Data'!$AA$2:$AA$41,$N$9+5)="","",IF(MONTH(INDEX('_Data'!$AA$2:$AA$41,$N$9+5))&lt;&gt;CalMonth,"",INDEX('_Data'!$AA$2:$AA$41,$N$9+5))),"")</f>
        <v/>
      </c>
      <c r="K17" s="9">
        <f>IF($J17="","",INDEX('_Data'!$AB$2:$AB$41,$N$9+5))</f>
        <v/>
      </c>
      <c r="L17" s="10">
        <f>IF($J17="","",INDEX('_Data'!$AC$2:$AC$41,$N$9+5))</f>
        <v/>
      </c>
    </row>
    <row r="18" spans="2:12" ht="16" customHeight="1">
      <c r="B18" s="94">
        <f>IF(MONTH(DATE(CalYear,CalMonth,1)-WEEKDAY(DATE(CalYear,CalMonth,1),2)+1+21)=CalMonth,DATE(CalYear,CalMonth,1)-WEEKDAY(DATE(CalYear,CalMonth,1),2)+1+21,"")</f>
        <v/>
      </c>
      <c r="C18" s="94">
        <f>IF(MONTH(DATE(CalYear,CalMonth,1)-WEEKDAY(DATE(CalYear,CalMonth,1),2)+1+22)=CalMonth,DATE(CalYear,CalMonth,1)-WEEKDAY(DATE(CalYear,CalMonth,1),2)+1+22,"")</f>
        <v/>
      </c>
      <c r="D18" s="94">
        <f>IF(MONTH(DATE(CalYear,CalMonth,1)-WEEKDAY(DATE(CalYear,CalMonth,1),2)+1+23)=CalMonth,DATE(CalYear,CalMonth,1)-WEEKDAY(DATE(CalYear,CalMonth,1),2)+1+23,"")</f>
        <v/>
      </c>
      <c r="E18" s="94">
        <f>IF(MONTH(DATE(CalYear,CalMonth,1)-WEEKDAY(DATE(CalYear,CalMonth,1),2)+1+24)=CalMonth,DATE(CalYear,CalMonth,1)-WEEKDAY(DATE(CalYear,CalMonth,1),2)+1+24,"")</f>
        <v/>
      </c>
      <c r="F18" s="94">
        <f>IF(MONTH(DATE(CalYear,CalMonth,1)-WEEKDAY(DATE(CalYear,CalMonth,1),2)+1+25)=CalMonth,DATE(CalYear,CalMonth,1)-WEEKDAY(DATE(CalYear,CalMonth,1),2)+1+25,"")</f>
        <v/>
      </c>
      <c r="G18" s="94">
        <f>IF(MONTH(DATE(CalYear,CalMonth,1)-WEEKDAY(DATE(CalYear,CalMonth,1),2)+1+26)=CalMonth,DATE(CalYear,CalMonth,1)-WEEKDAY(DATE(CalYear,CalMonth,1),2)+1+26,"")</f>
        <v/>
      </c>
      <c r="H18" s="94">
        <f>IF(MONTH(DATE(CalYear,CalMonth,1)-WEEKDAY(DATE(CalYear,CalMonth,1),2)+1+27)=CalMonth,DATE(CalYear,CalMonth,1)-WEEKDAY(DATE(CalYear,CalMonth,1),2)+1+27,"")</f>
        <v/>
      </c>
      <c r="J18" s="66">
        <f>IFERROR(IF(INDEX('_Data'!$AA$2:$AA$41,$N$9+6)="","",IF(MONTH(INDEX('_Data'!$AA$2:$AA$41,$N$9+6))&lt;&gt;CalMonth,"",INDEX('_Data'!$AA$2:$AA$41,$N$9+6))),"")</f>
        <v/>
      </c>
      <c r="K18" s="9">
        <f>IF($J18="","",INDEX('_Data'!$AB$2:$AB$41,$N$9+6))</f>
        <v/>
      </c>
      <c r="L18" s="10">
        <f>IF($J18="","",INDEX('_Data'!$AC$2:$AC$41,$N$9+6))</f>
        <v/>
      </c>
    </row>
    <row r="19" spans="2:12" ht="46" customHeight="1">
      <c r="B19" s="95">
        <f>IF($B$18="","",TRIM(IF(COUNTIF('_Data'!$AA$2:$AA$41,$B$18)&gt;0,"● "&amp;COUNTIF('_Data'!$AA$2:$AA$41,$B$18)&amp;IF(COUNTIF('_Data'!$AA$2:$AA$41,$B$18)&gt;1," events"," event"),"")&amp;IF(COUNTIF('_Data'!$AA$42:$AA$101,$B$18)&gt;0," ▲ "&amp;COUNTIF('_Data'!$AA$42:$AA$101,$B$18)&amp;" due","")))</f>
        <v/>
      </c>
      <c r="C19" s="95">
        <f>IF($C$18="","",TRIM(IF(COUNTIF('_Data'!$AA$2:$AA$41,$C$18)&gt;0,"● "&amp;COUNTIF('_Data'!$AA$2:$AA$41,$C$18)&amp;IF(COUNTIF('_Data'!$AA$2:$AA$41,$C$18)&gt;1," events"," event"),"")&amp;IF(COUNTIF('_Data'!$AA$42:$AA$101,$C$18)&gt;0," ▲ "&amp;COUNTIF('_Data'!$AA$42:$AA$101,$C$18)&amp;" due","")))</f>
        <v/>
      </c>
      <c r="D19" s="95">
        <f>IF($D$18="","",TRIM(IF(COUNTIF('_Data'!$AA$2:$AA$41,$D$18)&gt;0,"● "&amp;COUNTIF('_Data'!$AA$2:$AA$41,$D$18)&amp;IF(COUNTIF('_Data'!$AA$2:$AA$41,$D$18)&gt;1," events"," event"),"")&amp;IF(COUNTIF('_Data'!$AA$42:$AA$101,$D$18)&gt;0," ▲ "&amp;COUNTIF('_Data'!$AA$42:$AA$101,$D$18)&amp;" due","")))</f>
        <v/>
      </c>
      <c r="E19" s="95">
        <f>IF($E$18="","",TRIM(IF(COUNTIF('_Data'!$AA$2:$AA$41,$E$18)&gt;0,"● "&amp;COUNTIF('_Data'!$AA$2:$AA$41,$E$18)&amp;IF(COUNTIF('_Data'!$AA$2:$AA$41,$E$18)&gt;1," events"," event"),"")&amp;IF(COUNTIF('_Data'!$AA$42:$AA$101,$E$18)&gt;0," ▲ "&amp;COUNTIF('_Data'!$AA$42:$AA$101,$E$18)&amp;" due","")))</f>
        <v/>
      </c>
      <c r="F19" s="95">
        <f>IF($F$18="","",TRIM(IF(COUNTIF('_Data'!$AA$2:$AA$41,$F$18)&gt;0,"● "&amp;COUNTIF('_Data'!$AA$2:$AA$41,$F$18)&amp;IF(COUNTIF('_Data'!$AA$2:$AA$41,$F$18)&gt;1," events"," event"),"")&amp;IF(COUNTIF('_Data'!$AA$42:$AA$101,$F$18)&gt;0," ▲ "&amp;COUNTIF('_Data'!$AA$42:$AA$101,$F$18)&amp;" due","")))</f>
        <v/>
      </c>
      <c r="G19" s="95">
        <f>IF($G$18="","",TRIM(IF(COUNTIF('_Data'!$AA$2:$AA$41,$G$18)&gt;0,"● "&amp;COUNTIF('_Data'!$AA$2:$AA$41,$G$18)&amp;IF(COUNTIF('_Data'!$AA$2:$AA$41,$G$18)&gt;1," events"," event"),"")&amp;IF(COUNTIF('_Data'!$AA$42:$AA$101,$G$18)&gt;0," ▲ "&amp;COUNTIF('_Data'!$AA$42:$AA$101,$G$18)&amp;" due","")))</f>
        <v/>
      </c>
      <c r="H19" s="95">
        <f>IF($H$18="","",TRIM(IF(COUNTIF('_Data'!$AA$2:$AA$41,$H$18)&gt;0,"● "&amp;COUNTIF('_Data'!$AA$2:$AA$41,$H$18)&amp;IF(COUNTIF('_Data'!$AA$2:$AA$41,$H$18)&gt;1," events"," event"),"")&amp;IF(COUNTIF('_Data'!$AA$42:$AA$101,$H$18)&gt;0," ▲ "&amp;COUNTIF('_Data'!$AA$42:$AA$101,$H$18)&amp;" due","")))</f>
        <v/>
      </c>
      <c r="J19" s="66">
        <f>IFERROR(IF(INDEX('_Data'!$AA$2:$AA$41,$N$9+7)="","",IF(MONTH(INDEX('_Data'!$AA$2:$AA$41,$N$9+7))&lt;&gt;CalMonth,"",INDEX('_Data'!$AA$2:$AA$41,$N$9+7))),"")</f>
        <v/>
      </c>
      <c r="K19" s="9">
        <f>IF($J19="","",INDEX('_Data'!$AB$2:$AB$41,$N$9+7))</f>
        <v/>
      </c>
      <c r="L19" s="10">
        <f>IF($J19="","",INDEX('_Data'!$AC$2:$AC$41,$N$9+7))</f>
        <v/>
      </c>
    </row>
    <row r="20" spans="2:12" ht="16" customHeight="1">
      <c r="B20" s="94">
        <f>IF(MONTH(DATE(CalYear,CalMonth,1)-WEEKDAY(DATE(CalYear,CalMonth,1),2)+1+28)=CalMonth,DATE(CalYear,CalMonth,1)-WEEKDAY(DATE(CalYear,CalMonth,1),2)+1+28,"")</f>
        <v/>
      </c>
      <c r="C20" s="94">
        <f>IF(MONTH(DATE(CalYear,CalMonth,1)-WEEKDAY(DATE(CalYear,CalMonth,1),2)+1+29)=CalMonth,DATE(CalYear,CalMonth,1)-WEEKDAY(DATE(CalYear,CalMonth,1),2)+1+29,"")</f>
        <v/>
      </c>
      <c r="D20" s="94">
        <f>IF(MONTH(DATE(CalYear,CalMonth,1)-WEEKDAY(DATE(CalYear,CalMonth,1),2)+1+30)=CalMonth,DATE(CalYear,CalMonth,1)-WEEKDAY(DATE(CalYear,CalMonth,1),2)+1+30,"")</f>
        <v/>
      </c>
      <c r="E20" s="94">
        <f>IF(MONTH(DATE(CalYear,CalMonth,1)-WEEKDAY(DATE(CalYear,CalMonth,1),2)+1+31)=CalMonth,DATE(CalYear,CalMonth,1)-WEEKDAY(DATE(CalYear,CalMonth,1),2)+1+31,"")</f>
        <v/>
      </c>
      <c r="F20" s="94">
        <f>IF(MONTH(DATE(CalYear,CalMonth,1)-WEEKDAY(DATE(CalYear,CalMonth,1),2)+1+32)=CalMonth,DATE(CalYear,CalMonth,1)-WEEKDAY(DATE(CalYear,CalMonth,1),2)+1+32,"")</f>
        <v/>
      </c>
      <c r="G20" s="94">
        <f>IF(MONTH(DATE(CalYear,CalMonth,1)-WEEKDAY(DATE(CalYear,CalMonth,1),2)+1+33)=CalMonth,DATE(CalYear,CalMonth,1)-WEEKDAY(DATE(CalYear,CalMonth,1),2)+1+33,"")</f>
        <v/>
      </c>
      <c r="H20" s="94">
        <f>IF(MONTH(DATE(CalYear,CalMonth,1)-WEEKDAY(DATE(CalYear,CalMonth,1),2)+1+34)=CalMonth,DATE(CalYear,CalMonth,1)-WEEKDAY(DATE(CalYear,CalMonth,1),2)+1+34,"")</f>
        <v/>
      </c>
      <c r="J20" s="66">
        <f>IFERROR(IF(INDEX('_Data'!$AA$2:$AA$41,$N$9+8)="","",IF(MONTH(INDEX('_Data'!$AA$2:$AA$41,$N$9+8))&lt;&gt;CalMonth,"",INDEX('_Data'!$AA$2:$AA$41,$N$9+8))),"")</f>
        <v/>
      </c>
      <c r="K20" s="9">
        <f>IF($J20="","",INDEX('_Data'!$AB$2:$AB$41,$N$9+8))</f>
        <v/>
      </c>
      <c r="L20" s="10">
        <f>IF($J20="","",INDEX('_Data'!$AC$2:$AC$41,$N$9+8))</f>
        <v/>
      </c>
    </row>
    <row r="21" spans="2:12" ht="46" customHeight="1">
      <c r="B21" s="95">
        <f>IF($B$20="","",TRIM(IF(COUNTIF('_Data'!$AA$2:$AA$41,$B$20)&gt;0,"● "&amp;COUNTIF('_Data'!$AA$2:$AA$41,$B$20)&amp;IF(COUNTIF('_Data'!$AA$2:$AA$41,$B$20)&gt;1," events"," event"),"")&amp;IF(COUNTIF('_Data'!$AA$42:$AA$101,$B$20)&gt;0," ▲ "&amp;COUNTIF('_Data'!$AA$42:$AA$101,$B$20)&amp;" due","")))</f>
        <v/>
      </c>
      <c r="C21" s="95">
        <f>IF($C$20="","",TRIM(IF(COUNTIF('_Data'!$AA$2:$AA$41,$C$20)&gt;0,"● "&amp;COUNTIF('_Data'!$AA$2:$AA$41,$C$20)&amp;IF(COUNTIF('_Data'!$AA$2:$AA$41,$C$20)&gt;1," events"," event"),"")&amp;IF(COUNTIF('_Data'!$AA$42:$AA$101,$C$20)&gt;0," ▲ "&amp;COUNTIF('_Data'!$AA$42:$AA$101,$C$20)&amp;" due","")))</f>
        <v/>
      </c>
      <c r="D21" s="95">
        <f>IF($D$20="","",TRIM(IF(COUNTIF('_Data'!$AA$2:$AA$41,$D$20)&gt;0,"● "&amp;COUNTIF('_Data'!$AA$2:$AA$41,$D$20)&amp;IF(COUNTIF('_Data'!$AA$2:$AA$41,$D$20)&gt;1," events"," event"),"")&amp;IF(COUNTIF('_Data'!$AA$42:$AA$101,$D$20)&gt;0," ▲ "&amp;COUNTIF('_Data'!$AA$42:$AA$101,$D$20)&amp;" due","")))</f>
        <v/>
      </c>
      <c r="E21" s="95">
        <f>IF($E$20="","",TRIM(IF(COUNTIF('_Data'!$AA$2:$AA$41,$E$20)&gt;0,"● "&amp;COUNTIF('_Data'!$AA$2:$AA$41,$E$20)&amp;IF(COUNTIF('_Data'!$AA$2:$AA$41,$E$20)&gt;1," events"," event"),"")&amp;IF(COUNTIF('_Data'!$AA$42:$AA$101,$E$20)&gt;0," ▲ "&amp;COUNTIF('_Data'!$AA$42:$AA$101,$E$20)&amp;" due","")))</f>
        <v/>
      </c>
      <c r="F21" s="95">
        <f>IF($F$20="","",TRIM(IF(COUNTIF('_Data'!$AA$2:$AA$41,$F$20)&gt;0,"● "&amp;COUNTIF('_Data'!$AA$2:$AA$41,$F$20)&amp;IF(COUNTIF('_Data'!$AA$2:$AA$41,$F$20)&gt;1," events"," event"),"")&amp;IF(COUNTIF('_Data'!$AA$42:$AA$101,$F$20)&gt;0," ▲ "&amp;COUNTIF('_Data'!$AA$42:$AA$101,$F$20)&amp;" due","")))</f>
        <v/>
      </c>
      <c r="G21" s="95">
        <f>IF($G$20="","",TRIM(IF(COUNTIF('_Data'!$AA$2:$AA$41,$G$20)&gt;0,"● "&amp;COUNTIF('_Data'!$AA$2:$AA$41,$G$20)&amp;IF(COUNTIF('_Data'!$AA$2:$AA$41,$G$20)&gt;1," events"," event"),"")&amp;IF(COUNTIF('_Data'!$AA$42:$AA$101,$G$20)&gt;0," ▲ "&amp;COUNTIF('_Data'!$AA$42:$AA$101,$G$20)&amp;" due","")))</f>
        <v/>
      </c>
      <c r="H21" s="95">
        <f>IF($H$20="","",TRIM(IF(COUNTIF('_Data'!$AA$2:$AA$41,$H$20)&gt;0,"● "&amp;COUNTIF('_Data'!$AA$2:$AA$41,$H$20)&amp;IF(COUNTIF('_Data'!$AA$2:$AA$41,$H$20)&gt;1," events"," event"),"")&amp;IF(COUNTIF('_Data'!$AA$42:$AA$101,$H$20)&gt;0," ▲ "&amp;COUNTIF('_Data'!$AA$42:$AA$101,$H$20)&amp;" due","")))</f>
        <v/>
      </c>
      <c r="J21" s="66">
        <f>IFERROR(IF(INDEX('_Data'!$AA$2:$AA$41,$N$9+9)="","",IF(MONTH(INDEX('_Data'!$AA$2:$AA$41,$N$9+9))&lt;&gt;CalMonth,"",INDEX('_Data'!$AA$2:$AA$41,$N$9+9))),"")</f>
        <v/>
      </c>
      <c r="K21" s="9">
        <f>IF($J21="","",INDEX('_Data'!$AB$2:$AB$41,$N$9+9))</f>
        <v/>
      </c>
      <c r="L21" s="10">
        <f>IF($J21="","",INDEX('_Data'!$AC$2:$AC$41,$N$9+9))</f>
        <v/>
      </c>
    </row>
    <row r="22" spans="2:12" ht="16" customHeight="1">
      <c r="B22" s="94">
        <f>IF(MONTH(DATE(CalYear,CalMonth,1)-WEEKDAY(DATE(CalYear,CalMonth,1),2)+1+35)=CalMonth,DATE(CalYear,CalMonth,1)-WEEKDAY(DATE(CalYear,CalMonth,1),2)+1+35,"")</f>
        <v/>
      </c>
      <c r="C22" s="94">
        <f>IF(MONTH(DATE(CalYear,CalMonth,1)-WEEKDAY(DATE(CalYear,CalMonth,1),2)+1+36)=CalMonth,DATE(CalYear,CalMonth,1)-WEEKDAY(DATE(CalYear,CalMonth,1),2)+1+36,"")</f>
        <v/>
      </c>
      <c r="D22" s="94">
        <f>IF(MONTH(DATE(CalYear,CalMonth,1)-WEEKDAY(DATE(CalYear,CalMonth,1),2)+1+37)=CalMonth,DATE(CalYear,CalMonth,1)-WEEKDAY(DATE(CalYear,CalMonth,1),2)+1+37,"")</f>
        <v/>
      </c>
      <c r="E22" s="94">
        <f>IF(MONTH(DATE(CalYear,CalMonth,1)-WEEKDAY(DATE(CalYear,CalMonth,1),2)+1+38)=CalMonth,DATE(CalYear,CalMonth,1)-WEEKDAY(DATE(CalYear,CalMonth,1),2)+1+38,"")</f>
        <v/>
      </c>
      <c r="F22" s="94">
        <f>IF(MONTH(DATE(CalYear,CalMonth,1)-WEEKDAY(DATE(CalYear,CalMonth,1),2)+1+39)=CalMonth,DATE(CalYear,CalMonth,1)-WEEKDAY(DATE(CalYear,CalMonth,1),2)+1+39,"")</f>
        <v/>
      </c>
      <c r="G22" s="94">
        <f>IF(MONTH(DATE(CalYear,CalMonth,1)-WEEKDAY(DATE(CalYear,CalMonth,1),2)+1+40)=CalMonth,DATE(CalYear,CalMonth,1)-WEEKDAY(DATE(CalYear,CalMonth,1),2)+1+40,"")</f>
        <v/>
      </c>
      <c r="H22" s="94">
        <f>IF(MONTH(DATE(CalYear,CalMonth,1)-WEEKDAY(DATE(CalYear,CalMonth,1),2)+1+41)=CalMonth,DATE(CalYear,CalMonth,1)-WEEKDAY(DATE(CalYear,CalMonth,1),2)+1+41,"")</f>
        <v/>
      </c>
      <c r="J22" s="66">
        <f>IFERROR(IF(INDEX('_Data'!$AA$2:$AA$41,$N$9+10)="","",IF(MONTH(INDEX('_Data'!$AA$2:$AA$41,$N$9+10))&lt;&gt;CalMonth,"",INDEX('_Data'!$AA$2:$AA$41,$N$9+10))),"")</f>
        <v/>
      </c>
      <c r="K22" s="9">
        <f>IF($J22="","",INDEX('_Data'!$AB$2:$AB$41,$N$9+10))</f>
        <v/>
      </c>
      <c r="L22" s="10">
        <f>IF($J22="","",INDEX('_Data'!$AC$2:$AC$41,$N$9+10))</f>
        <v/>
      </c>
    </row>
    <row r="23" spans="2:12" ht="46" customHeight="1">
      <c r="B23" s="95">
        <f>IF($B$22="","",TRIM(IF(COUNTIF('_Data'!$AA$2:$AA$41,$B$22)&gt;0,"● "&amp;COUNTIF('_Data'!$AA$2:$AA$41,$B$22)&amp;IF(COUNTIF('_Data'!$AA$2:$AA$41,$B$22)&gt;1," events"," event"),"")&amp;IF(COUNTIF('_Data'!$AA$42:$AA$101,$B$22)&gt;0," ▲ "&amp;COUNTIF('_Data'!$AA$42:$AA$101,$B$22)&amp;" due","")))</f>
        <v/>
      </c>
      <c r="C23" s="95">
        <f>IF($C$22="","",TRIM(IF(COUNTIF('_Data'!$AA$2:$AA$41,$C$22)&gt;0,"● "&amp;COUNTIF('_Data'!$AA$2:$AA$41,$C$22)&amp;IF(COUNTIF('_Data'!$AA$2:$AA$41,$C$22)&gt;1," events"," event"),"")&amp;IF(COUNTIF('_Data'!$AA$42:$AA$101,$C$22)&gt;0," ▲ "&amp;COUNTIF('_Data'!$AA$42:$AA$101,$C$22)&amp;" due","")))</f>
        <v/>
      </c>
      <c r="D23" s="95">
        <f>IF($D$22="","",TRIM(IF(COUNTIF('_Data'!$AA$2:$AA$41,$D$22)&gt;0,"● "&amp;COUNTIF('_Data'!$AA$2:$AA$41,$D$22)&amp;IF(COUNTIF('_Data'!$AA$2:$AA$41,$D$22)&gt;1," events"," event"),"")&amp;IF(COUNTIF('_Data'!$AA$42:$AA$101,$D$22)&gt;0," ▲ "&amp;COUNTIF('_Data'!$AA$42:$AA$101,$D$22)&amp;" due","")))</f>
        <v/>
      </c>
      <c r="E23" s="95">
        <f>IF($E$22="","",TRIM(IF(COUNTIF('_Data'!$AA$2:$AA$41,$E$22)&gt;0,"● "&amp;COUNTIF('_Data'!$AA$2:$AA$41,$E$22)&amp;IF(COUNTIF('_Data'!$AA$2:$AA$41,$E$22)&gt;1," events"," event"),"")&amp;IF(COUNTIF('_Data'!$AA$42:$AA$101,$E$22)&gt;0," ▲ "&amp;COUNTIF('_Data'!$AA$42:$AA$101,$E$22)&amp;" due","")))</f>
        <v/>
      </c>
      <c r="F23" s="95">
        <f>IF($F$22="","",TRIM(IF(COUNTIF('_Data'!$AA$2:$AA$41,$F$22)&gt;0,"● "&amp;COUNTIF('_Data'!$AA$2:$AA$41,$F$22)&amp;IF(COUNTIF('_Data'!$AA$2:$AA$41,$F$22)&gt;1," events"," event"),"")&amp;IF(COUNTIF('_Data'!$AA$42:$AA$101,$F$22)&gt;0," ▲ "&amp;COUNTIF('_Data'!$AA$42:$AA$101,$F$22)&amp;" due","")))</f>
        <v/>
      </c>
      <c r="G23" s="95">
        <f>IF($G$22="","",TRIM(IF(COUNTIF('_Data'!$AA$2:$AA$41,$G$22)&gt;0,"● "&amp;COUNTIF('_Data'!$AA$2:$AA$41,$G$22)&amp;IF(COUNTIF('_Data'!$AA$2:$AA$41,$G$22)&gt;1," events"," event"),"")&amp;IF(COUNTIF('_Data'!$AA$42:$AA$101,$G$22)&gt;0," ▲ "&amp;COUNTIF('_Data'!$AA$42:$AA$101,$G$22)&amp;" due","")))</f>
        <v/>
      </c>
      <c r="H23" s="95">
        <f>IF($H$22="","",TRIM(IF(COUNTIF('_Data'!$AA$2:$AA$41,$H$22)&gt;0,"● "&amp;COUNTIF('_Data'!$AA$2:$AA$41,$H$22)&amp;IF(COUNTIF('_Data'!$AA$2:$AA$41,$H$22)&gt;1," events"," event"),"")&amp;IF(COUNTIF('_Data'!$AA$42:$AA$101,$H$22)&gt;0," ▲ "&amp;COUNTIF('_Data'!$AA$42:$AA$101,$H$22)&amp;" due","")))</f>
        <v/>
      </c>
      <c r="J23" s="66">
        <f>IFERROR(IF(INDEX('_Data'!$AA$2:$AA$41,$N$9+11)="","",IF(MONTH(INDEX('_Data'!$AA$2:$AA$41,$N$9+11))&lt;&gt;CalMonth,"",INDEX('_Data'!$AA$2:$AA$41,$N$9+11))),"")</f>
        <v/>
      </c>
      <c r="K23" s="9">
        <f>IF($J23="","",INDEX('_Data'!$AB$2:$AB$41,$N$9+11))</f>
        <v/>
      </c>
      <c r="L23" s="10">
        <f>IF($J23="","",INDEX('_Data'!$AC$2:$AC$41,$N$9+11))</f>
        <v/>
      </c>
    </row>
    <row r="24" spans="2:12" ht="18" customHeight="1"/>
    <row r="25" spans="2:12" ht="18" customHeight="1">
      <c r="J25" s="57" t="s">
        <v>353</v>
      </c>
      <c r="K25" s="57"/>
      <c r="L25" s="57"/>
    </row>
    <row r="26" spans="2:12" ht="18" customHeight="1">
      <c r="J26" s="66">
        <f>IFERROR(IF(INDEX('_Data'!$AA$42:$AA$101,$N$10+0)="","",IF(MONTH(INDEX('_Data'!$AA$42:$AA$101,$N$10+0))&lt;&gt;CalMonth,"",INDEX('_Data'!$AA$42:$AA$101,$N$10+0))),"")</f>
        <v/>
      </c>
      <c r="K26" s="9">
        <f>IF($J26="","",INDEX('_Data'!$AB$42:$AB$101,$N$10+0))</f>
        <v/>
      </c>
      <c r="L26" s="10">
        <f>IF($J26="","",INDEX('_Data'!$AC$42:$AC$101,$N$10+0))</f>
        <v/>
      </c>
    </row>
    <row r="27" spans="2:12" ht="18" customHeight="1">
      <c r="J27" s="66">
        <f>IFERROR(IF(INDEX('_Data'!$AA$42:$AA$101,$N$10+1)="","",IF(MONTH(INDEX('_Data'!$AA$42:$AA$101,$N$10+1))&lt;&gt;CalMonth,"",INDEX('_Data'!$AA$42:$AA$101,$N$10+1))),"")</f>
        <v/>
      </c>
      <c r="K27" s="9">
        <f>IF($J27="","",INDEX('_Data'!$AB$42:$AB$101,$N$10+1))</f>
        <v/>
      </c>
      <c r="L27" s="10">
        <f>IF($J27="","",INDEX('_Data'!$AC$42:$AC$101,$N$10+1))</f>
        <v/>
      </c>
    </row>
    <row r="28" spans="2:12" ht="18" customHeight="1">
      <c r="J28" s="66">
        <f>IFERROR(IF(INDEX('_Data'!$AA$42:$AA$101,$N$10+2)="","",IF(MONTH(INDEX('_Data'!$AA$42:$AA$101,$N$10+2))&lt;&gt;CalMonth,"",INDEX('_Data'!$AA$42:$AA$101,$N$10+2))),"")</f>
        <v/>
      </c>
      <c r="K28" s="9">
        <f>IF($J28="","",INDEX('_Data'!$AB$42:$AB$101,$N$10+2))</f>
        <v/>
      </c>
      <c r="L28" s="10">
        <f>IF($J28="","",INDEX('_Data'!$AC$42:$AC$101,$N$10+2))</f>
        <v/>
      </c>
    </row>
    <row r="29" spans="2:12" ht="18" customHeight="1">
      <c r="J29" s="66">
        <f>IFERROR(IF(INDEX('_Data'!$AA$42:$AA$101,$N$10+3)="","",IF(MONTH(INDEX('_Data'!$AA$42:$AA$101,$N$10+3))&lt;&gt;CalMonth,"",INDEX('_Data'!$AA$42:$AA$101,$N$10+3))),"")</f>
        <v/>
      </c>
      <c r="K29" s="9">
        <f>IF($J29="","",INDEX('_Data'!$AB$42:$AB$101,$N$10+3))</f>
        <v/>
      </c>
      <c r="L29" s="10">
        <f>IF($J29="","",INDEX('_Data'!$AC$42:$AC$101,$N$10+3))</f>
        <v/>
      </c>
    </row>
    <row r="30" spans="2:12" ht="18" customHeight="1">
      <c r="J30" s="66">
        <f>IFERROR(IF(INDEX('_Data'!$AA$42:$AA$101,$N$10+4)="","",IF(MONTH(INDEX('_Data'!$AA$42:$AA$101,$N$10+4))&lt;&gt;CalMonth,"",INDEX('_Data'!$AA$42:$AA$101,$N$10+4))),"")</f>
        <v/>
      </c>
      <c r="K30" s="9">
        <f>IF($J30="","",INDEX('_Data'!$AB$42:$AB$101,$N$10+4))</f>
        <v/>
      </c>
      <c r="L30" s="10">
        <f>IF($J30="","",INDEX('_Data'!$AC$42:$AC$101,$N$10+4))</f>
        <v/>
      </c>
    </row>
    <row r="31" spans="2:12" ht="18" customHeight="1">
      <c r="J31" s="66">
        <f>IFERROR(IF(INDEX('_Data'!$AA$42:$AA$101,$N$10+5)="","",IF(MONTH(INDEX('_Data'!$AA$42:$AA$101,$N$10+5))&lt;&gt;CalMonth,"",INDEX('_Data'!$AA$42:$AA$101,$N$10+5))),"")</f>
        <v/>
      </c>
      <c r="K31" s="9">
        <f>IF($J31="","",INDEX('_Data'!$AB$42:$AB$101,$N$10+5))</f>
        <v/>
      </c>
      <c r="L31" s="10">
        <f>IF($J31="","",INDEX('_Data'!$AC$42:$AC$101,$N$10+5))</f>
        <v/>
      </c>
    </row>
    <row r="32" spans="2:12" ht="18" customHeight="1">
      <c r="J32" s="66">
        <f>IFERROR(IF(INDEX('_Data'!$AA$42:$AA$101,$N$10+6)="","",IF(MONTH(INDEX('_Data'!$AA$42:$AA$101,$N$10+6))&lt;&gt;CalMonth,"",INDEX('_Data'!$AA$42:$AA$101,$N$10+6))),"")</f>
        <v/>
      </c>
      <c r="K32" s="9">
        <f>IF($J32="","",INDEX('_Data'!$AB$42:$AB$101,$N$10+6))</f>
        <v/>
      </c>
      <c r="L32" s="10">
        <f>IF($J32="","",INDEX('_Data'!$AC$42:$AC$101,$N$10+6))</f>
        <v/>
      </c>
    </row>
    <row r="33" spans="1:14" ht="18" customHeight="1">
      <c r="J33" s="66">
        <f>IFERROR(IF(INDEX('_Data'!$AA$42:$AA$101,$N$10+7)="","",IF(MONTH(INDEX('_Data'!$AA$42:$AA$101,$N$10+7))&lt;&gt;CalMonth,"",INDEX('_Data'!$AA$42:$AA$101,$N$10+7))),"")</f>
        <v/>
      </c>
      <c r="K33" s="9">
        <f>IF($J33="","",INDEX('_Data'!$AB$42:$AB$101,$N$10+7))</f>
        <v/>
      </c>
      <c r="L33" s="10">
        <f>IF($J33="","",INDEX('_Data'!$AC$42:$AC$101,$N$10+7))</f>
        <v/>
      </c>
    </row>
    <row r="34" spans="1:14" ht="18" customHeight="1">
      <c r="J34" s="66">
        <f>IFERROR(IF(INDEX('_Data'!$AA$42:$AA$101,$N$10+8)="","",IF(MONTH(INDEX('_Data'!$AA$42:$AA$101,$N$10+8))&lt;&gt;CalMonth,"",INDEX('_Data'!$AA$42:$AA$101,$N$10+8))),"")</f>
        <v/>
      </c>
      <c r="K34" s="9">
        <f>IF($J34="","",INDEX('_Data'!$AB$42:$AB$101,$N$10+8))</f>
        <v/>
      </c>
      <c r="L34" s="10">
        <f>IF($J34="","",INDEX('_Data'!$AC$42:$AC$101,$N$10+8))</f>
        <v/>
      </c>
    </row>
    <row r="35" spans="1:14" ht="18" customHeight="1">
      <c r="J35" s="66">
        <f>IFERROR(IF(INDEX('_Data'!$AA$42:$AA$101,$N$10+9)="","",IF(MONTH(INDEX('_Data'!$AA$42:$AA$101,$N$10+9))&lt;&gt;CalMonth,"",INDEX('_Data'!$AA$42:$AA$101,$N$10+9))),"")</f>
        <v/>
      </c>
      <c r="K35" s="9">
        <f>IF($J35="","",INDEX('_Data'!$AB$42:$AB$101,$N$10+9))</f>
        <v/>
      </c>
      <c r="L35" s="10">
        <f>IF($J35="","",INDEX('_Data'!$AC$42:$AC$101,$N$10+9))</f>
        <v/>
      </c>
    </row>
    <row r="36" spans="1:14" ht="18" customHeight="1">
      <c r="J36" s="66">
        <f>IFERROR(IF(INDEX('_Data'!$AA$42:$AA$101,$N$10+10)="","",IF(MONTH(INDEX('_Data'!$AA$42:$AA$101,$N$10+10))&lt;&gt;CalMonth,"",INDEX('_Data'!$AA$42:$AA$101,$N$10+10))),"")</f>
        <v/>
      </c>
      <c r="K36" s="9">
        <f>IF($J36="","",INDEX('_Data'!$AB$42:$AB$101,$N$10+10))</f>
        <v/>
      </c>
      <c r="L36" s="10">
        <f>IF($J36="","",INDEX('_Data'!$AC$42:$AC$101,$N$10+10))</f>
        <v/>
      </c>
    </row>
    <row r="37" spans="1:14" ht="18" customHeight="1">
      <c r="J37" s="66">
        <f>IFERROR(IF(INDEX('_Data'!$AA$42:$AA$101,$N$10+11)="","",IF(MONTH(INDEX('_Data'!$AA$42:$AA$101,$N$10+11))&lt;&gt;CalMonth,"",INDEX('_Data'!$AA$42:$AA$101,$N$10+11))),"")</f>
        <v/>
      </c>
      <c r="K37" s="9">
        <f>IF($J37="","",INDEX('_Data'!$AB$42:$AB$101,$N$10+11))</f>
        <v/>
      </c>
      <c r="L37" s="10">
        <f>IF($J37="","",INDEX('_Data'!$AC$42:$AC$101,$N$10+11))</f>
        <v/>
      </c>
    </row>
    <row r="38" spans="1:14" ht="18" customHeight="1"/>
    <row r="39" spans="1:14" ht="10" customHeight="1">
      <c r="A39" s="4"/>
      <c r="B39" s="4"/>
      <c r="C39" s="4"/>
      <c r="D39" s="4"/>
      <c r="E39" s="4"/>
      <c r="F39" s="4"/>
      <c r="G39" s="4"/>
      <c r="H39" s="4"/>
      <c r="I39" s="4"/>
      <c r="J39" s="4"/>
      <c r="K39" s="4"/>
      <c r="L39" s="4"/>
      <c r="M39" s="4"/>
      <c r="N39" s="4"/>
    </row>
    <row r="40" spans="1:14" ht="28" customHeight="1">
      <c r="B40" s="22" t="s">
        <v>355</v>
      </c>
      <c r="C40" s="22"/>
      <c r="D40" s="22"/>
      <c r="E40" s="22"/>
      <c r="F40" s="22"/>
      <c r="G40" s="22"/>
      <c r="H40" s="22"/>
      <c r="I40" s="22"/>
      <c r="J40" s="22"/>
      <c r="K40" s="22"/>
      <c r="L40" s="22"/>
    </row>
    <row r="41" spans="1:14" ht="18" customHeight="1"/>
    <row r="42" spans="1:14" ht="18" customHeight="1">
      <c r="B42" s="23" t="s">
        <v>202</v>
      </c>
      <c r="C42" s="23"/>
      <c r="D42" s="24" t="s">
        <v>164</v>
      </c>
      <c r="E42" s="24"/>
      <c r="F42" s="25" t="s">
        <v>165</v>
      </c>
      <c r="G42" s="25"/>
      <c r="H42" s="26" t="s">
        <v>17</v>
      </c>
      <c r="I42" s="26"/>
      <c r="J42" s="27" t="s">
        <v>166</v>
      </c>
      <c r="K42" s="27"/>
    </row>
    <row r="43" spans="1:14" ht="24" customHeight="1">
      <c r="B43" s="28" t="s">
        <v>167</v>
      </c>
      <c r="C43" s="28"/>
      <c r="D43" s="29" t="s">
        <v>168</v>
      </c>
      <c r="E43" s="29"/>
      <c r="F43" s="30" t="s">
        <v>169</v>
      </c>
      <c r="G43" s="30"/>
      <c r="H43" s="24" t="s">
        <v>170</v>
      </c>
      <c r="I43" s="24"/>
      <c r="J43" s="26" t="s">
        <v>171</v>
      </c>
      <c r="K43" s="26"/>
    </row>
    <row r="44" spans="1:14" ht="24" customHeight="1">
      <c r="B44" s="23" t="s">
        <v>172</v>
      </c>
      <c r="C44" s="23"/>
      <c r="D44" s="24" t="s">
        <v>173</v>
      </c>
      <c r="E44" s="24"/>
      <c r="F44" s="25" t="s">
        <v>174</v>
      </c>
      <c r="G44" s="25"/>
      <c r="H44" s="26" t="s">
        <v>356</v>
      </c>
      <c r="I44" s="26"/>
      <c r="J44" s="27" t="s">
        <v>176</v>
      </c>
      <c r="K44" s="27"/>
    </row>
    <row r="45" spans="1:14" ht="24" customHeight="1">
      <c r="B45" s="28" t="s">
        <v>177</v>
      </c>
      <c r="C45" s="28"/>
      <c r="D45" s="29" t="s">
        <v>178</v>
      </c>
      <c r="E45" s="29"/>
      <c r="F45" s="30" t="s">
        <v>179</v>
      </c>
      <c r="G45" s="30"/>
      <c r="H45" s="24" t="s">
        <v>180</v>
      </c>
      <c r="I45" s="24"/>
    </row>
    <row r="46" spans="1:14" ht="18" customHeight="1"/>
    <row r="47" spans="1:14" ht="18" customHeight="1"/>
    <row r="48" spans="1:14" ht="18" customHeight="1"/>
  </sheetData>
  <mergeCells count="28">
    <mergeCell ref="B2:I2"/>
    <mergeCell ref="B3:I3"/>
    <mergeCell ref="J3:L3"/>
    <mergeCell ref="B5:C5"/>
    <mergeCell ref="D5:E5"/>
    <mergeCell ref="F5:G5"/>
    <mergeCell ref="J11:L11"/>
    <mergeCell ref="J25:L25"/>
    <mergeCell ref="B40:L40"/>
    <mergeCell ref="B42:C42"/>
    <mergeCell ref="D42:E42"/>
    <mergeCell ref="F42:G42"/>
    <mergeCell ref="H42:I42"/>
    <mergeCell ref="J42:K42"/>
    <mergeCell ref="B43:C43"/>
    <mergeCell ref="D43:E43"/>
    <mergeCell ref="F43:G43"/>
    <mergeCell ref="H43:I43"/>
    <mergeCell ref="J43:K43"/>
    <mergeCell ref="B44:C44"/>
    <mergeCell ref="D44:E44"/>
    <mergeCell ref="F44:G44"/>
    <mergeCell ref="H44:I44"/>
    <mergeCell ref="J44:K44"/>
    <mergeCell ref="B45:C45"/>
    <mergeCell ref="D45:E45"/>
    <mergeCell ref="F45:G45"/>
    <mergeCell ref="H45:I45"/>
  </mergeCells>
  <conditionalFormatting sqref="B11">
    <cfRule type="expression" dxfId="11" priority="1">
      <formula>$B$12=TODAY()</formula>
    </cfRule>
  </conditionalFormatting>
  <conditionalFormatting sqref="B12">
    <cfRule type="containsText" dxfId="3" priority="2" operator="containsText" text="●">
      <formula>NOT(ISERROR(SEARCH("●",B12)))</formula>
    </cfRule>
    <cfRule type="containsText" dxfId="8" priority="3" operator="containsText" text="▲">
      <formula>NOT(ISERROR(SEARCH("▲",B12)))</formula>
    </cfRule>
  </conditionalFormatting>
  <conditionalFormatting sqref="B13">
    <cfRule type="expression" dxfId="11" priority="22">
      <formula>$B$14=TODAY()</formula>
    </cfRule>
  </conditionalFormatting>
  <conditionalFormatting sqref="B14">
    <cfRule type="containsText" dxfId="3" priority="23" operator="containsText" text="●">
      <formula>NOT(ISERROR(SEARCH("●",B14)))</formula>
    </cfRule>
    <cfRule type="containsText" dxfId="8" priority="24" operator="containsText" text="▲">
      <formula>NOT(ISERROR(SEARCH("▲",B14)))</formula>
    </cfRule>
  </conditionalFormatting>
  <conditionalFormatting sqref="B15">
    <cfRule type="expression" dxfId="11" priority="43">
      <formula>$B$16=TODAY()</formula>
    </cfRule>
  </conditionalFormatting>
  <conditionalFormatting sqref="B16">
    <cfRule type="containsText" dxfId="3" priority="44" operator="containsText" text="●">
      <formula>NOT(ISERROR(SEARCH("●",B16)))</formula>
    </cfRule>
    <cfRule type="containsText" dxfId="8" priority="45" operator="containsText" text="▲">
      <formula>NOT(ISERROR(SEARCH("▲",B16)))</formula>
    </cfRule>
  </conditionalFormatting>
  <conditionalFormatting sqref="B17">
    <cfRule type="expression" dxfId="11" priority="64">
      <formula>$B$18=TODAY()</formula>
    </cfRule>
  </conditionalFormatting>
  <conditionalFormatting sqref="B18">
    <cfRule type="containsText" dxfId="3" priority="65" operator="containsText" text="●">
      <formula>NOT(ISERROR(SEARCH("●",B18)))</formula>
    </cfRule>
    <cfRule type="containsText" dxfId="8" priority="66" operator="containsText" text="▲">
      <formula>NOT(ISERROR(SEARCH("▲",B18)))</formula>
    </cfRule>
  </conditionalFormatting>
  <conditionalFormatting sqref="B19">
    <cfRule type="expression" dxfId="11" priority="85">
      <formula>$B$20=TODAY()</formula>
    </cfRule>
  </conditionalFormatting>
  <conditionalFormatting sqref="B20">
    <cfRule type="containsText" dxfId="3" priority="86" operator="containsText" text="●">
      <formula>NOT(ISERROR(SEARCH("●",B20)))</formula>
    </cfRule>
    <cfRule type="containsText" dxfId="8" priority="87" operator="containsText" text="▲">
      <formula>NOT(ISERROR(SEARCH("▲",B20)))</formula>
    </cfRule>
  </conditionalFormatting>
  <conditionalFormatting sqref="B21">
    <cfRule type="expression" dxfId="11" priority="106">
      <formula>$B$22=TODAY()</formula>
    </cfRule>
  </conditionalFormatting>
  <conditionalFormatting sqref="B22">
    <cfRule type="containsText" dxfId="3" priority="107" operator="containsText" text="●">
      <formula>NOT(ISERROR(SEARCH("●",B22)))</formula>
    </cfRule>
    <cfRule type="containsText" dxfId="8" priority="108" operator="containsText" text="▲">
      <formula>NOT(ISERROR(SEARCH("▲",B22)))</formula>
    </cfRule>
  </conditionalFormatting>
  <conditionalFormatting sqref="C11">
    <cfRule type="expression" dxfId="11" priority="4">
      <formula>$C$12=TODAY()</formula>
    </cfRule>
  </conditionalFormatting>
  <conditionalFormatting sqref="C12">
    <cfRule type="containsText" dxfId="3" priority="5" operator="containsText" text="●">
      <formula>NOT(ISERROR(SEARCH("●",C12)))</formula>
    </cfRule>
    <cfRule type="containsText" dxfId="8" priority="6" operator="containsText" text="▲">
      <formula>NOT(ISERROR(SEARCH("▲",C12)))</formula>
    </cfRule>
  </conditionalFormatting>
  <conditionalFormatting sqref="C13">
    <cfRule type="expression" dxfId="11" priority="25">
      <formula>$C$14=TODAY()</formula>
    </cfRule>
  </conditionalFormatting>
  <conditionalFormatting sqref="C14">
    <cfRule type="containsText" dxfId="3" priority="26" operator="containsText" text="●">
      <formula>NOT(ISERROR(SEARCH("●",C14)))</formula>
    </cfRule>
    <cfRule type="containsText" dxfId="8" priority="27" operator="containsText" text="▲">
      <formula>NOT(ISERROR(SEARCH("▲",C14)))</formula>
    </cfRule>
  </conditionalFormatting>
  <conditionalFormatting sqref="C15">
    <cfRule type="expression" dxfId="11" priority="46">
      <formula>$C$16=TODAY()</formula>
    </cfRule>
  </conditionalFormatting>
  <conditionalFormatting sqref="C16">
    <cfRule type="containsText" dxfId="3" priority="47" operator="containsText" text="●">
      <formula>NOT(ISERROR(SEARCH("●",C16)))</formula>
    </cfRule>
    <cfRule type="containsText" dxfId="8" priority="48" operator="containsText" text="▲">
      <formula>NOT(ISERROR(SEARCH("▲",C16)))</formula>
    </cfRule>
  </conditionalFormatting>
  <conditionalFormatting sqref="C17">
    <cfRule type="expression" dxfId="11" priority="67">
      <formula>$C$18=TODAY()</formula>
    </cfRule>
  </conditionalFormatting>
  <conditionalFormatting sqref="C18">
    <cfRule type="containsText" dxfId="3" priority="68" operator="containsText" text="●">
      <formula>NOT(ISERROR(SEARCH("●",C18)))</formula>
    </cfRule>
    <cfRule type="containsText" dxfId="8" priority="69" operator="containsText" text="▲">
      <formula>NOT(ISERROR(SEARCH("▲",C18)))</formula>
    </cfRule>
  </conditionalFormatting>
  <conditionalFormatting sqref="C19">
    <cfRule type="expression" dxfId="11" priority="88">
      <formula>$C$20=TODAY()</formula>
    </cfRule>
  </conditionalFormatting>
  <conditionalFormatting sqref="C20">
    <cfRule type="containsText" dxfId="3" priority="89" operator="containsText" text="●">
      <formula>NOT(ISERROR(SEARCH("●",C20)))</formula>
    </cfRule>
    <cfRule type="containsText" dxfId="8" priority="90" operator="containsText" text="▲">
      <formula>NOT(ISERROR(SEARCH("▲",C20)))</formula>
    </cfRule>
  </conditionalFormatting>
  <conditionalFormatting sqref="C21">
    <cfRule type="expression" dxfId="11" priority="109">
      <formula>$C$22=TODAY()</formula>
    </cfRule>
  </conditionalFormatting>
  <conditionalFormatting sqref="C22">
    <cfRule type="containsText" dxfId="3" priority="110" operator="containsText" text="●">
      <formula>NOT(ISERROR(SEARCH("●",C22)))</formula>
    </cfRule>
    <cfRule type="containsText" dxfId="8" priority="111" operator="containsText" text="▲">
      <formula>NOT(ISERROR(SEARCH("▲",C22)))</formula>
    </cfRule>
  </conditionalFormatting>
  <conditionalFormatting sqref="D11">
    <cfRule type="expression" dxfId="11" priority="7">
      <formula>$D$12=TODAY()</formula>
    </cfRule>
  </conditionalFormatting>
  <conditionalFormatting sqref="D12">
    <cfRule type="containsText" dxfId="3" priority="8" operator="containsText" text="●">
      <formula>NOT(ISERROR(SEARCH("●",D12)))</formula>
    </cfRule>
    <cfRule type="containsText" dxfId="8" priority="9" operator="containsText" text="▲">
      <formula>NOT(ISERROR(SEARCH("▲",D12)))</formula>
    </cfRule>
  </conditionalFormatting>
  <conditionalFormatting sqref="D13">
    <cfRule type="expression" dxfId="11" priority="28">
      <formula>$D$14=TODAY()</formula>
    </cfRule>
  </conditionalFormatting>
  <conditionalFormatting sqref="D14">
    <cfRule type="containsText" dxfId="3" priority="29" operator="containsText" text="●">
      <formula>NOT(ISERROR(SEARCH("●",D14)))</formula>
    </cfRule>
    <cfRule type="containsText" dxfId="8" priority="30" operator="containsText" text="▲">
      <formula>NOT(ISERROR(SEARCH("▲",D14)))</formula>
    </cfRule>
  </conditionalFormatting>
  <conditionalFormatting sqref="D15">
    <cfRule type="expression" dxfId="11" priority="49">
      <formula>$D$16=TODAY()</formula>
    </cfRule>
  </conditionalFormatting>
  <conditionalFormatting sqref="D16">
    <cfRule type="containsText" dxfId="3" priority="50" operator="containsText" text="●">
      <formula>NOT(ISERROR(SEARCH("●",D16)))</formula>
    </cfRule>
    <cfRule type="containsText" dxfId="8" priority="51" operator="containsText" text="▲">
      <formula>NOT(ISERROR(SEARCH("▲",D16)))</formula>
    </cfRule>
  </conditionalFormatting>
  <conditionalFormatting sqref="D17">
    <cfRule type="expression" dxfId="11" priority="70">
      <formula>$D$18=TODAY()</formula>
    </cfRule>
  </conditionalFormatting>
  <conditionalFormatting sqref="D18">
    <cfRule type="containsText" dxfId="3" priority="71" operator="containsText" text="●">
      <formula>NOT(ISERROR(SEARCH("●",D18)))</formula>
    </cfRule>
    <cfRule type="containsText" dxfId="8" priority="72" operator="containsText" text="▲">
      <formula>NOT(ISERROR(SEARCH("▲",D18)))</formula>
    </cfRule>
  </conditionalFormatting>
  <conditionalFormatting sqref="D19">
    <cfRule type="expression" dxfId="11" priority="91">
      <formula>$D$20=TODAY()</formula>
    </cfRule>
  </conditionalFormatting>
  <conditionalFormatting sqref="D20">
    <cfRule type="containsText" dxfId="3" priority="92" operator="containsText" text="●">
      <formula>NOT(ISERROR(SEARCH("●",D20)))</formula>
    </cfRule>
    <cfRule type="containsText" dxfId="8" priority="93" operator="containsText" text="▲">
      <formula>NOT(ISERROR(SEARCH("▲",D20)))</formula>
    </cfRule>
  </conditionalFormatting>
  <conditionalFormatting sqref="D21">
    <cfRule type="expression" dxfId="11" priority="112">
      <formula>$D$22=TODAY()</formula>
    </cfRule>
  </conditionalFormatting>
  <conditionalFormatting sqref="D22">
    <cfRule type="containsText" dxfId="3" priority="113" operator="containsText" text="●">
      <formula>NOT(ISERROR(SEARCH("●",D22)))</formula>
    </cfRule>
    <cfRule type="containsText" dxfId="8" priority="114" operator="containsText" text="▲">
      <formula>NOT(ISERROR(SEARCH("▲",D22)))</formula>
    </cfRule>
  </conditionalFormatting>
  <conditionalFormatting sqref="E11">
    <cfRule type="expression" dxfId="11" priority="10">
      <formula>$E$12=TODAY()</formula>
    </cfRule>
  </conditionalFormatting>
  <conditionalFormatting sqref="E12">
    <cfRule type="containsText" dxfId="3" priority="11" operator="containsText" text="●">
      <formula>NOT(ISERROR(SEARCH("●",E12)))</formula>
    </cfRule>
    <cfRule type="containsText" dxfId="8" priority="12" operator="containsText" text="▲">
      <formula>NOT(ISERROR(SEARCH("▲",E12)))</formula>
    </cfRule>
  </conditionalFormatting>
  <conditionalFormatting sqref="E13">
    <cfRule type="expression" dxfId="11" priority="31">
      <formula>$E$14=TODAY()</formula>
    </cfRule>
  </conditionalFormatting>
  <conditionalFormatting sqref="E14">
    <cfRule type="containsText" dxfId="3" priority="32" operator="containsText" text="●">
      <formula>NOT(ISERROR(SEARCH("●",E14)))</formula>
    </cfRule>
    <cfRule type="containsText" dxfId="8" priority="33" operator="containsText" text="▲">
      <formula>NOT(ISERROR(SEARCH("▲",E14)))</formula>
    </cfRule>
  </conditionalFormatting>
  <conditionalFormatting sqref="E15">
    <cfRule type="expression" dxfId="11" priority="52">
      <formula>$E$16=TODAY()</formula>
    </cfRule>
  </conditionalFormatting>
  <conditionalFormatting sqref="E16">
    <cfRule type="containsText" dxfId="3" priority="53" operator="containsText" text="●">
      <formula>NOT(ISERROR(SEARCH("●",E16)))</formula>
    </cfRule>
    <cfRule type="containsText" dxfId="8" priority="54" operator="containsText" text="▲">
      <formula>NOT(ISERROR(SEARCH("▲",E16)))</formula>
    </cfRule>
  </conditionalFormatting>
  <conditionalFormatting sqref="E17">
    <cfRule type="expression" dxfId="11" priority="73">
      <formula>$E$18=TODAY()</formula>
    </cfRule>
  </conditionalFormatting>
  <conditionalFormatting sqref="E18">
    <cfRule type="containsText" dxfId="3" priority="74" operator="containsText" text="●">
      <formula>NOT(ISERROR(SEARCH("●",E18)))</formula>
    </cfRule>
    <cfRule type="containsText" dxfId="8" priority="75" operator="containsText" text="▲">
      <formula>NOT(ISERROR(SEARCH("▲",E18)))</formula>
    </cfRule>
  </conditionalFormatting>
  <conditionalFormatting sqref="E19">
    <cfRule type="expression" dxfId="11" priority="94">
      <formula>$E$20=TODAY()</formula>
    </cfRule>
  </conditionalFormatting>
  <conditionalFormatting sqref="E20">
    <cfRule type="containsText" dxfId="3" priority="95" operator="containsText" text="●">
      <formula>NOT(ISERROR(SEARCH("●",E20)))</formula>
    </cfRule>
    <cfRule type="containsText" dxfId="8" priority="96" operator="containsText" text="▲">
      <formula>NOT(ISERROR(SEARCH("▲",E20)))</formula>
    </cfRule>
  </conditionalFormatting>
  <conditionalFormatting sqref="E21">
    <cfRule type="expression" dxfId="11" priority="115">
      <formula>$E$22=TODAY()</formula>
    </cfRule>
  </conditionalFormatting>
  <conditionalFormatting sqref="E22">
    <cfRule type="containsText" dxfId="3" priority="116" operator="containsText" text="●">
      <formula>NOT(ISERROR(SEARCH("●",E22)))</formula>
    </cfRule>
    <cfRule type="containsText" dxfId="8" priority="117" operator="containsText" text="▲">
      <formula>NOT(ISERROR(SEARCH("▲",E22)))</formula>
    </cfRule>
  </conditionalFormatting>
  <conditionalFormatting sqref="F11">
    <cfRule type="expression" dxfId="11" priority="13">
      <formula>$F$12=TODAY()</formula>
    </cfRule>
  </conditionalFormatting>
  <conditionalFormatting sqref="F12">
    <cfRule type="containsText" dxfId="3" priority="14" operator="containsText" text="●">
      <formula>NOT(ISERROR(SEARCH("●",F12)))</formula>
    </cfRule>
    <cfRule type="containsText" dxfId="8" priority="15" operator="containsText" text="▲">
      <formula>NOT(ISERROR(SEARCH("▲",F12)))</formula>
    </cfRule>
  </conditionalFormatting>
  <conditionalFormatting sqref="F13">
    <cfRule type="expression" dxfId="11" priority="34">
      <formula>$F$14=TODAY()</formula>
    </cfRule>
  </conditionalFormatting>
  <conditionalFormatting sqref="F14">
    <cfRule type="containsText" dxfId="3" priority="35" operator="containsText" text="●">
      <formula>NOT(ISERROR(SEARCH("●",F14)))</formula>
    </cfRule>
    <cfRule type="containsText" dxfId="8" priority="36" operator="containsText" text="▲">
      <formula>NOT(ISERROR(SEARCH("▲",F14)))</formula>
    </cfRule>
  </conditionalFormatting>
  <conditionalFormatting sqref="F15">
    <cfRule type="expression" dxfId="11" priority="55">
      <formula>$F$16=TODAY()</formula>
    </cfRule>
  </conditionalFormatting>
  <conditionalFormatting sqref="F16">
    <cfRule type="containsText" dxfId="3" priority="56" operator="containsText" text="●">
      <formula>NOT(ISERROR(SEARCH("●",F16)))</formula>
    </cfRule>
    <cfRule type="containsText" dxfId="8" priority="57" operator="containsText" text="▲">
      <formula>NOT(ISERROR(SEARCH("▲",F16)))</formula>
    </cfRule>
  </conditionalFormatting>
  <conditionalFormatting sqref="F17">
    <cfRule type="expression" dxfId="11" priority="76">
      <formula>$F$18=TODAY()</formula>
    </cfRule>
  </conditionalFormatting>
  <conditionalFormatting sqref="F18">
    <cfRule type="containsText" dxfId="3" priority="77" operator="containsText" text="●">
      <formula>NOT(ISERROR(SEARCH("●",F18)))</formula>
    </cfRule>
    <cfRule type="containsText" dxfId="8" priority="78" operator="containsText" text="▲">
      <formula>NOT(ISERROR(SEARCH("▲",F18)))</formula>
    </cfRule>
  </conditionalFormatting>
  <conditionalFormatting sqref="F19">
    <cfRule type="expression" dxfId="11" priority="97">
      <formula>$F$20=TODAY()</formula>
    </cfRule>
  </conditionalFormatting>
  <conditionalFormatting sqref="F20">
    <cfRule type="containsText" dxfId="3" priority="98" operator="containsText" text="●">
      <formula>NOT(ISERROR(SEARCH("●",F20)))</formula>
    </cfRule>
    <cfRule type="containsText" dxfId="8" priority="99" operator="containsText" text="▲">
      <formula>NOT(ISERROR(SEARCH("▲",F20)))</formula>
    </cfRule>
  </conditionalFormatting>
  <conditionalFormatting sqref="F21">
    <cfRule type="expression" dxfId="11" priority="118">
      <formula>$F$22=TODAY()</formula>
    </cfRule>
  </conditionalFormatting>
  <conditionalFormatting sqref="F22">
    <cfRule type="containsText" dxfId="3" priority="119" operator="containsText" text="●">
      <formula>NOT(ISERROR(SEARCH("●",F22)))</formula>
    </cfRule>
    <cfRule type="containsText" dxfId="8" priority="120" operator="containsText" text="▲">
      <formula>NOT(ISERROR(SEARCH("▲",F22)))</formula>
    </cfRule>
  </conditionalFormatting>
  <conditionalFormatting sqref="G11">
    <cfRule type="expression" dxfId="11" priority="16">
      <formula>$G$12=TODAY()</formula>
    </cfRule>
  </conditionalFormatting>
  <conditionalFormatting sqref="G12">
    <cfRule type="containsText" dxfId="3" priority="17" operator="containsText" text="●">
      <formula>NOT(ISERROR(SEARCH("●",G12)))</formula>
    </cfRule>
    <cfRule type="containsText" dxfId="8" priority="18" operator="containsText" text="▲">
      <formula>NOT(ISERROR(SEARCH("▲",G12)))</formula>
    </cfRule>
  </conditionalFormatting>
  <conditionalFormatting sqref="G13">
    <cfRule type="expression" dxfId="11" priority="37">
      <formula>$G$14=TODAY()</formula>
    </cfRule>
  </conditionalFormatting>
  <conditionalFormatting sqref="G14">
    <cfRule type="containsText" dxfId="3" priority="38" operator="containsText" text="●">
      <formula>NOT(ISERROR(SEARCH("●",G14)))</formula>
    </cfRule>
    <cfRule type="containsText" dxfId="8" priority="39" operator="containsText" text="▲">
      <formula>NOT(ISERROR(SEARCH("▲",G14)))</formula>
    </cfRule>
  </conditionalFormatting>
  <conditionalFormatting sqref="G15">
    <cfRule type="expression" dxfId="11" priority="58">
      <formula>$G$16=TODAY()</formula>
    </cfRule>
  </conditionalFormatting>
  <conditionalFormatting sqref="G16">
    <cfRule type="containsText" dxfId="3" priority="59" operator="containsText" text="●">
      <formula>NOT(ISERROR(SEARCH("●",G16)))</formula>
    </cfRule>
    <cfRule type="containsText" dxfId="8" priority="60" operator="containsText" text="▲">
      <formula>NOT(ISERROR(SEARCH("▲",G16)))</formula>
    </cfRule>
  </conditionalFormatting>
  <conditionalFormatting sqref="G17">
    <cfRule type="expression" dxfId="11" priority="79">
      <formula>$G$18=TODAY()</formula>
    </cfRule>
  </conditionalFormatting>
  <conditionalFormatting sqref="G18">
    <cfRule type="containsText" dxfId="3" priority="80" operator="containsText" text="●">
      <formula>NOT(ISERROR(SEARCH("●",G18)))</formula>
    </cfRule>
    <cfRule type="containsText" dxfId="8" priority="81" operator="containsText" text="▲">
      <formula>NOT(ISERROR(SEARCH("▲",G18)))</formula>
    </cfRule>
  </conditionalFormatting>
  <conditionalFormatting sqref="G19">
    <cfRule type="expression" dxfId="11" priority="100">
      <formula>$G$20=TODAY()</formula>
    </cfRule>
  </conditionalFormatting>
  <conditionalFormatting sqref="G20">
    <cfRule type="containsText" dxfId="3" priority="101" operator="containsText" text="●">
      <formula>NOT(ISERROR(SEARCH("●",G20)))</formula>
    </cfRule>
    <cfRule type="containsText" dxfId="8" priority="102" operator="containsText" text="▲">
      <formula>NOT(ISERROR(SEARCH("▲",G20)))</formula>
    </cfRule>
  </conditionalFormatting>
  <conditionalFormatting sqref="G21">
    <cfRule type="expression" dxfId="11" priority="121">
      <formula>$G$22=TODAY()</formula>
    </cfRule>
  </conditionalFormatting>
  <conditionalFormatting sqref="G22">
    <cfRule type="containsText" dxfId="3" priority="122" operator="containsText" text="●">
      <formula>NOT(ISERROR(SEARCH("●",G22)))</formula>
    </cfRule>
    <cfRule type="containsText" dxfId="8" priority="123" operator="containsText" text="▲">
      <formula>NOT(ISERROR(SEARCH("▲",G22)))</formula>
    </cfRule>
  </conditionalFormatting>
  <conditionalFormatting sqref="H11">
    <cfRule type="expression" dxfId="11" priority="19">
      <formula>$H$12=TODAY()</formula>
    </cfRule>
  </conditionalFormatting>
  <conditionalFormatting sqref="H12">
    <cfRule type="containsText" dxfId="3" priority="20" operator="containsText" text="●">
      <formula>NOT(ISERROR(SEARCH("●",H12)))</formula>
    </cfRule>
    <cfRule type="containsText" dxfId="8" priority="21" operator="containsText" text="▲">
      <formula>NOT(ISERROR(SEARCH("▲",H12)))</formula>
    </cfRule>
  </conditionalFormatting>
  <conditionalFormatting sqref="H13">
    <cfRule type="expression" dxfId="11" priority="40">
      <formula>$H$14=TODAY()</formula>
    </cfRule>
  </conditionalFormatting>
  <conditionalFormatting sqref="H14">
    <cfRule type="containsText" dxfId="3" priority="41" operator="containsText" text="●">
      <formula>NOT(ISERROR(SEARCH("●",H14)))</formula>
    </cfRule>
    <cfRule type="containsText" dxfId="8" priority="42" operator="containsText" text="▲">
      <formula>NOT(ISERROR(SEARCH("▲",H14)))</formula>
    </cfRule>
  </conditionalFormatting>
  <conditionalFormatting sqref="H15">
    <cfRule type="expression" dxfId="11" priority="61">
      <formula>$H$16=TODAY()</formula>
    </cfRule>
  </conditionalFormatting>
  <conditionalFormatting sqref="H16">
    <cfRule type="containsText" dxfId="3" priority="62" operator="containsText" text="●">
      <formula>NOT(ISERROR(SEARCH("●",H16)))</formula>
    </cfRule>
    <cfRule type="containsText" dxfId="8" priority="63" operator="containsText" text="▲">
      <formula>NOT(ISERROR(SEARCH("▲",H16)))</formula>
    </cfRule>
  </conditionalFormatting>
  <conditionalFormatting sqref="H17">
    <cfRule type="expression" dxfId="11" priority="82">
      <formula>$H$18=TODAY()</formula>
    </cfRule>
  </conditionalFormatting>
  <conditionalFormatting sqref="H18">
    <cfRule type="containsText" dxfId="3" priority="83" operator="containsText" text="●">
      <formula>NOT(ISERROR(SEARCH("●",H18)))</formula>
    </cfRule>
    <cfRule type="containsText" dxfId="8" priority="84" operator="containsText" text="▲">
      <formula>NOT(ISERROR(SEARCH("▲",H18)))</formula>
    </cfRule>
  </conditionalFormatting>
  <conditionalFormatting sqref="H19">
    <cfRule type="expression" dxfId="11" priority="103">
      <formula>$H$20=TODAY()</formula>
    </cfRule>
  </conditionalFormatting>
  <conditionalFormatting sqref="H20">
    <cfRule type="containsText" dxfId="3" priority="104" operator="containsText" text="●">
      <formula>NOT(ISERROR(SEARCH("●",H20)))</formula>
    </cfRule>
    <cfRule type="containsText" dxfId="8" priority="105" operator="containsText" text="▲">
      <formula>NOT(ISERROR(SEARCH("▲",H20)))</formula>
    </cfRule>
  </conditionalFormatting>
  <conditionalFormatting sqref="H21">
    <cfRule type="expression" dxfId="11" priority="124">
      <formula>$H$22=TODAY()</formula>
    </cfRule>
  </conditionalFormatting>
  <conditionalFormatting sqref="H22">
    <cfRule type="containsText" dxfId="3" priority="125" operator="containsText" text="●">
      <formula>NOT(ISERROR(SEARCH("●",H22)))</formula>
    </cfRule>
    <cfRule type="containsText" dxfId="8" priority="126" operator="containsText" text="▲">
      <formula>NOT(ISERROR(SEARCH("▲",H22)))</formula>
    </cfRule>
  </conditionalFormatting>
  <hyperlinks>
    <hyperlink ref="J3" location="'📊 Dashboard'!A1" display="🏠  Back to Dashboard"/>
    <hyperlink ref="B42" location="'⚙️ Setup'!A1" display="Setup"/>
    <hyperlink ref="D42" location="'📊 Dashboard'!A1" display="🏠 Home"/>
    <hyperlink ref="F42" location="'👥 Clients'!A1" display="Clients"/>
    <hyperlink ref="H42" location="'📅 Events'!A1" display="Events"/>
    <hyperlink ref="J42" location="'🧮 Quote Calculator'!A1" display="Quote"/>
    <hyperlink ref="B43" location="'🍽️ Menu Costing'!A1" display="Menu"/>
    <hyperlink ref="D43" location="'📦 Inventory'!A1" display="Stock"/>
    <hyperlink ref="F43" location="'🛒 Shopping List'!A1" display="Shop"/>
    <hyperlink ref="H43" location="'💸 Expenses'!A1" display="Expenses"/>
    <hyperlink ref="J43" location="'💰 Payments'!A1" display="Payments"/>
    <hyperlink ref="B44" location="'👷 Staff &amp; Labor'!A1" display="Staff"/>
    <hyperlink ref="D44" location="'🍳 Equipment'!A1" display="Equip"/>
    <hyperlink ref="F44" location="'🚚 Suppliers'!A1" display="Suppliers"/>
    <hyperlink ref="H44" location="'📆 Event Calendar'!A1" display="▶ Calendar"/>
    <hyperlink ref="J44" location="'📈 P&amp;L &amp; Reports'!A1" display="P&amp;L"/>
    <hyperlink ref="B45" location="'🧾 Tax Tracker'!A1" display="Tax"/>
    <hyperlink ref="D45" location="'✅ Checklists'!A1" display="Checks"/>
    <hyperlink ref="F45" location="'🖨️ Invoice &amp; Proposal'!A1" display="Invoice"/>
    <hyperlink ref="H45"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worksheet>
</file>

<file path=xl/worksheets/sheet16.xml><?xml version="1.0" encoding="utf-8"?>
<worksheet xmlns="http://schemas.openxmlformats.org/spreadsheetml/2006/main" xmlns:r="http://schemas.openxmlformats.org/officeDocument/2006/relationships">
  <sheetPr>
    <tabColor rgb="FF2F5D46"/>
    <pageSetUpPr fitToPage="1"/>
  </sheetPr>
  <dimension ref="A1:P86"/>
  <sheetViews>
    <sheetView showGridLines="0" zoomScale="90" zoomScaleNormal="90" workbookViewId="0"/>
  </sheetViews>
  <sheetFormatPr defaultRowHeight="15"/>
  <cols>
    <col min="1" max="1" width="2.85546875" customWidth="1"/>
    <col min="2" max="2" width="4.7109375" customWidth="1"/>
    <col min="3" max="3" width="26.7109375" customWidth="1"/>
    <col min="4" max="4" width="15.7109375" customWidth="1"/>
    <col min="5" max="5" width="3.7109375" customWidth="1"/>
    <col min="6" max="6" width="4.7109375" customWidth="1"/>
    <col min="7" max="9" width="13.7109375" customWidth="1"/>
    <col min="10" max="10" width="3.7109375" customWidth="1"/>
    <col min="11" max="15" width="13.7109375" customWidth="1"/>
    <col min="16" max="16" width="3.7109375" customWidth="1"/>
  </cols>
  <sheetData>
    <row r="1" spans="2:16" ht="7" customHeight="1"/>
    <row r="2" spans="2:16" ht="30" customHeight="1">
      <c r="B2" s="3" t="s">
        <v>357</v>
      </c>
      <c r="C2" s="3"/>
      <c r="D2" s="3"/>
      <c r="E2" s="3"/>
      <c r="F2" s="3"/>
      <c r="G2" s="3"/>
      <c r="H2" s="3"/>
      <c r="I2" s="3"/>
      <c r="J2" s="3"/>
      <c r="K2" s="3"/>
      <c r="L2" s="3"/>
      <c r="M2" s="3"/>
      <c r="N2" s="4"/>
      <c r="O2" s="4"/>
      <c r="P2" s="4"/>
    </row>
    <row r="3" spans="2:16" ht="18" customHeight="1">
      <c r="B3" s="5" t="s">
        <v>358</v>
      </c>
      <c r="C3" s="5"/>
      <c r="D3" s="5"/>
      <c r="E3" s="5"/>
      <c r="F3" s="5"/>
      <c r="G3" s="5"/>
      <c r="H3" s="5"/>
      <c r="I3" s="5"/>
      <c r="J3" s="5"/>
      <c r="K3" s="5"/>
      <c r="L3" s="5"/>
      <c r="M3" s="5"/>
      <c r="N3" s="6" t="s">
        <v>97</v>
      </c>
      <c r="O3" s="6"/>
      <c r="P3" s="6"/>
    </row>
    <row r="4" spans="2:16" ht="7" customHeight="1"/>
    <row r="5" spans="2:16" ht="26" customHeight="1">
      <c r="B5" s="50" t="str">
        <f>"Report year: "&amp;ReportYear</f>
        <v>Report year: 2026</v>
      </c>
      <c r="C5" s="50"/>
      <c r="D5" s="52" t="str">
        <f>"Events completed: "&amp;'_Data'!$AF$7</f>
        <v>Events completed: 0</v>
      </c>
      <c r="E5" s="52"/>
      <c r="F5" s="74" t="str">
        <f>"Cash profit: "&amp;Currency&amp;TEXT('_Data'!$AF$4,"#,##0")</f>
        <v>Cash profit: $0</v>
      </c>
      <c r="G5" s="74"/>
      <c r="H5" s="51" t="str">
        <f>"Best client: "&amp;'_Data'!$AF$36</f>
        <v>Best client: -</v>
      </c>
      <c r="I5" s="51"/>
    </row>
    <row r="6" spans="2:16" ht="7" customHeight="1"/>
    <row r="7" spans="2:16" ht="18" customHeight="1"/>
    <row r="8" spans="2:16" ht="18" customHeight="1">
      <c r="B8" s="7" t="s">
        <v>359</v>
      </c>
      <c r="C8" s="7"/>
      <c r="D8" s="7"/>
      <c r="E8" s="7"/>
      <c r="F8" s="7"/>
      <c r="G8" s="7"/>
      <c r="H8" s="7"/>
      <c r="J8" s="7" t="s">
        <v>367</v>
      </c>
      <c r="K8" s="7"/>
      <c r="L8" s="7"/>
      <c r="M8" s="7"/>
      <c r="N8" s="7"/>
      <c r="O8" s="7"/>
    </row>
    <row r="9" spans="2:16" ht="18" customHeight="1">
      <c r="B9" s="8" t="s">
        <v>360</v>
      </c>
      <c r="C9" s="8"/>
      <c r="D9" s="79">
        <f>SUMIFS('📅 Events'!$L$8:$L$47,'📅 Events'!$E$8:$E$47,"&gt;="&amp;DATE(ReportYear,1,1),'📅 Events'!$E$8:$E$47,"&lt;="&amp;DATE(ReportYear,12,31),'📅 Events'!$Q$8:$Q$47,"&lt;&gt;❌ Cancelled")</f>
        <v>0</v>
      </c>
    </row>
    <row r="10" spans="2:16" ht="18" customHeight="1">
      <c r="B10" s="8" t="s">
        <v>361</v>
      </c>
      <c r="C10" s="8"/>
      <c r="D10" s="79">
        <f>SUMIFS('💸 Expenses'!$G$8:$G$67,'💸 Expenses'!$C$8:$C$67,"&gt;="&amp;DATE(ReportYear,1,1),'💸 Expenses'!$C$8:$C$67,"&lt;="&amp;DATE(ReportYear,12,31),'💸 Expenses'!$E$8:$E$67,"Ingredients")+SUMIFS('💸 Expenses'!$G$8:$G$67,'💸 Expenses'!$C$8:$C$67,"&gt;="&amp;DATE(ReportYear,1,1),'💸 Expenses'!$C$8:$C$67,"&lt;="&amp;DATE(ReportYear,12,31),'💸 Expenses'!$E$8:$E$67,"Packaging")</f>
        <v>0</v>
      </c>
      <c r="J10" s="39" t="s">
        <v>368</v>
      </c>
      <c r="K10" s="39"/>
      <c r="L10" s="39"/>
      <c r="M10" s="39" t="s">
        <v>192</v>
      </c>
      <c r="N10" s="39"/>
      <c r="O10" s="39"/>
    </row>
    <row r="11" spans="2:16" ht="18" customHeight="1">
      <c r="B11" s="96" t="s">
        <v>362</v>
      </c>
      <c r="C11" s="96"/>
      <c r="D11" s="97">
        <f>IF($D$9="","",ROUND($D$9-$D$10,2))</f>
        <v>0</v>
      </c>
      <c r="J11" s="98">
        <f>'_Data'!$AF$7</f>
        <v>0</v>
      </c>
      <c r="K11" s="98"/>
      <c r="L11" s="98"/>
      <c r="M11" s="99">
        <f>'_Data'!$AF$13</f>
        <v>0</v>
      </c>
      <c r="N11" s="99"/>
      <c r="O11" s="99"/>
    </row>
    <row r="12" spans="2:16" ht="18" customHeight="1">
      <c r="B12" s="8" t="s">
        <v>363</v>
      </c>
      <c r="C12" s="8"/>
      <c r="D12" s="79">
        <f>IF($D$9="","",ROUND(SUMIFS('💸 Expenses'!$G$8:$G$67,'💸 Expenses'!$C$8:$C$67,"&gt;="&amp;DATE(ReportYear,1,1),'💸 Expenses'!$C$8:$C$67,"&lt;="&amp;DATE(ReportYear,12,31))-$D$10,2))</f>
        <v>0</v>
      </c>
    </row>
    <row r="13" spans="2:16" ht="18" customHeight="1">
      <c r="B13" s="96" t="s">
        <v>183</v>
      </c>
      <c r="C13" s="96"/>
      <c r="D13" s="97">
        <f>IF($D$12="","",$D$11-$D$12)</f>
        <v>0</v>
      </c>
      <c r="J13" s="39" t="s">
        <v>191</v>
      </c>
      <c r="K13" s="39"/>
      <c r="L13" s="39"/>
      <c r="M13" s="39" t="s">
        <v>369</v>
      </c>
      <c r="N13" s="39"/>
      <c r="O13" s="39"/>
    </row>
    <row r="14" spans="2:16" ht="18" customHeight="1">
      <c r="B14" s="8" t="s">
        <v>364</v>
      </c>
      <c r="C14" s="8"/>
      <c r="D14" s="100">
        <f>IFERROR($D$11/$D$9,"")</f>
        <v>0</v>
      </c>
      <c r="J14" s="99">
        <f>'_Data'!$AF$10</f>
        <v>0</v>
      </c>
      <c r="K14" s="99"/>
      <c r="L14" s="99"/>
      <c r="M14" s="99">
        <f>'_Data'!$AF$12</f>
        <v>0</v>
      </c>
      <c r="N14" s="99"/>
      <c r="O14" s="99"/>
    </row>
    <row r="15" spans="2:16" ht="18" customHeight="1">
      <c r="B15" s="8" t="s">
        <v>365</v>
      </c>
      <c r="C15" s="8"/>
      <c r="D15" s="100">
        <f>IFERROR($D$13/$D$9,"")</f>
        <v>0</v>
      </c>
    </row>
    <row r="16" spans="2:16" ht="18" customHeight="1">
      <c r="B16" s="1" t="s">
        <v>366</v>
      </c>
      <c r="C16" s="1"/>
      <c r="D16" s="1"/>
      <c r="E16" s="1"/>
      <c r="F16" s="1"/>
      <c r="G16" s="1"/>
      <c r="J16" s="101" t="s">
        <v>370</v>
      </c>
      <c r="K16" s="101"/>
      <c r="L16" s="101"/>
      <c r="M16" s="101" t="s">
        <v>371</v>
      </c>
      <c r="N16" s="101"/>
      <c r="O16" s="101"/>
    </row>
    <row r="17" spans="2:15" ht="18" customHeight="1">
      <c r="J17" s="102" t="str">
        <f>'_Data'!$AF$35</f>
        <v>-</v>
      </c>
      <c r="K17" s="102"/>
      <c r="L17" s="102"/>
      <c r="M17" s="102" t="str">
        <f>'_Data'!$AF$36</f>
        <v>-</v>
      </c>
      <c r="N17" s="102"/>
      <c r="O17" s="102"/>
    </row>
    <row r="18" spans="2:15" ht="18" customHeight="1"/>
    <row r="19" spans="2:15" ht="18" customHeight="1">
      <c r="B19" s="7" t="s">
        <v>372</v>
      </c>
      <c r="C19" s="7"/>
      <c r="D19" s="7"/>
      <c r="E19" s="7"/>
      <c r="F19" s="7"/>
      <c r="G19" s="7"/>
      <c r="H19" s="7"/>
    </row>
    <row r="20" spans="2:15" ht="18" customHeight="1">
      <c r="B20" s="2" t="s">
        <v>13</v>
      </c>
      <c r="C20" s="2" t="s">
        <v>14</v>
      </c>
      <c r="D20" s="2" t="s">
        <v>15</v>
      </c>
      <c r="E20" s="2" t="s">
        <v>16</v>
      </c>
      <c r="F20" s="2" t="s">
        <v>17</v>
      </c>
    </row>
    <row r="21" spans="2:15" ht="18" customHeight="1">
      <c r="B21" s="10">
        <f>'_Data'!$H$2</f>
        <v/>
      </c>
      <c r="C21" s="93">
        <f>'_Data'!$I$2</f>
        <v>0</v>
      </c>
      <c r="D21" s="93">
        <f>'_Data'!$J$2</f>
        <v>0</v>
      </c>
      <c r="E21" s="93">
        <f>'_Data'!$K$2</f>
        <v>0</v>
      </c>
      <c r="F21" s="67">
        <f>'_Data'!$L$2</f>
        <v>0</v>
      </c>
    </row>
    <row r="22" spans="2:15" ht="18" customHeight="1">
      <c r="B22" s="10">
        <f>'_Data'!$H$3</f>
        <v/>
      </c>
      <c r="C22" s="93">
        <f>'_Data'!$I$3</f>
        <v>0</v>
      </c>
      <c r="D22" s="93">
        <f>'_Data'!$J$3</f>
        <v>0</v>
      </c>
      <c r="E22" s="93">
        <f>'_Data'!$K$3</f>
        <v>0</v>
      </c>
      <c r="F22" s="67">
        <f>'_Data'!$L$3</f>
        <v>0</v>
      </c>
    </row>
    <row r="23" spans="2:15" ht="18" customHeight="1">
      <c r="B23" s="10">
        <f>'_Data'!$H$4</f>
        <v/>
      </c>
      <c r="C23" s="93">
        <f>'_Data'!$I$4</f>
        <v>0</v>
      </c>
      <c r="D23" s="93">
        <f>'_Data'!$J$4</f>
        <v>0</v>
      </c>
      <c r="E23" s="93">
        <f>'_Data'!$K$4</f>
        <v>0</v>
      </c>
      <c r="F23" s="67">
        <f>'_Data'!$L$4</f>
        <v>0</v>
      </c>
    </row>
    <row r="24" spans="2:15" ht="18" customHeight="1">
      <c r="B24" s="10">
        <f>'_Data'!$H$5</f>
        <v/>
      </c>
      <c r="C24" s="93">
        <f>'_Data'!$I$5</f>
        <v>0</v>
      </c>
      <c r="D24" s="93">
        <f>'_Data'!$J$5</f>
        <v>0</v>
      </c>
      <c r="E24" s="93">
        <f>'_Data'!$K$5</f>
        <v>0</v>
      </c>
      <c r="F24" s="67">
        <f>'_Data'!$L$5</f>
        <v>0</v>
      </c>
    </row>
    <row r="25" spans="2:15" ht="18" customHeight="1">
      <c r="B25" s="10">
        <f>'_Data'!$H$6</f>
        <v/>
      </c>
      <c r="C25" s="93">
        <f>'_Data'!$I$6</f>
        <v>0</v>
      </c>
      <c r="D25" s="93">
        <f>'_Data'!$J$6</f>
        <v>0</v>
      </c>
      <c r="E25" s="93">
        <f>'_Data'!$K$6</f>
        <v>0</v>
      </c>
      <c r="F25" s="67">
        <f>'_Data'!$L$6</f>
        <v>0</v>
      </c>
    </row>
    <row r="26" spans="2:15" ht="18" customHeight="1">
      <c r="B26" s="10">
        <f>'_Data'!$H$7</f>
        <v/>
      </c>
      <c r="C26" s="93">
        <f>'_Data'!$I$7</f>
        <v>0</v>
      </c>
      <c r="D26" s="93">
        <f>'_Data'!$J$7</f>
        <v>0</v>
      </c>
      <c r="E26" s="93">
        <f>'_Data'!$K$7</f>
        <v>0</v>
      </c>
      <c r="F26" s="67">
        <f>'_Data'!$L$7</f>
        <v>0</v>
      </c>
    </row>
    <row r="27" spans="2:15" ht="18" customHeight="1">
      <c r="B27" s="10">
        <f>'_Data'!$H$8</f>
        <v/>
      </c>
      <c r="C27" s="93">
        <f>'_Data'!$I$8</f>
        <v>0</v>
      </c>
      <c r="D27" s="93">
        <f>'_Data'!$J$8</f>
        <v>0</v>
      </c>
      <c r="E27" s="93">
        <f>'_Data'!$K$8</f>
        <v>0</v>
      </c>
      <c r="F27" s="67">
        <f>'_Data'!$L$8</f>
        <v>0</v>
      </c>
    </row>
    <row r="28" spans="2:15" ht="18" customHeight="1">
      <c r="B28" s="10">
        <f>'_Data'!$H$9</f>
        <v/>
      </c>
      <c r="C28" s="93">
        <f>'_Data'!$I$9</f>
        <v>0</v>
      </c>
      <c r="D28" s="93">
        <f>'_Data'!$J$9</f>
        <v>0</v>
      </c>
      <c r="E28" s="93">
        <f>'_Data'!$K$9</f>
        <v>0</v>
      </c>
      <c r="F28" s="67">
        <f>'_Data'!$L$9</f>
        <v>0</v>
      </c>
    </row>
    <row r="29" spans="2:15" ht="18" customHeight="1">
      <c r="B29" s="10">
        <f>'_Data'!$H$10</f>
        <v/>
      </c>
      <c r="C29" s="93">
        <f>'_Data'!$I$10</f>
        <v>0</v>
      </c>
      <c r="D29" s="93">
        <f>'_Data'!$J$10</f>
        <v>0</v>
      </c>
      <c r="E29" s="93">
        <f>'_Data'!$K$10</f>
        <v>0</v>
      </c>
      <c r="F29" s="67">
        <f>'_Data'!$L$10</f>
        <v>0</v>
      </c>
    </row>
    <row r="30" spans="2:15" ht="18" customHeight="1">
      <c r="B30" s="10">
        <f>'_Data'!$H$11</f>
        <v/>
      </c>
      <c r="C30" s="93">
        <f>'_Data'!$I$11</f>
        <v>0</v>
      </c>
      <c r="D30" s="93">
        <f>'_Data'!$J$11</f>
        <v>0</v>
      </c>
      <c r="E30" s="93">
        <f>'_Data'!$K$11</f>
        <v>0</v>
      </c>
      <c r="F30" s="67">
        <f>'_Data'!$L$11</f>
        <v>0</v>
      </c>
    </row>
    <row r="31" spans="2:15" ht="18" customHeight="1">
      <c r="B31" s="10">
        <f>'_Data'!$H$12</f>
        <v/>
      </c>
      <c r="C31" s="93">
        <f>'_Data'!$I$12</f>
        <v>0</v>
      </c>
      <c r="D31" s="93">
        <f>'_Data'!$J$12</f>
        <v>0</v>
      </c>
      <c r="E31" s="93">
        <f>'_Data'!$K$12</f>
        <v>0</v>
      </c>
      <c r="F31" s="67">
        <f>'_Data'!$L$12</f>
        <v>0</v>
      </c>
    </row>
    <row r="32" spans="2:15" ht="18" customHeight="1">
      <c r="B32" s="10">
        <f>'_Data'!$H$13</f>
        <v/>
      </c>
      <c r="C32" s="93">
        <f>'_Data'!$I$13</f>
        <v>0</v>
      </c>
      <c r="D32" s="93">
        <f>'_Data'!$J$13</f>
        <v>0</v>
      </c>
      <c r="E32" s="93">
        <f>'_Data'!$K$13</f>
        <v>0</v>
      </c>
      <c r="F32" s="67">
        <f>'_Data'!$L$13</f>
        <v>0</v>
      </c>
    </row>
    <row r="33" spans="2:6" ht="18" customHeight="1">
      <c r="B33" s="70" t="s">
        <v>373</v>
      </c>
      <c r="C33" s="72">
        <f>SUM(C21:C32)</f>
        <v>0</v>
      </c>
      <c r="D33" s="72">
        <f>SUM(D21:D32)</f>
        <v>0</v>
      </c>
      <c r="E33" s="72">
        <f>SUM(E21:E32)</f>
        <v>0</v>
      </c>
      <c r="F33" s="103">
        <f>SUM(F21:F32)</f>
        <v>0</v>
      </c>
    </row>
    <row r="34" spans="2:6" ht="18" customHeight="1"/>
    <row r="35" spans="2:6" ht="18" customHeight="1"/>
    <row r="36" spans="2:6" ht="18" customHeight="1"/>
    <row r="37" spans="2:6" ht="18" customHeight="1"/>
    <row r="38" spans="2:6" ht="18" customHeight="1"/>
    <row r="39" spans="2:6" ht="18" customHeight="1"/>
    <row r="40" spans="2:6" ht="18" customHeight="1"/>
    <row r="41" spans="2:6" ht="18" customHeight="1"/>
    <row r="42" spans="2:6" ht="18" customHeight="1"/>
    <row r="43" spans="2:6" ht="18" customHeight="1"/>
    <row r="44" spans="2:6" ht="18" customHeight="1"/>
    <row r="45" spans="2:6" ht="18" customHeight="1"/>
    <row r="46" spans="2:6" ht="18" customHeight="1"/>
    <row r="47" spans="2:6" ht="18" customHeight="1"/>
    <row r="48" spans="2:6"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spans="2:15" ht="18" customHeight="1"/>
    <row r="66" spans="2:15" ht="18" customHeight="1"/>
    <row r="67" spans="2:15" ht="18" customHeight="1"/>
    <row r="68" spans="2:15" ht="18" customHeight="1"/>
    <row r="69" spans="2:15" ht="18" customHeight="1"/>
    <row r="70" spans="2:15" ht="18" customHeight="1"/>
    <row r="71" spans="2:15" ht="18" customHeight="1"/>
    <row r="72" spans="2:15" ht="18" customHeight="1"/>
    <row r="73" spans="2:15" ht="18" customHeight="1"/>
    <row r="74" spans="2:15" ht="18" customHeight="1"/>
    <row r="75" spans="2:15" ht="18" customHeight="1"/>
    <row r="76" spans="2:15" ht="18" customHeight="1"/>
    <row r="77" spans="2:15" ht="18" customHeight="1"/>
    <row r="78" spans="2:15" ht="18" customHeight="1"/>
    <row r="79" spans="2:15" ht="18" customHeight="1"/>
    <row r="80" spans="2:15" ht="30" customHeight="1">
      <c r="B80" s="22" t="s">
        <v>374</v>
      </c>
      <c r="C80" s="22"/>
      <c r="D80" s="22"/>
      <c r="E80" s="22"/>
      <c r="F80" s="22"/>
      <c r="G80" s="22"/>
      <c r="H80" s="22"/>
      <c r="I80" s="22"/>
      <c r="J80" s="22"/>
      <c r="K80" s="22"/>
      <c r="L80" s="22"/>
      <c r="M80" s="22"/>
      <c r="N80" s="22"/>
      <c r="O80" s="22"/>
    </row>
    <row r="81" spans="2:13" ht="18" customHeight="1"/>
    <row r="82" spans="2:13" ht="18" customHeight="1">
      <c r="B82" s="23" t="s">
        <v>202</v>
      </c>
      <c r="C82" s="23"/>
      <c r="D82" s="23"/>
      <c r="E82" s="24" t="s">
        <v>164</v>
      </c>
      <c r="F82" s="24"/>
      <c r="G82" s="24"/>
      <c r="H82" s="25" t="s">
        <v>165</v>
      </c>
      <c r="I82" s="25"/>
      <c r="J82" s="25"/>
      <c r="K82" s="26" t="s">
        <v>17</v>
      </c>
      <c r="L82" s="26"/>
      <c r="M82" s="26"/>
    </row>
    <row r="83" spans="2:13" ht="24" customHeight="1">
      <c r="B83" s="27" t="s">
        <v>166</v>
      </c>
      <c r="C83" s="27"/>
      <c r="D83" s="27"/>
      <c r="E83" s="28" t="s">
        <v>167</v>
      </c>
      <c r="F83" s="28"/>
      <c r="G83" s="28"/>
      <c r="H83" s="29" t="s">
        <v>168</v>
      </c>
      <c r="I83" s="29"/>
      <c r="J83" s="29"/>
      <c r="K83" s="30" t="s">
        <v>169</v>
      </c>
      <c r="L83" s="30"/>
      <c r="M83" s="30"/>
    </row>
    <row r="84" spans="2:13" ht="24" customHeight="1">
      <c r="B84" s="24" t="s">
        <v>170</v>
      </c>
      <c r="C84" s="24"/>
      <c r="D84" s="24"/>
      <c r="E84" s="26" t="s">
        <v>171</v>
      </c>
      <c r="F84" s="26"/>
      <c r="G84" s="26"/>
      <c r="H84" s="23" t="s">
        <v>172</v>
      </c>
      <c r="I84" s="23"/>
      <c r="J84" s="23"/>
      <c r="K84" s="24" t="s">
        <v>173</v>
      </c>
      <c r="L84" s="24"/>
      <c r="M84" s="24"/>
    </row>
    <row r="85" spans="2:13" ht="24" customHeight="1">
      <c r="B85" s="25" t="s">
        <v>174</v>
      </c>
      <c r="C85" s="25"/>
      <c r="D85" s="25"/>
      <c r="E85" s="26" t="s">
        <v>175</v>
      </c>
      <c r="F85" s="26"/>
      <c r="G85" s="26"/>
      <c r="H85" s="27" t="s">
        <v>375</v>
      </c>
      <c r="I85" s="27"/>
      <c r="J85" s="27"/>
      <c r="K85" s="28" t="s">
        <v>177</v>
      </c>
      <c r="L85" s="28"/>
      <c r="M85" s="28"/>
    </row>
    <row r="86" spans="2:13" ht="24" customHeight="1">
      <c r="B86" s="29" t="s">
        <v>178</v>
      </c>
      <c r="C86" s="29"/>
      <c r="D86" s="29"/>
      <c r="E86" s="30" t="s">
        <v>179</v>
      </c>
      <c r="F86" s="30"/>
      <c r="G86" s="30"/>
      <c r="H86" s="24" t="s">
        <v>180</v>
      </c>
      <c r="I86" s="24"/>
      <c r="J86" s="24"/>
    </row>
  </sheetData>
  <mergeCells count="51">
    <mergeCell ref="B2:M2"/>
    <mergeCell ref="B3:M3"/>
    <mergeCell ref="N3:P3"/>
    <mergeCell ref="B5:C5"/>
    <mergeCell ref="D5:E5"/>
    <mergeCell ref="F5:G5"/>
    <mergeCell ref="H5:I5"/>
    <mergeCell ref="B8:H8"/>
    <mergeCell ref="B9:C9"/>
    <mergeCell ref="B10:C10"/>
    <mergeCell ref="B11:C11"/>
    <mergeCell ref="B12:C12"/>
    <mergeCell ref="B13:C13"/>
    <mergeCell ref="B14:C14"/>
    <mergeCell ref="B15:C15"/>
    <mergeCell ref="B16:G16"/>
    <mergeCell ref="J8:O8"/>
    <mergeCell ref="J10:L10"/>
    <mergeCell ref="J11:L11"/>
    <mergeCell ref="M10:O10"/>
    <mergeCell ref="M11:O11"/>
    <mergeCell ref="J13:L13"/>
    <mergeCell ref="J14:L14"/>
    <mergeCell ref="M13:O13"/>
    <mergeCell ref="M14:O14"/>
    <mergeCell ref="J16:L16"/>
    <mergeCell ref="J17:L17"/>
    <mergeCell ref="M16:O16"/>
    <mergeCell ref="M17:O17"/>
    <mergeCell ref="B19:H19"/>
    <mergeCell ref="B33:C33"/>
    <mergeCell ref="B80:O80"/>
    <mergeCell ref="B82:D82"/>
    <mergeCell ref="E82:G82"/>
    <mergeCell ref="H82:J82"/>
    <mergeCell ref="K82:M82"/>
    <mergeCell ref="B83:D83"/>
    <mergeCell ref="E83:G83"/>
    <mergeCell ref="H83:J83"/>
    <mergeCell ref="K83:M83"/>
    <mergeCell ref="B84:D84"/>
    <mergeCell ref="E84:G84"/>
    <mergeCell ref="H84:J84"/>
    <mergeCell ref="K84:M84"/>
    <mergeCell ref="B85:D85"/>
    <mergeCell ref="E85:G85"/>
    <mergeCell ref="H85:J85"/>
    <mergeCell ref="K85:M85"/>
    <mergeCell ref="B86:D86"/>
    <mergeCell ref="E86:G86"/>
    <mergeCell ref="H86:J86"/>
  </mergeCells>
  <hyperlinks>
    <hyperlink ref="N3" location="'📊 Dashboard'!A1" display="🏠  Back to Dashboard"/>
    <hyperlink ref="B82" location="'⚙️ Setup'!A1" display="Setup"/>
    <hyperlink ref="E82" location="'📊 Dashboard'!A1" display="🏠 Home"/>
    <hyperlink ref="H82" location="'👥 Clients'!A1" display="Clients"/>
    <hyperlink ref="K82" location="'📅 Events'!A1" display="Events"/>
    <hyperlink ref="B83" location="'🧮 Quote Calculator'!A1" display="Quote"/>
    <hyperlink ref="E83" location="'🍽️ Menu Costing'!A1" display="Menu"/>
    <hyperlink ref="H83" location="'📦 Inventory'!A1" display="Stock"/>
    <hyperlink ref="K83" location="'🛒 Shopping List'!A1" display="Shop"/>
    <hyperlink ref="B84" location="'💸 Expenses'!A1" display="Expenses"/>
    <hyperlink ref="E84" location="'💰 Payments'!A1" display="Payments"/>
    <hyperlink ref="H84" location="'👷 Staff &amp; Labor'!A1" display="Staff"/>
    <hyperlink ref="K84" location="'🍳 Equipment'!A1" display="Equip"/>
    <hyperlink ref="B85" location="'🚚 Suppliers'!A1" display="Suppliers"/>
    <hyperlink ref="E85" location="'📆 Event Calendar'!A1" display="Calendar"/>
    <hyperlink ref="H85" location="'📈 P&amp;L &amp; Reports'!A1" display="▶ P&amp;L"/>
    <hyperlink ref="K85" location="'🧾 Tax Tracker'!A1" display="Tax"/>
    <hyperlink ref="B86" location="'✅ Checklists'!A1" display="Checks"/>
    <hyperlink ref="E86" location="'🖨️ Invoice &amp; Proposal'!A1" display="Invoice"/>
    <hyperlink ref="H86" location="'📖 Start Here'!A1" display="Help"/>
  </hyperlinks>
  <pageMargins left="0.4" right="0.4" top="0.5" bottom="0.5" header="0.3" footer="0.3"/>
  <pageSetup paperSize="9" fitToHeight="0" orientation="landscape"/>
  <headerFooter>
    <oddHeader>&amp;L&amp;"Calibri,Bold"&amp;11Catering Business Manager&amp;R&amp;"Calibri,Italic"&amp;9Page &amp;P of &amp;N</oddHeader>
    <oddFooter>&amp;C&amp;"Calibri,Italic"&amp;8&amp;A  •  Ultimate Catering Business Spreadsheet v1.0  •  personal licence</oddFooter>
  </headerFooter>
  <drawing r:id="rId1"/>
</worksheet>
</file>

<file path=xl/worksheets/sheet17.xml><?xml version="1.0" encoding="utf-8"?>
<worksheet xmlns="http://schemas.openxmlformats.org/spreadsheetml/2006/main" xmlns:r="http://schemas.openxmlformats.org/officeDocument/2006/relationships">
  <sheetPr>
    <tabColor rgb="FF6C5B94"/>
    <pageSetUpPr fitToPage="1"/>
  </sheetPr>
  <dimension ref="A1:J52"/>
  <sheetViews>
    <sheetView showGridLines="0" workbookViewId="0"/>
  </sheetViews>
  <sheetFormatPr defaultRowHeight="15"/>
  <cols>
    <col min="1" max="1" width="2.85546875" customWidth="1"/>
    <col min="2" max="2" width="5.28515625" customWidth="1"/>
    <col min="3" max="3" width="13.7109375" customWidth="1"/>
    <col min="4" max="4" width="30.7109375" customWidth="1"/>
    <col min="5" max="5" width="12.7109375" customWidth="1"/>
    <col min="6" max="6" width="13.7109375" customWidth="1"/>
    <col min="7" max="7" width="12.7109375" customWidth="1"/>
    <col min="8" max="8" width="15.7109375" customWidth="1"/>
    <col min="9" max="10" width="3.7109375" customWidth="1"/>
  </cols>
  <sheetData>
    <row r="1" spans="2:10" ht="7" customHeight="1"/>
    <row r="2" spans="2:10" ht="30" customHeight="1">
      <c r="B2" s="3" t="s">
        <v>376</v>
      </c>
      <c r="C2" s="3"/>
      <c r="D2" s="3"/>
      <c r="E2" s="3"/>
      <c r="F2" s="3"/>
      <c r="G2" s="3"/>
      <c r="H2" s="4"/>
      <c r="I2" s="4"/>
      <c r="J2" s="4"/>
    </row>
    <row r="3" spans="2:10" ht="18" customHeight="1">
      <c r="B3" s="5" t="s">
        <v>377</v>
      </c>
      <c r="C3" s="5"/>
      <c r="D3" s="5"/>
      <c r="E3" s="5"/>
      <c r="F3" s="5"/>
      <c r="G3" s="5"/>
      <c r="H3" s="6" t="s">
        <v>97</v>
      </c>
      <c r="I3" s="6"/>
      <c r="J3" s="6"/>
    </row>
    <row r="4" spans="2:10" ht="7" customHeight="1"/>
    <row r="5" spans="2:10" ht="26" customHeight="1">
      <c r="B5" s="50" t="str">
        <f>"Report year: "&amp;ReportYear</f>
        <v>Report year: 2026</v>
      </c>
      <c r="C5" s="50"/>
      <c r="D5" s="73" t="str">
        <f>"Tax rate: "&amp;TEXT(TaxRate,"0.0%")</f>
        <v>Tax rate: 0.0%</v>
      </c>
      <c r="E5" s="73"/>
      <c r="F5" s="74" t="str">
        <f>"Collected to date: "&amp;Currency&amp;TEXT('_Data'!$AF$29,"#,##0.00")</f>
        <v>Collected to date: $0.00</v>
      </c>
      <c r="G5" s="74"/>
      <c r="H5" s="83" t="str">
        <f>"Still due: "&amp;Currency&amp;TEXT('_Data'!$AF$30,"#,##0.00")</f>
        <v>Still due: $0.00</v>
      </c>
      <c r="I5" s="83"/>
    </row>
    <row r="6" spans="2:10" ht="7" customHeight="1"/>
    <row r="7" spans="2:10" ht="19" customHeight="1">
      <c r="B7" s="7" t="s">
        <v>378</v>
      </c>
      <c r="C7" s="7"/>
      <c r="D7" s="7"/>
      <c r="E7" s="7"/>
      <c r="F7" s="7"/>
      <c r="G7" s="7"/>
      <c r="H7" s="7"/>
    </row>
    <row r="8" spans="2:10" ht="19" customHeight="1"/>
    <row r="9" spans="2:10" ht="19" customHeight="1">
      <c r="C9" s="79">
        <f>SUMIFS('💰 Payments'!$F$8:$F$67,'💰 Payments'!$E$8:$E$67,"&gt;="&amp;DATE(ReportYear,1,1),'💰 Payments'!$E$8:$E$67,"&lt;="&amp;DATE(ReportYear,12,31))</f>
        <v>0</v>
      </c>
      <c r="D9" s="8" t="s">
        <v>379</v>
      </c>
      <c r="E9" s="8"/>
      <c r="F9" s="8"/>
      <c r="G9" s="8"/>
      <c r="H9" s="8"/>
    </row>
    <row r="10" spans="2:10" ht="19" customHeight="1">
      <c r="C10" s="100">
        <f>TaxRate</f>
        <v>0.0</v>
      </c>
      <c r="D10" s="8" t="s">
        <v>380</v>
      </c>
      <c r="E10" s="8"/>
      <c r="F10" s="8"/>
      <c r="G10" s="8"/>
      <c r="H10" s="8"/>
    </row>
    <row r="11" spans="2:10" ht="19" customHeight="1">
      <c r="C11" s="79">
        <f>ROUND($C$9*$C$10,2)</f>
        <v>0</v>
      </c>
      <c r="D11" s="8" t="s">
        <v>381</v>
      </c>
      <c r="E11" s="8"/>
      <c r="F11" s="8"/>
      <c r="G11" s="8"/>
      <c r="H11" s="8"/>
    </row>
    <row r="12" spans="2:10" ht="19" customHeight="1">
      <c r="C12" s="79">
        <f>SUM($G$20:$G$39)</f>
        <v>0</v>
      </c>
      <c r="D12" s="8" t="s">
        <v>382</v>
      </c>
      <c r="E12" s="8"/>
      <c r="F12" s="8"/>
      <c r="G12" s="8"/>
      <c r="H12" s="8"/>
    </row>
    <row r="13" spans="2:10" ht="19" customHeight="1">
      <c r="C13" s="97">
        <f>ROUND($C$11-$C$12,2)</f>
        <v>0</v>
      </c>
      <c r="D13" s="96" t="s">
        <v>383</v>
      </c>
      <c r="E13" s="96"/>
      <c r="F13" s="96"/>
      <c r="G13" s="96"/>
      <c r="H13" s="96"/>
    </row>
    <row r="14" spans="2:10" ht="19" customHeight="1"/>
    <row r="15" spans="2:10" ht="30" customHeight="1">
      <c r="B15" s="22" t="s">
        <v>384</v>
      </c>
      <c r="C15" s="22"/>
      <c r="D15" s="22"/>
      <c r="E15" s="22"/>
      <c r="F15" s="22"/>
      <c r="G15" s="22"/>
      <c r="H15" s="22"/>
    </row>
    <row r="16" spans="2:10" ht="19" customHeight="1"/>
    <row r="17" spans="1:8" ht="19" customHeight="1"/>
    <row r="18" spans="1:8" ht="19" customHeight="1">
      <c r="B18" s="13" t="s">
        <v>385</v>
      </c>
      <c r="C18" s="13"/>
      <c r="D18" s="13"/>
      <c r="E18" s="13"/>
      <c r="F18" s="13"/>
      <c r="G18" s="13"/>
      <c r="H18" s="13"/>
    </row>
    <row r="19" spans="1:8" ht="22" customHeight="1">
      <c r="A19" s="2" t="s">
        <v>205</v>
      </c>
      <c r="B19" s="2" t="s">
        <v>224</v>
      </c>
      <c r="C19" s="2" t="s">
        <v>386</v>
      </c>
      <c r="D19" s="2" t="s">
        <v>387</v>
      </c>
      <c r="E19" s="2" t="s">
        <v>225</v>
      </c>
      <c r="F19" s="2" t="s">
        <v>296</v>
      </c>
      <c r="G19" s="2" t="s">
        <v>297</v>
      </c>
    </row>
    <row r="20" spans="1:8" ht="19" customHeight="1">
      <c r="A20" s="58"/>
      <c r="B20" s="58">
        <f>IF($C20="","",ROW()-19)</f>
        <v/>
      </c>
      <c r="C20" s="14"/>
      <c r="D20" s="60"/>
      <c r="E20" s="60"/>
      <c r="F20" s="62"/>
      <c r="G20" s="60"/>
    </row>
    <row r="21" spans="1:8" ht="19" customHeight="1">
      <c r="A21" s="65"/>
      <c r="B21" s="65">
        <f>IF($C21="","",ROW()-19)</f>
        <v/>
      </c>
      <c r="C21" s="9"/>
      <c r="D21" s="10"/>
      <c r="E21" s="10"/>
      <c r="F21" s="68"/>
      <c r="G21" s="10"/>
    </row>
    <row r="22" spans="1:8" ht="19" customHeight="1">
      <c r="A22" s="58"/>
      <c r="B22" s="58">
        <f>IF($C22="","",ROW()-19)</f>
        <v/>
      </c>
      <c r="C22" s="14"/>
      <c r="D22" s="60"/>
      <c r="E22" s="60"/>
      <c r="F22" s="62"/>
      <c r="G22" s="60"/>
    </row>
    <row r="23" spans="1:8" ht="19" customHeight="1">
      <c r="A23" s="65"/>
      <c r="B23" s="65">
        <f>IF($C23="","",ROW()-19)</f>
        <v/>
      </c>
      <c r="C23" s="9"/>
      <c r="D23" s="10"/>
      <c r="E23" s="10"/>
      <c r="F23" s="68"/>
      <c r="G23" s="10"/>
    </row>
    <row r="24" spans="1:8" ht="19" customHeight="1">
      <c r="A24" s="58"/>
      <c r="B24" s="58">
        <f>IF($C24="","",ROW()-19)</f>
        <v/>
      </c>
      <c r="C24" s="14"/>
      <c r="D24" s="60"/>
      <c r="E24" s="60"/>
      <c r="F24" s="62"/>
      <c r="G24" s="60"/>
    </row>
    <row r="25" spans="1:8" ht="19" customHeight="1">
      <c r="A25" s="65"/>
      <c r="B25" s="65">
        <f>IF($C25="","",ROW()-19)</f>
        <v/>
      </c>
      <c r="C25" s="9"/>
      <c r="D25" s="10"/>
      <c r="E25" s="10"/>
      <c r="F25" s="68"/>
      <c r="G25" s="10"/>
    </row>
    <row r="26" spans="1:8" ht="19" customHeight="1">
      <c r="A26" s="58"/>
      <c r="B26" s="58">
        <f>IF($C26="","",ROW()-19)</f>
        <v/>
      </c>
      <c r="C26" s="14"/>
      <c r="D26" s="60"/>
      <c r="E26" s="60"/>
      <c r="F26" s="62"/>
      <c r="G26" s="60"/>
    </row>
    <row r="27" spans="1:8" ht="19" customHeight="1">
      <c r="A27" s="65"/>
      <c r="B27" s="65">
        <f>IF($C27="","",ROW()-19)</f>
        <v/>
      </c>
      <c r="C27" s="9"/>
      <c r="D27" s="10"/>
      <c r="E27" s="10"/>
      <c r="F27" s="68"/>
      <c r="G27" s="10"/>
    </row>
    <row r="28" spans="1:8" ht="19" customHeight="1">
      <c r="A28" s="58"/>
      <c r="B28" s="58">
        <f>IF($C28="","",ROW()-19)</f>
        <v/>
      </c>
      <c r="C28" s="14"/>
      <c r="D28" s="60"/>
      <c r="E28" s="60"/>
      <c r="F28" s="62"/>
      <c r="G28" s="60"/>
    </row>
    <row r="29" spans="1:8" ht="19" customHeight="1">
      <c r="A29" s="65"/>
      <c r="B29" s="65">
        <f>IF($C29="","",ROW()-19)</f>
        <v/>
      </c>
      <c r="C29" s="9"/>
      <c r="D29" s="10"/>
      <c r="E29" s="10"/>
      <c r="F29" s="68"/>
      <c r="G29" s="10"/>
    </row>
    <row r="30" spans="1:8" ht="19" customHeight="1">
      <c r="A30" s="58"/>
      <c r="B30" s="58">
        <f>IF($C30="","",ROW()-19)</f>
        <v/>
      </c>
      <c r="C30" s="14"/>
      <c r="D30" s="60"/>
      <c r="E30" s="60"/>
      <c r="F30" s="62"/>
      <c r="G30" s="60"/>
    </row>
    <row r="31" spans="1:8" ht="19" customHeight="1">
      <c r="A31" s="65"/>
      <c r="B31" s="65">
        <f>IF($C31="","",ROW()-19)</f>
        <v/>
      </c>
      <c r="C31" s="9"/>
      <c r="D31" s="10"/>
      <c r="E31" s="10"/>
      <c r="F31" s="68"/>
      <c r="G31" s="10"/>
    </row>
    <row r="32" spans="1:8" ht="19" customHeight="1">
      <c r="A32" s="58"/>
      <c r="B32" s="58">
        <f>IF($C32="","",ROW()-19)</f>
        <v/>
      </c>
      <c r="C32" s="14"/>
      <c r="D32" s="60"/>
      <c r="E32" s="60"/>
      <c r="F32" s="62"/>
      <c r="G32" s="60"/>
    </row>
    <row r="33" spans="1:8" ht="19" customHeight="1">
      <c r="A33" s="65"/>
      <c r="B33" s="65">
        <f>IF($C33="","",ROW()-19)</f>
        <v/>
      </c>
      <c r="C33" s="9"/>
      <c r="D33" s="10"/>
      <c r="E33" s="10"/>
      <c r="F33" s="68"/>
      <c r="G33" s="10"/>
    </row>
    <row r="34" spans="1:8" ht="19" customHeight="1">
      <c r="A34" s="58"/>
      <c r="B34" s="58">
        <f>IF($C34="","",ROW()-19)</f>
        <v/>
      </c>
      <c r="C34" s="14"/>
      <c r="D34" s="60"/>
      <c r="E34" s="60"/>
      <c r="F34" s="62"/>
      <c r="G34" s="60"/>
    </row>
    <row r="35" spans="1:8" ht="19" customHeight="1">
      <c r="A35" s="65"/>
      <c r="B35" s="65">
        <f>IF($C35="","",ROW()-19)</f>
        <v/>
      </c>
      <c r="C35" s="9"/>
      <c r="D35" s="10"/>
      <c r="E35" s="10"/>
      <c r="F35" s="68"/>
      <c r="G35" s="10"/>
    </row>
    <row r="36" spans="1:8" ht="19" customHeight="1">
      <c r="A36" s="58"/>
      <c r="B36" s="58">
        <f>IF($C36="","",ROW()-19)</f>
        <v/>
      </c>
      <c r="C36" s="14"/>
      <c r="D36" s="60"/>
      <c r="E36" s="60"/>
      <c r="F36" s="62"/>
      <c r="G36" s="60"/>
    </row>
    <row r="37" spans="1:8" ht="19" customHeight="1">
      <c r="A37" s="65"/>
      <c r="B37" s="65">
        <f>IF($C37="","",ROW()-19)</f>
        <v/>
      </c>
      <c r="C37" s="9"/>
      <c r="D37" s="10"/>
      <c r="E37" s="10"/>
      <c r="F37" s="68"/>
      <c r="G37" s="10"/>
    </row>
    <row r="38" spans="1:8" ht="19" customHeight="1">
      <c r="A38" s="58"/>
      <c r="B38" s="58">
        <f>IF($C38="","",ROW()-19)</f>
        <v/>
      </c>
      <c r="C38" s="14"/>
      <c r="D38" s="60"/>
      <c r="E38" s="60"/>
      <c r="F38" s="62"/>
      <c r="G38" s="60"/>
    </row>
    <row r="39" spans="1:8" ht="19" customHeight="1">
      <c r="A39" s="65"/>
      <c r="B39" s="65">
        <f>IF($C39="","",ROW()-19)</f>
        <v/>
      </c>
      <c r="C39" s="9"/>
      <c r="D39" s="10"/>
      <c r="E39" s="10"/>
      <c r="F39" s="68"/>
      <c r="G39" s="10"/>
    </row>
    <row r="40" spans="1:8" ht="19" customHeight="1">
      <c r="B40" s="70" t="s">
        <v>388</v>
      </c>
      <c r="C40" s="70"/>
      <c r="D40" s="70"/>
      <c r="E40" s="70"/>
      <c r="F40" s="70"/>
      <c r="G40" s="84">
        <f>SUM($G$20:$G$39)</f>
        <v>0</v>
      </c>
    </row>
    <row r="41" spans="1:8" ht="19" customHeight="1"/>
    <row r="42" spans="1:8" ht="8" customHeight="1">
      <c r="A42" s="4"/>
      <c r="B42" s="4"/>
      <c r="C42" s="4"/>
      <c r="D42" s="4"/>
      <c r="E42" s="4"/>
      <c r="F42" s="4"/>
      <c r="G42" s="4"/>
      <c r="H42" s="4"/>
    </row>
    <row r="43" spans="1:8" ht="19" customHeight="1"/>
    <row r="44" spans="1:8" ht="19" customHeight="1">
      <c r="B44" s="23" t="s">
        <v>202</v>
      </c>
      <c r="C44" s="24" t="s">
        <v>164</v>
      </c>
      <c r="D44" s="25" t="s">
        <v>165</v>
      </c>
      <c r="E44" s="26" t="s">
        <v>17</v>
      </c>
      <c r="F44" s="27" t="s">
        <v>166</v>
      </c>
      <c r="G44" s="28" t="s">
        <v>167</v>
      </c>
      <c r="H44" s="29" t="s">
        <v>168</v>
      </c>
    </row>
    <row r="45" spans="1:8" ht="24" customHeight="1">
      <c r="B45" s="30" t="s">
        <v>169</v>
      </c>
      <c r="C45" s="24" t="s">
        <v>170</v>
      </c>
      <c r="D45" s="26" t="s">
        <v>171</v>
      </c>
      <c r="E45" s="23" t="s">
        <v>172</v>
      </c>
      <c r="F45" s="24" t="s">
        <v>173</v>
      </c>
      <c r="G45" s="25" t="s">
        <v>174</v>
      </c>
      <c r="H45" s="26" t="s">
        <v>175</v>
      </c>
    </row>
    <row r="46" spans="1:8" ht="24" customHeight="1">
      <c r="B46" s="27" t="s">
        <v>176</v>
      </c>
      <c r="C46" s="28" t="s">
        <v>389</v>
      </c>
      <c r="D46" s="29" t="s">
        <v>178</v>
      </c>
      <c r="E46" s="30" t="s">
        <v>179</v>
      </c>
      <c r="F46" s="24" t="s">
        <v>180</v>
      </c>
    </row>
    <row r="47" spans="1:8" ht="19" customHeight="1"/>
    <row r="48" spans="1:8" ht="19" customHeight="1"/>
    <row r="49" ht="19" customHeight="1"/>
    <row r="50" ht="19" customHeight="1"/>
    <row r="51" ht="19" customHeight="1"/>
    <row r="52" ht="19" customHeight="1"/>
  </sheetData>
  <mergeCells count="16">
    <mergeCell ref="B2:G2"/>
    <mergeCell ref="B3:G3"/>
    <mergeCell ref="H3:J3"/>
    <mergeCell ref="B5:C5"/>
    <mergeCell ref="D5:E5"/>
    <mergeCell ref="F5:G5"/>
    <mergeCell ref="H5:I5"/>
    <mergeCell ref="B7:H7"/>
    <mergeCell ref="D9:H9"/>
    <mergeCell ref="D10:H10"/>
    <mergeCell ref="D11:H11"/>
    <mergeCell ref="D12:H12"/>
    <mergeCell ref="D13:H13"/>
    <mergeCell ref="B15:H15"/>
    <mergeCell ref="B18:H18"/>
    <mergeCell ref="B40:F40"/>
  </mergeCells>
  <dataValidations count="3">
    <dataValidation type="list" allowBlank="1" showInputMessage="1" showErrorMessage="1" promptTitle="Paid by" prompt="How was the payment made?" sqref="H20:H39">
      <formula1>PaymentMethods</formula1>
    </dataValidation>
    <dataValidation type="decimal" errorStyle="warning" allowBlank="1" showInputMessage="1" showErrorMessage="1" errorTitle="Amount" error="Enter the amount as a positive number." sqref="G20:G39">
      <formula1>0</formula1>
      <formula2>10000000</formula2>
    </dataValidation>
    <dataValidation type="date" errorStyle="warning" allowBlank="1" showInputMessage="1" showErrorMessage="1" errorTitle="That's not a date" error="Enter a date between 2000 and 2100." promptTitle="Date" prompt="When was it filed / paid?" sqref="C20:C39">
      <formula1>36526</formula1>
      <formula2>73415</formula2>
    </dataValidation>
  </dataValidations>
  <hyperlinks>
    <hyperlink ref="H3" location="'📊 Dashboard'!A1" display="🏠  Back to Dashboard"/>
    <hyperlink ref="B44" location="'⚙️ Setup'!A1" display="Setup"/>
    <hyperlink ref="C44" location="'📊 Dashboard'!A1" display="🏠 Home"/>
    <hyperlink ref="D44" location="'👥 Clients'!A1" display="Clients"/>
    <hyperlink ref="E44" location="'📅 Events'!A1" display="Events"/>
    <hyperlink ref="F44" location="'🧮 Quote Calculator'!A1" display="Quote"/>
    <hyperlink ref="G44" location="'🍽️ Menu Costing'!A1" display="Menu"/>
    <hyperlink ref="H44" location="'📦 Inventory'!A1" display="Stock"/>
    <hyperlink ref="B45" location="'🛒 Shopping List'!A1" display="Shop"/>
    <hyperlink ref="C45" location="'💸 Expenses'!A1" display="Expenses"/>
    <hyperlink ref="D45" location="'💰 Payments'!A1" display="Payments"/>
    <hyperlink ref="E45" location="'👷 Staff &amp; Labor'!A1" display="Staff"/>
    <hyperlink ref="F45" location="'🍳 Equipment'!A1" display="Equip"/>
    <hyperlink ref="G45" location="'🚚 Suppliers'!A1" display="Suppliers"/>
    <hyperlink ref="H45" location="'📆 Event Calendar'!A1" display="Calendar"/>
    <hyperlink ref="B46" location="'📈 P&amp;L &amp; Reports'!A1" display="P&amp;L"/>
    <hyperlink ref="C46" location="'🧾 Tax Tracker'!A1" display="▶ Tax"/>
    <hyperlink ref="D46" location="'✅ Checklists'!A1" display="Checks"/>
    <hyperlink ref="E46" location="'🖨️ Invoice &amp; Proposal'!A1" display="Invoice"/>
    <hyperlink ref="F46" location="'📖 Start Here'!A1" display="Help"/>
  </hyperlinks>
  <pageMargins left="0.4" right="0.4" top="0.5" bottom="0.5" header="0.3" footer="0.3"/>
  <pageSetup paperSize="9" fitToHeight="0" orientation="portrait"/>
  <headerFooter>
    <oddHeader>&amp;L&amp;"Calibri,Bold"&amp;11Catering Business Manager&amp;R&amp;"Calibri,Italic"&amp;9Page &amp;P of &amp;N</oddHeader>
    <oddFooter>&amp;C&amp;"Calibri,Italic"&amp;8&amp;A  •  Ultimate Catering Business Spreadsheet v1.0  •  personal licence</oddFooter>
  </headerFooter>
</worksheet>
</file>

<file path=xl/worksheets/sheet18.xml><?xml version="1.0" encoding="utf-8"?>
<worksheet xmlns="http://schemas.openxmlformats.org/spreadsheetml/2006/main" xmlns:r="http://schemas.openxmlformats.org/officeDocument/2006/relationships">
  <sheetPr>
    <tabColor rgb="FF3E7C4F"/>
    <pageSetUpPr fitToPage="1"/>
  </sheetPr>
  <dimension ref="A1:Q68"/>
  <sheetViews>
    <sheetView showGridLines="0" workbookViewId="0"/>
  </sheetViews>
  <sheetFormatPr defaultRowHeight="15"/>
  <cols>
    <col min="1" max="1" width="2.85546875" customWidth="1"/>
    <col min="2" max="2" width="6.7109375" customWidth="1"/>
    <col min="3" max="11" width="12.7109375" customWidth="1"/>
    <col min="12" max="12" width="3.7109375" customWidth="1"/>
  </cols>
  <sheetData>
    <row r="1" spans="2:17" ht="7" customHeight="1"/>
    <row r="2" spans="2:17" ht="30" customHeight="1">
      <c r="B2" s="3" t="s">
        <v>390</v>
      </c>
      <c r="C2" s="3"/>
      <c r="D2" s="3"/>
      <c r="E2" s="3"/>
      <c r="F2" s="3"/>
      <c r="G2" s="3"/>
      <c r="H2" s="3"/>
      <c r="I2" s="4"/>
      <c r="J2" s="4"/>
      <c r="K2" s="4"/>
    </row>
    <row r="3" spans="2:17" ht="18" customHeight="1">
      <c r="B3" s="5" t="s">
        <v>391</v>
      </c>
      <c r="C3" s="5"/>
      <c r="D3" s="5"/>
      <c r="E3" s="5"/>
      <c r="F3" s="5"/>
      <c r="G3" s="5"/>
      <c r="H3" s="5"/>
      <c r="I3" s="6" t="s">
        <v>97</v>
      </c>
      <c r="J3" s="6"/>
      <c r="K3" s="6"/>
    </row>
    <row r="4" spans="2:17" ht="7" customHeight="1"/>
    <row r="5" spans="2:17" ht="26" customHeight="1"/>
    <row r="6" spans="2:17" ht="7" customHeight="1"/>
    <row r="7" spans="2:17" ht="19" customHeight="1"/>
    <row r="8" spans="2:17" ht="24" customHeight="1">
      <c r="B8" s="104" t="str">
        <f>COUNTIF($B$11:$B$20,"✓")&amp;"/"&amp;10&amp;" done"</f>
        <v>0/10 done</v>
      </c>
      <c r="C8" s="104"/>
      <c r="D8" s="47" t="str">
        <f>IFERROR(REPT("█",ROUND(MIN(1,IFERROR((COUNTIF($B$11:$B$20,"✓"))/(10),0))*14,0))&amp;REPT("░",14-ROUND(MIN(1,IFERROR((COUNTIF($B$11:$B$20,"✓"))/(10),0))*14,0)),"░░░░░░░░░░░░░░")</f>
        <v>░░░░░░░░░░░░░░</v>
      </c>
      <c r="E8" s="47"/>
      <c r="F8" s="104" t="str">
        <f>COUNTIF($B$23:$B$32,"✓")&amp;"/"&amp;10&amp;" done"</f>
        <v>0/10 done</v>
      </c>
      <c r="G8" s="104"/>
      <c r="H8" s="47" t="str">
        <f>IFERROR(REPT("█",ROUND(MIN(1,IFERROR((COUNTIF($B$23:$B$32,"✓"))/(10),0))*14,0))&amp;REPT("░",14-ROUND(MIN(1,IFERROR((COUNTIF($B$23:$B$32,"✓"))/(10),0))*14,0)),"░░░░░░░░░░░░░░")</f>
        <v>░░░░░░░░░░░░░░</v>
      </c>
      <c r="I8" s="47"/>
      <c r="J8" s="104" t="str">
        <f>COUNTIF($B$35:$B$44,"✓")&amp;"/"&amp;10&amp;" done"</f>
        <v>0/10 done</v>
      </c>
      <c r="K8" s="104"/>
      <c r="L8" s="47" t="str">
        <f>IFERROR(REPT("█",ROUND(MIN(1,IFERROR((COUNTIF($B$35:$B$44,"✓"))/(10),0))*14,0))&amp;REPT("░",14-ROUND(MIN(1,IFERROR((COUNTIF($B$35:$B$44,"✓"))/(10),0))*14,0)),"░░░░░░░░░░░░░░")</f>
        <v>░░░░░░░░░░░░░░</v>
      </c>
      <c r="M8" s="47"/>
      <c r="N8" s="104" t="str">
        <f>COUNTIF($B$47:$B$56,"✓")&amp;"/"&amp;10&amp;" done"</f>
        <v>0/10 done</v>
      </c>
      <c r="O8" s="104"/>
      <c r="P8" s="47" t="str">
        <f>IFERROR(REPT("█",ROUND(MIN(1,IFERROR((COUNTIF($B$47:$B$56,"✓"))/(10),0))*14,0))&amp;REPT("░",14-ROUND(MIN(1,IFERROR((COUNTIF($B$47:$B$56,"✓"))/(10),0))*14,0)),"░░░░░░░░░░░░░░")</f>
        <v>░░░░░░░░░░░░░░</v>
      </c>
      <c r="Q8" s="47"/>
    </row>
    <row r="9" spans="2:17" ht="19" customHeight="1"/>
    <row r="10" spans="2:17" ht="24" customHeight="1">
      <c r="B10" s="7" t="s">
        <v>392</v>
      </c>
      <c r="C10" s="7"/>
      <c r="D10" s="7"/>
      <c r="E10" s="7"/>
      <c r="F10" s="7"/>
      <c r="G10" s="7"/>
      <c r="H10" s="7"/>
      <c r="I10" s="7"/>
      <c r="J10" s="7"/>
    </row>
    <row r="11" spans="2:17" ht="19" customHeight="1">
      <c r="B11" s="90"/>
      <c r="C11" s="9" t="s">
        <v>393</v>
      </c>
      <c r="D11" s="9"/>
      <c r="E11" s="9"/>
      <c r="F11" s="9"/>
      <c r="G11" s="9"/>
      <c r="H11" s="9"/>
      <c r="I11" s="9"/>
      <c r="J11" s="9"/>
      <c r="K11" s="9"/>
    </row>
    <row r="12" spans="2:17" ht="19" customHeight="1">
      <c r="B12" s="89"/>
      <c r="C12" s="14" t="s">
        <v>394</v>
      </c>
      <c r="D12" s="14"/>
      <c r="E12" s="14"/>
      <c r="F12" s="14"/>
      <c r="G12" s="14"/>
      <c r="H12" s="14"/>
      <c r="I12" s="14"/>
      <c r="J12" s="14"/>
      <c r="K12" s="14"/>
    </row>
    <row r="13" spans="2:17" ht="19" customHeight="1">
      <c r="B13" s="90"/>
      <c r="C13" s="9" t="s">
        <v>395</v>
      </c>
      <c r="D13" s="9"/>
      <c r="E13" s="9"/>
      <c r="F13" s="9"/>
      <c r="G13" s="9"/>
      <c r="H13" s="9"/>
      <c r="I13" s="9"/>
      <c r="J13" s="9"/>
      <c r="K13" s="9"/>
    </row>
    <row r="14" spans="2:17" ht="19" customHeight="1">
      <c r="B14" s="89"/>
      <c r="C14" s="14" t="s">
        <v>396</v>
      </c>
      <c r="D14" s="14"/>
      <c r="E14" s="14"/>
      <c r="F14" s="14"/>
      <c r="G14" s="14"/>
      <c r="H14" s="14"/>
      <c r="I14" s="14"/>
      <c r="J14" s="14"/>
      <c r="K14" s="14"/>
    </row>
    <row r="15" spans="2:17" ht="19" customHeight="1">
      <c r="B15" s="90"/>
      <c r="C15" s="9" t="s">
        <v>397</v>
      </c>
      <c r="D15" s="9"/>
      <c r="E15" s="9"/>
      <c r="F15" s="9"/>
      <c r="G15" s="9"/>
      <c r="H15" s="9"/>
      <c r="I15" s="9"/>
      <c r="J15" s="9"/>
      <c r="K15" s="9"/>
    </row>
    <row r="16" spans="2:17" ht="19" customHeight="1">
      <c r="B16" s="89"/>
      <c r="C16" s="14" t="s">
        <v>398</v>
      </c>
      <c r="D16" s="14"/>
      <c r="E16" s="14"/>
      <c r="F16" s="14"/>
      <c r="G16" s="14"/>
      <c r="H16" s="14"/>
      <c r="I16" s="14"/>
      <c r="J16" s="14"/>
      <c r="K16" s="14"/>
    </row>
    <row r="17" spans="2:11" ht="19" customHeight="1">
      <c r="B17" s="90"/>
      <c r="C17" s="9" t="s">
        <v>399</v>
      </c>
      <c r="D17" s="9"/>
      <c r="E17" s="9"/>
      <c r="F17" s="9"/>
      <c r="G17" s="9"/>
      <c r="H17" s="9"/>
      <c r="I17" s="9"/>
      <c r="J17" s="9"/>
      <c r="K17" s="9"/>
    </row>
    <row r="18" spans="2:11" ht="19" customHeight="1">
      <c r="B18" s="89"/>
      <c r="C18" s="14" t="s">
        <v>400</v>
      </c>
      <c r="D18" s="14"/>
      <c r="E18" s="14"/>
      <c r="F18" s="14"/>
      <c r="G18" s="14"/>
      <c r="H18" s="14"/>
      <c r="I18" s="14"/>
      <c r="J18" s="14"/>
      <c r="K18" s="14"/>
    </row>
    <row r="19" spans="2:11" ht="19" customHeight="1">
      <c r="B19" s="90"/>
      <c r="C19" s="9" t="s">
        <v>401</v>
      </c>
      <c r="D19" s="9"/>
      <c r="E19" s="9"/>
      <c r="F19" s="9"/>
      <c r="G19" s="9"/>
      <c r="H19" s="9"/>
      <c r="I19" s="9"/>
      <c r="J19" s="9"/>
      <c r="K19" s="9"/>
    </row>
    <row r="20" spans="2:11" ht="19" customHeight="1">
      <c r="B20" s="89"/>
      <c r="C20" s="14" t="s">
        <v>402</v>
      </c>
      <c r="D20" s="14"/>
      <c r="E20" s="14"/>
      <c r="F20" s="14"/>
      <c r="G20" s="14"/>
      <c r="H20" s="14"/>
      <c r="I20" s="14"/>
      <c r="J20" s="14"/>
      <c r="K20" s="14"/>
    </row>
    <row r="21" spans="2:11" ht="19" customHeight="1"/>
    <row r="22" spans="2:11" ht="24" customHeight="1">
      <c r="B22" s="7" t="s">
        <v>403</v>
      </c>
      <c r="C22" s="7"/>
      <c r="D22" s="7"/>
      <c r="E22" s="7"/>
      <c r="F22" s="7"/>
      <c r="G22" s="7"/>
      <c r="H22" s="7"/>
      <c r="I22" s="7"/>
      <c r="J22" s="7"/>
    </row>
    <row r="23" spans="2:11" ht="19" customHeight="1">
      <c r="B23" s="90"/>
      <c r="C23" s="9" t="s">
        <v>404</v>
      </c>
      <c r="D23" s="9"/>
      <c r="E23" s="9"/>
      <c r="F23" s="9"/>
      <c r="G23" s="9"/>
      <c r="H23" s="9"/>
      <c r="I23" s="9"/>
      <c r="J23" s="9"/>
      <c r="K23" s="9"/>
    </row>
    <row r="24" spans="2:11" ht="19" customHeight="1">
      <c r="B24" s="89"/>
      <c r="C24" s="14" t="s">
        <v>405</v>
      </c>
      <c r="D24" s="14"/>
      <c r="E24" s="14"/>
      <c r="F24" s="14"/>
      <c r="G24" s="14"/>
      <c r="H24" s="14"/>
      <c r="I24" s="14"/>
      <c r="J24" s="14"/>
      <c r="K24" s="14"/>
    </row>
    <row r="25" spans="2:11" ht="19" customHeight="1">
      <c r="B25" s="90"/>
      <c r="C25" s="9" t="s">
        <v>406</v>
      </c>
      <c r="D25" s="9"/>
      <c r="E25" s="9"/>
      <c r="F25" s="9"/>
      <c r="G25" s="9"/>
      <c r="H25" s="9"/>
      <c r="I25" s="9"/>
      <c r="J25" s="9"/>
      <c r="K25" s="9"/>
    </row>
    <row r="26" spans="2:11" ht="19" customHeight="1">
      <c r="B26" s="89"/>
      <c r="C26" s="14" t="s">
        <v>407</v>
      </c>
      <c r="D26" s="14"/>
      <c r="E26" s="14"/>
      <c r="F26" s="14"/>
      <c r="G26" s="14"/>
      <c r="H26" s="14"/>
      <c r="I26" s="14"/>
      <c r="J26" s="14"/>
      <c r="K26" s="14"/>
    </row>
    <row r="27" spans="2:11" ht="19" customHeight="1">
      <c r="B27" s="90"/>
      <c r="C27" s="9" t="s">
        <v>408</v>
      </c>
      <c r="D27" s="9"/>
      <c r="E27" s="9"/>
      <c r="F27" s="9"/>
      <c r="G27" s="9"/>
      <c r="H27" s="9"/>
      <c r="I27" s="9"/>
      <c r="J27" s="9"/>
      <c r="K27" s="9"/>
    </row>
    <row r="28" spans="2:11" ht="19" customHeight="1">
      <c r="B28" s="89"/>
      <c r="C28" s="14" t="s">
        <v>409</v>
      </c>
      <c r="D28" s="14"/>
      <c r="E28" s="14"/>
      <c r="F28" s="14"/>
      <c r="G28" s="14"/>
      <c r="H28" s="14"/>
      <c r="I28" s="14"/>
      <c r="J28" s="14"/>
      <c r="K28" s="14"/>
    </row>
    <row r="29" spans="2:11" ht="19" customHeight="1">
      <c r="B29" s="90"/>
      <c r="C29" s="9" t="s">
        <v>410</v>
      </c>
      <c r="D29" s="9"/>
      <c r="E29" s="9"/>
      <c r="F29" s="9"/>
      <c r="G29" s="9"/>
      <c r="H29" s="9"/>
      <c r="I29" s="9"/>
      <c r="J29" s="9"/>
      <c r="K29" s="9"/>
    </row>
    <row r="30" spans="2:11" ht="19" customHeight="1">
      <c r="B30" s="89"/>
      <c r="C30" s="14" t="s">
        <v>411</v>
      </c>
      <c r="D30" s="14"/>
      <c r="E30" s="14"/>
      <c r="F30" s="14"/>
      <c r="G30" s="14"/>
      <c r="H30" s="14"/>
      <c r="I30" s="14"/>
      <c r="J30" s="14"/>
      <c r="K30" s="14"/>
    </row>
    <row r="31" spans="2:11" ht="19" customHeight="1">
      <c r="B31" s="90"/>
      <c r="C31" s="9" t="s">
        <v>412</v>
      </c>
      <c r="D31" s="9"/>
      <c r="E31" s="9"/>
      <c r="F31" s="9"/>
      <c r="G31" s="9"/>
      <c r="H31" s="9"/>
      <c r="I31" s="9"/>
      <c r="J31" s="9"/>
      <c r="K31" s="9"/>
    </row>
    <row r="32" spans="2:11" ht="19" customHeight="1">
      <c r="B32" s="89"/>
      <c r="C32" s="14" t="s">
        <v>413</v>
      </c>
      <c r="D32" s="14"/>
      <c r="E32" s="14"/>
      <c r="F32" s="14"/>
      <c r="G32" s="14"/>
      <c r="H32" s="14"/>
      <c r="I32" s="14"/>
      <c r="J32" s="14"/>
      <c r="K32" s="14"/>
    </row>
    <row r="33" spans="2:11" ht="19" customHeight="1"/>
    <row r="34" spans="2:11" ht="24" customHeight="1">
      <c r="B34" s="7" t="s">
        <v>414</v>
      </c>
      <c r="C34" s="7"/>
      <c r="D34" s="7"/>
      <c r="E34" s="7"/>
      <c r="F34" s="7"/>
      <c r="G34" s="7"/>
      <c r="H34" s="7"/>
      <c r="I34" s="7"/>
      <c r="J34" s="7"/>
    </row>
    <row r="35" spans="2:11" ht="19" customHeight="1">
      <c r="B35" s="90"/>
      <c r="C35" s="9" t="s">
        <v>415</v>
      </c>
      <c r="D35" s="9"/>
      <c r="E35" s="9"/>
      <c r="F35" s="9"/>
      <c r="G35" s="9"/>
      <c r="H35" s="9"/>
      <c r="I35" s="9"/>
      <c r="J35" s="9"/>
      <c r="K35" s="9"/>
    </row>
    <row r="36" spans="2:11" ht="19" customHeight="1">
      <c r="B36" s="89"/>
      <c r="C36" s="14" t="s">
        <v>416</v>
      </c>
      <c r="D36" s="14"/>
      <c r="E36" s="14"/>
      <c r="F36" s="14"/>
      <c r="G36" s="14"/>
      <c r="H36" s="14"/>
      <c r="I36" s="14"/>
      <c r="J36" s="14"/>
      <c r="K36" s="14"/>
    </row>
    <row r="37" spans="2:11" ht="19" customHeight="1">
      <c r="B37" s="90"/>
      <c r="C37" s="9" t="s">
        <v>417</v>
      </c>
      <c r="D37" s="9"/>
      <c r="E37" s="9"/>
      <c r="F37" s="9"/>
      <c r="G37" s="9"/>
      <c r="H37" s="9"/>
      <c r="I37" s="9"/>
      <c r="J37" s="9"/>
      <c r="K37" s="9"/>
    </row>
    <row r="38" spans="2:11" ht="19" customHeight="1">
      <c r="B38" s="89"/>
      <c r="C38" s="14" t="s">
        <v>418</v>
      </c>
      <c r="D38" s="14"/>
      <c r="E38" s="14"/>
      <c r="F38" s="14"/>
      <c r="G38" s="14"/>
      <c r="H38" s="14"/>
      <c r="I38" s="14"/>
      <c r="J38" s="14"/>
      <c r="K38" s="14"/>
    </row>
    <row r="39" spans="2:11" ht="19" customHeight="1">
      <c r="B39" s="90"/>
      <c r="C39" s="9" t="s">
        <v>419</v>
      </c>
      <c r="D39" s="9"/>
      <c r="E39" s="9"/>
      <c r="F39" s="9"/>
      <c r="G39" s="9"/>
      <c r="H39" s="9"/>
      <c r="I39" s="9"/>
      <c r="J39" s="9"/>
      <c r="K39" s="9"/>
    </row>
    <row r="40" spans="2:11" ht="19" customHeight="1">
      <c r="B40" s="89"/>
      <c r="C40" s="14" t="s">
        <v>420</v>
      </c>
      <c r="D40" s="14"/>
      <c r="E40" s="14"/>
      <c r="F40" s="14"/>
      <c r="G40" s="14"/>
      <c r="H40" s="14"/>
      <c r="I40" s="14"/>
      <c r="J40" s="14"/>
      <c r="K40" s="14"/>
    </row>
    <row r="41" spans="2:11" ht="19" customHeight="1">
      <c r="B41" s="90"/>
      <c r="C41" s="9" t="s">
        <v>421</v>
      </c>
      <c r="D41" s="9"/>
      <c r="E41" s="9"/>
      <c r="F41" s="9"/>
      <c r="G41" s="9"/>
      <c r="H41" s="9"/>
      <c r="I41" s="9"/>
      <c r="J41" s="9"/>
      <c r="K41" s="9"/>
    </row>
    <row r="42" spans="2:11" ht="19" customHeight="1">
      <c r="B42" s="89"/>
      <c r="C42" s="14" t="s">
        <v>422</v>
      </c>
      <c r="D42" s="14"/>
      <c r="E42" s="14"/>
      <c r="F42" s="14"/>
      <c r="G42" s="14"/>
      <c r="H42" s="14"/>
      <c r="I42" s="14"/>
      <c r="J42" s="14"/>
      <c r="K42" s="14"/>
    </row>
    <row r="43" spans="2:11" ht="19" customHeight="1">
      <c r="B43" s="90"/>
      <c r="C43" s="9" t="s">
        <v>423</v>
      </c>
      <c r="D43" s="9"/>
      <c r="E43" s="9"/>
      <c r="F43" s="9"/>
      <c r="G43" s="9"/>
      <c r="H43" s="9"/>
      <c r="I43" s="9"/>
      <c r="J43" s="9"/>
      <c r="K43" s="9"/>
    </row>
    <row r="44" spans="2:11" ht="19" customHeight="1">
      <c r="B44" s="89"/>
      <c r="C44" s="14" t="s">
        <v>424</v>
      </c>
      <c r="D44" s="14"/>
      <c r="E44" s="14"/>
      <c r="F44" s="14"/>
      <c r="G44" s="14"/>
      <c r="H44" s="14"/>
      <c r="I44" s="14"/>
      <c r="J44" s="14"/>
      <c r="K44" s="14"/>
    </row>
    <row r="45" spans="2:11" ht="19" customHeight="1"/>
    <row r="46" spans="2:11" ht="24" customHeight="1">
      <c r="B46" s="7" t="s">
        <v>425</v>
      </c>
      <c r="C46" s="7"/>
      <c r="D46" s="7"/>
      <c r="E46" s="7"/>
      <c r="F46" s="7"/>
      <c r="G46" s="7"/>
      <c r="H46" s="7"/>
      <c r="I46" s="7"/>
      <c r="J46" s="7"/>
    </row>
    <row r="47" spans="2:11" ht="19" customHeight="1">
      <c r="B47" s="90"/>
      <c r="C47" s="9" t="s">
        <v>426</v>
      </c>
      <c r="D47" s="9"/>
      <c r="E47" s="9"/>
      <c r="F47" s="9"/>
      <c r="G47" s="9"/>
      <c r="H47" s="9"/>
      <c r="I47" s="9"/>
      <c r="J47" s="9"/>
      <c r="K47" s="9"/>
    </row>
    <row r="48" spans="2:11" ht="19" customHeight="1">
      <c r="B48" s="89"/>
      <c r="C48" s="14" t="s">
        <v>427</v>
      </c>
      <c r="D48" s="14"/>
      <c r="E48" s="14"/>
      <c r="F48" s="14"/>
      <c r="G48" s="14"/>
      <c r="H48" s="14"/>
      <c r="I48" s="14"/>
      <c r="J48" s="14"/>
      <c r="K48" s="14"/>
    </row>
    <row r="49" spans="1:11" ht="19" customHeight="1">
      <c r="B49" s="90"/>
      <c r="C49" s="9" t="s">
        <v>428</v>
      </c>
      <c r="D49" s="9"/>
      <c r="E49" s="9"/>
      <c r="F49" s="9"/>
      <c r="G49" s="9"/>
      <c r="H49" s="9"/>
      <c r="I49" s="9"/>
      <c r="J49" s="9"/>
      <c r="K49" s="9"/>
    </row>
    <row r="50" spans="1:11" ht="19" customHeight="1">
      <c r="B50" s="89"/>
      <c r="C50" s="14" t="s">
        <v>429</v>
      </c>
      <c r="D50" s="14"/>
      <c r="E50" s="14"/>
      <c r="F50" s="14"/>
      <c r="G50" s="14"/>
      <c r="H50" s="14"/>
      <c r="I50" s="14"/>
      <c r="J50" s="14"/>
      <c r="K50" s="14"/>
    </row>
    <row r="51" spans="1:11" ht="19" customHeight="1">
      <c r="B51" s="90"/>
      <c r="C51" s="9" t="s">
        <v>430</v>
      </c>
      <c r="D51" s="9"/>
      <c r="E51" s="9"/>
      <c r="F51" s="9"/>
      <c r="G51" s="9"/>
      <c r="H51" s="9"/>
      <c r="I51" s="9"/>
      <c r="J51" s="9"/>
      <c r="K51" s="9"/>
    </row>
    <row r="52" spans="1:11" ht="19" customHeight="1">
      <c r="B52" s="89"/>
      <c r="C52" s="14" t="s">
        <v>431</v>
      </c>
      <c r="D52" s="14"/>
      <c r="E52" s="14"/>
      <c r="F52" s="14"/>
      <c r="G52" s="14"/>
      <c r="H52" s="14"/>
      <c r="I52" s="14"/>
      <c r="J52" s="14"/>
      <c r="K52" s="14"/>
    </row>
    <row r="53" spans="1:11" ht="19" customHeight="1">
      <c r="B53" s="90"/>
      <c r="C53" s="9" t="s">
        <v>432</v>
      </c>
      <c r="D53" s="9"/>
      <c r="E53" s="9"/>
      <c r="F53" s="9"/>
      <c r="G53" s="9"/>
      <c r="H53" s="9"/>
      <c r="I53" s="9"/>
      <c r="J53" s="9"/>
      <c r="K53" s="9"/>
    </row>
    <row r="54" spans="1:11" ht="19" customHeight="1">
      <c r="B54" s="89"/>
      <c r="C54" s="14" t="s">
        <v>433</v>
      </c>
      <c r="D54" s="14"/>
      <c r="E54" s="14"/>
      <c r="F54" s="14"/>
      <c r="G54" s="14"/>
      <c r="H54" s="14"/>
      <c r="I54" s="14"/>
      <c r="J54" s="14"/>
      <c r="K54" s="14"/>
    </row>
    <row r="55" spans="1:11" ht="19" customHeight="1">
      <c r="B55" s="90"/>
      <c r="C55" s="9" t="s">
        <v>434</v>
      </c>
      <c r="D55" s="9"/>
      <c r="E55" s="9"/>
      <c r="F55" s="9"/>
      <c r="G55" s="9"/>
      <c r="H55" s="9"/>
      <c r="I55" s="9"/>
      <c r="J55" s="9"/>
      <c r="K55" s="9"/>
    </row>
    <row r="56" spans="1:11" ht="19" customHeight="1">
      <c r="B56" s="89"/>
      <c r="C56" s="14" t="s">
        <v>435</v>
      </c>
      <c r="D56" s="14"/>
      <c r="E56" s="14"/>
      <c r="F56" s="14"/>
      <c r="G56" s="14"/>
      <c r="H56" s="14"/>
      <c r="I56" s="14"/>
      <c r="J56" s="14"/>
      <c r="K56" s="14"/>
    </row>
    <row r="57" spans="1:11" ht="19" customHeight="1"/>
    <row r="58" spans="1:11" ht="8" customHeight="1">
      <c r="A58" s="4"/>
      <c r="B58" s="4"/>
      <c r="C58" s="4"/>
      <c r="D58" s="4"/>
      <c r="E58" s="4"/>
      <c r="F58" s="4"/>
      <c r="G58" s="4"/>
      <c r="H58" s="4"/>
      <c r="I58" s="4"/>
      <c r="J58" s="4"/>
      <c r="K58" s="4"/>
    </row>
    <row r="59" spans="1:11" ht="26" customHeight="1">
      <c r="B59" s="22" t="s">
        <v>436</v>
      </c>
      <c r="C59" s="22"/>
      <c r="D59" s="22"/>
      <c r="E59" s="22"/>
      <c r="F59" s="22"/>
      <c r="G59" s="22"/>
      <c r="H59" s="22"/>
      <c r="I59" s="22"/>
      <c r="J59" s="22"/>
    </row>
    <row r="60" spans="1:11" ht="19" customHeight="1"/>
    <row r="61" spans="1:11" ht="19" customHeight="1">
      <c r="B61" s="23" t="s">
        <v>202</v>
      </c>
      <c r="C61" s="23"/>
      <c r="D61" s="24" t="s">
        <v>164</v>
      </c>
      <c r="E61" s="24"/>
      <c r="F61" s="25" t="s">
        <v>165</v>
      </c>
      <c r="G61" s="25"/>
      <c r="H61" s="26" t="s">
        <v>17</v>
      </c>
      <c r="I61" s="26"/>
      <c r="J61" s="27" t="s">
        <v>166</v>
      </c>
      <c r="K61" s="27"/>
    </row>
    <row r="62" spans="1:11" ht="24" customHeight="1">
      <c r="B62" s="28" t="s">
        <v>167</v>
      </c>
      <c r="C62" s="28"/>
      <c r="D62" s="29" t="s">
        <v>168</v>
      </c>
      <c r="E62" s="29"/>
      <c r="F62" s="30" t="s">
        <v>169</v>
      </c>
      <c r="G62" s="30"/>
      <c r="H62" s="24" t="s">
        <v>170</v>
      </c>
      <c r="I62" s="24"/>
      <c r="J62" s="26" t="s">
        <v>171</v>
      </c>
      <c r="K62" s="26"/>
    </row>
    <row r="63" spans="1:11" ht="24" customHeight="1">
      <c r="B63" s="23" t="s">
        <v>172</v>
      </c>
      <c r="C63" s="23"/>
      <c r="D63" s="24" t="s">
        <v>173</v>
      </c>
      <c r="E63" s="24"/>
      <c r="F63" s="25" t="s">
        <v>174</v>
      </c>
      <c r="G63" s="25"/>
      <c r="H63" s="26" t="s">
        <v>175</v>
      </c>
      <c r="I63" s="26"/>
      <c r="J63" s="27" t="s">
        <v>176</v>
      </c>
      <c r="K63" s="27"/>
    </row>
    <row r="64" spans="1:11" ht="24" customHeight="1">
      <c r="B64" s="28" t="s">
        <v>177</v>
      </c>
      <c r="C64" s="28"/>
      <c r="D64" s="29" t="s">
        <v>437</v>
      </c>
      <c r="E64" s="29"/>
      <c r="F64" s="30" t="s">
        <v>179</v>
      </c>
      <c r="G64" s="30"/>
      <c r="H64" s="24" t="s">
        <v>180</v>
      </c>
      <c r="I64" s="24"/>
    </row>
    <row r="65" ht="19" customHeight="1"/>
    <row r="66" ht="19" customHeight="1"/>
    <row r="67" ht="19" customHeight="1"/>
    <row r="68" ht="19" customHeight="1"/>
  </sheetData>
  <mergeCells count="75">
    <mergeCell ref="B2:H2"/>
    <mergeCell ref="B3:H3"/>
    <mergeCell ref="I3:K3"/>
    <mergeCell ref="B8:C8"/>
    <mergeCell ref="D8:E8"/>
    <mergeCell ref="F8:G8"/>
    <mergeCell ref="H8:I8"/>
    <mergeCell ref="J8:K8"/>
    <mergeCell ref="L8:M8"/>
    <mergeCell ref="N8:O8"/>
    <mergeCell ref="P8:Q8"/>
    <mergeCell ref="B10:J10"/>
    <mergeCell ref="C11:K11"/>
    <mergeCell ref="C12:K12"/>
    <mergeCell ref="C13:K13"/>
    <mergeCell ref="C14:K14"/>
    <mergeCell ref="C15:K15"/>
    <mergeCell ref="C16:K16"/>
    <mergeCell ref="C17:K17"/>
    <mergeCell ref="C18:K18"/>
    <mergeCell ref="C19:K19"/>
    <mergeCell ref="C20:K20"/>
    <mergeCell ref="B22:J22"/>
    <mergeCell ref="C23:K23"/>
    <mergeCell ref="C24:K24"/>
    <mergeCell ref="C25:K25"/>
    <mergeCell ref="C26:K26"/>
    <mergeCell ref="C27:K27"/>
    <mergeCell ref="C28:K28"/>
    <mergeCell ref="C29:K29"/>
    <mergeCell ref="C30:K30"/>
    <mergeCell ref="C31:K31"/>
    <mergeCell ref="C32:K32"/>
    <mergeCell ref="B34:J34"/>
    <mergeCell ref="C35:K35"/>
    <mergeCell ref="C36:K36"/>
    <mergeCell ref="C37:K37"/>
    <mergeCell ref="C38:K38"/>
    <mergeCell ref="C39:K39"/>
    <mergeCell ref="C40:K40"/>
    <mergeCell ref="C41:K41"/>
    <mergeCell ref="C42:K42"/>
    <mergeCell ref="C43:K43"/>
    <mergeCell ref="C44:K44"/>
    <mergeCell ref="B46:J46"/>
    <mergeCell ref="C47:K47"/>
    <mergeCell ref="C48:K48"/>
    <mergeCell ref="C49:K49"/>
    <mergeCell ref="C50:K50"/>
    <mergeCell ref="C51:K51"/>
    <mergeCell ref="C52:K52"/>
    <mergeCell ref="C53:K53"/>
    <mergeCell ref="C54:K54"/>
    <mergeCell ref="C55:K55"/>
    <mergeCell ref="C56:K56"/>
    <mergeCell ref="B59:J59"/>
    <mergeCell ref="B61:C61"/>
    <mergeCell ref="D61:E61"/>
    <mergeCell ref="F61:G61"/>
    <mergeCell ref="H61:I61"/>
    <mergeCell ref="J61:K61"/>
    <mergeCell ref="B62:C62"/>
    <mergeCell ref="D62:E62"/>
    <mergeCell ref="F62:G62"/>
    <mergeCell ref="H62:I62"/>
    <mergeCell ref="J62:K62"/>
    <mergeCell ref="B63:C63"/>
    <mergeCell ref="D63:E63"/>
    <mergeCell ref="F63:G63"/>
    <mergeCell ref="H63:I63"/>
    <mergeCell ref="J63:K63"/>
    <mergeCell ref="B64:C64"/>
    <mergeCell ref="D64:E64"/>
    <mergeCell ref="F64:G64"/>
    <mergeCell ref="H64:I64"/>
  </mergeCells>
  <conditionalFormatting sqref="B10:B58">
    <cfRule type="cellIs" dxfId="12" priority="1" operator="equal">
      <formula>"✓"</formula>
    </cfRule>
  </conditionalFormatting>
  <dataValidations count="1">
    <dataValidation type="list" allowBlank="1" showInputMessage="1" showErrorMessage="1" promptTitle="Tick it off" prompt="Pick ✓ from the dropdown (blank = not done yet)." sqref="B10:B58">
      <formula1>Tick</formula1>
    </dataValidation>
  </dataValidations>
  <hyperlinks>
    <hyperlink ref="I3" location="'📊 Dashboard'!A1" display="🏠  Back to Dashboard"/>
    <hyperlink ref="B61" location="'⚙️ Setup'!A1" display="Setup"/>
    <hyperlink ref="D61" location="'📊 Dashboard'!A1" display="🏠 Home"/>
    <hyperlink ref="F61" location="'👥 Clients'!A1" display="Clients"/>
    <hyperlink ref="H61" location="'📅 Events'!A1" display="Events"/>
    <hyperlink ref="J61" location="'🧮 Quote Calculator'!A1" display="Quote"/>
    <hyperlink ref="B62" location="'🍽️ Menu Costing'!A1" display="Menu"/>
    <hyperlink ref="D62" location="'📦 Inventory'!A1" display="Stock"/>
    <hyperlink ref="F62" location="'🛒 Shopping List'!A1" display="Shop"/>
    <hyperlink ref="H62" location="'💸 Expenses'!A1" display="Expenses"/>
    <hyperlink ref="J62" location="'💰 Payments'!A1" display="Payments"/>
    <hyperlink ref="B63" location="'👷 Staff &amp; Labor'!A1" display="Staff"/>
    <hyperlink ref="D63" location="'🍳 Equipment'!A1" display="Equip"/>
    <hyperlink ref="F63" location="'🚚 Suppliers'!A1" display="Suppliers"/>
    <hyperlink ref="H63" location="'📆 Event Calendar'!A1" display="Calendar"/>
    <hyperlink ref="J63" location="'📈 P&amp;L &amp; Reports'!A1" display="P&amp;L"/>
    <hyperlink ref="B64" location="'🧾 Tax Tracker'!A1" display="Tax"/>
    <hyperlink ref="D64" location="'✅ Checklists'!A1" display="▶ Checks"/>
    <hyperlink ref="F64" location="'🖨️ Invoice &amp; Proposal'!A1" display="Invoice"/>
    <hyperlink ref="H64" location="'📖 Start Here'!A1" display="Help"/>
  </hyperlinks>
  <pageMargins left="0.4" right="0.4" top="0.5" bottom="0.5" header="0.3" footer="0.3"/>
  <pageSetup paperSize="9" fitToHeight="0" orientation="portrait"/>
  <headerFooter>
    <oddHeader>&amp;L&amp;"Calibri,Bold"&amp;11Catering Business Manager&amp;R&amp;"Calibri,Italic"&amp;9Page &amp;P of &amp;N</oddHeader>
    <oddFooter>&amp;C&amp;"Calibri,Italic"&amp;8&amp;A  •  Ultimate Catering Business Spreadsheet v1.0  •  personal licence</oddFooter>
  </headerFooter>
</worksheet>
</file>

<file path=xl/worksheets/sheet19.xml><?xml version="1.0" encoding="utf-8"?>
<worksheet xmlns="http://schemas.openxmlformats.org/spreadsheetml/2006/main" xmlns:r="http://schemas.openxmlformats.org/officeDocument/2006/relationships">
  <sheetPr>
    <tabColor rgb="FFC4482F"/>
    <pageSetUpPr fitToPage="1"/>
  </sheetPr>
  <dimension ref="A1:H41"/>
  <sheetViews>
    <sheetView showGridLines="0" workbookViewId="0"/>
  </sheetViews>
  <sheetFormatPr defaultRowHeight="15"/>
  <cols>
    <col min="1" max="1" width="2.85546875" customWidth="1"/>
    <col min="2" max="2" width="26.7109375" customWidth="1"/>
    <col min="3" max="4" width="12.7109375" customWidth="1"/>
    <col min="5" max="5" width="30.7109375" customWidth="1"/>
    <col min="6" max="8" width="14.7109375" customWidth="1"/>
    <col min="9" max="9" width="3.7109375" customWidth="1"/>
  </cols>
  <sheetData>
    <row r="1" spans="2:8" ht="19" customHeight="1"/>
    <row r="2" spans="2:8" ht="34" customHeight="1">
      <c r="B2" s="31" t="str">
        <f>IF(BusinessName="","Your Catering Business",BusinessName)</f>
        <v>Your Catering Business</v>
      </c>
      <c r="C2" s="31"/>
      <c r="D2" s="31"/>
      <c r="E2" s="31"/>
      <c r="F2" s="32" t="s">
        <v>438</v>
      </c>
      <c r="G2" s="32"/>
      <c r="H2" s="32"/>
    </row>
    <row r="3" spans="2:8" ht="19" customHeight="1"/>
    <row r="4" spans="2:8" ht="19" customHeight="1">
      <c r="B4" s="8" t="s">
        <v>303</v>
      </c>
      <c r="C4" s="9"/>
      <c r="E4" s="105" t="s">
        <v>224</v>
      </c>
      <c r="F4" s="66">
        <v>46285</v>
      </c>
    </row>
    <row r="5" spans="2:8" ht="19" customHeight="1">
      <c r="B5" s="8" t="s">
        <v>240</v>
      </c>
      <c r="C5" s="66"/>
      <c r="E5" s="105" t="s">
        <v>439</v>
      </c>
      <c r="F5" s="66"/>
    </row>
    <row r="6" spans="2:8" ht="19" customHeight="1"/>
    <row r="7" spans="2:8" ht="19" customHeight="1">
      <c r="B7" s="15" t="s">
        <v>440</v>
      </c>
      <c r="C7" s="15"/>
      <c r="D7" s="15"/>
      <c r="F7" s="15" t="s">
        <v>441</v>
      </c>
      <c r="G7" s="15"/>
      <c r="H7" s="15"/>
    </row>
    <row r="8" spans="2:8" ht="19" customHeight="1">
      <c r="B8" s="9"/>
      <c r="C8" s="9"/>
      <c r="D8" s="9"/>
      <c r="F8" s="9"/>
      <c r="G8" s="9"/>
      <c r="H8" s="9"/>
    </row>
    <row r="9" spans="2:8" ht="19" customHeight="1">
      <c r="B9" s="9"/>
      <c r="C9" s="9"/>
      <c r="D9" s="9"/>
      <c r="F9" s="9"/>
      <c r="G9" s="9"/>
      <c r="H9" s="9"/>
    </row>
    <row r="10" spans="2:8" ht="19" customHeight="1">
      <c r="B10" s="9"/>
      <c r="C10" s="9"/>
      <c r="D10" s="9"/>
      <c r="F10" s="9"/>
      <c r="G10" s="9"/>
      <c r="H10" s="9"/>
    </row>
    <row r="11" spans="2:8" ht="22" customHeight="1">
      <c r="B11" s="2" t="s">
        <v>442</v>
      </c>
      <c r="C11" s="2"/>
      <c r="D11" s="2"/>
      <c r="E11" s="2"/>
      <c r="F11" s="2" t="s">
        <v>443</v>
      </c>
    </row>
    <row r="12" spans="2:8" ht="19" customHeight="1">
      <c r="B12" s="14"/>
      <c r="C12" s="85"/>
      <c r="D12" s="62"/>
      <c r="E12" s="14"/>
      <c r="F12" s="63">
        <f>IF(OR($C12="",$D12=""),"",ROUND($C12*$D12,2))</f>
        <v/>
      </c>
    </row>
    <row r="13" spans="2:8" ht="19" customHeight="1">
      <c r="B13" s="9"/>
      <c r="C13" s="87"/>
      <c r="D13" s="68"/>
      <c r="E13" s="9"/>
      <c r="F13" s="63">
        <f>IF(OR($C13="",$D13=""),"",ROUND($C13*$D13,2))</f>
        <v/>
      </c>
    </row>
    <row r="14" spans="2:8" ht="19" customHeight="1">
      <c r="B14" s="14"/>
      <c r="C14" s="85"/>
      <c r="D14" s="62"/>
      <c r="E14" s="14"/>
      <c r="F14" s="63">
        <f>IF(OR($C14="",$D14=""),"",ROUND($C14*$D14,2))</f>
        <v/>
      </c>
    </row>
    <row r="15" spans="2:8" ht="19" customHeight="1">
      <c r="B15" s="9"/>
      <c r="C15" s="87"/>
      <c r="D15" s="68"/>
      <c r="E15" s="9"/>
      <c r="F15" s="63">
        <f>IF(OR($C15="",$D15=""),"",ROUND($C15*$D15,2))</f>
        <v/>
      </c>
    </row>
    <row r="16" spans="2:8" ht="19" customHeight="1">
      <c r="B16" s="14"/>
      <c r="C16" s="85"/>
      <c r="D16" s="62"/>
      <c r="E16" s="14"/>
      <c r="F16" s="63">
        <f>IF(OR($C16="",$D16=""),"",ROUND($C16*$D16,2))</f>
        <v/>
      </c>
    </row>
    <row r="17" spans="2:8" ht="19" customHeight="1">
      <c r="B17" s="9"/>
      <c r="C17" s="87"/>
      <c r="D17" s="68"/>
      <c r="E17" s="9"/>
      <c r="F17" s="63">
        <f>IF(OR($C17="",$D17=""),"",ROUND($C17*$D17,2))</f>
        <v/>
      </c>
    </row>
    <row r="18" spans="2:8" ht="19" customHeight="1">
      <c r="B18" s="14"/>
      <c r="C18" s="85"/>
      <c r="D18" s="62"/>
      <c r="E18" s="14"/>
      <c r="F18" s="63">
        <f>IF(OR($C18="",$D18=""),"",ROUND($C18*$D18,2))</f>
        <v/>
      </c>
    </row>
    <row r="19" spans="2:8" ht="19" customHeight="1">
      <c r="B19" s="9"/>
      <c r="C19" s="87"/>
      <c r="D19" s="68"/>
      <c r="E19" s="9"/>
      <c r="F19" s="63">
        <f>IF(OR($C19="",$D19=""),"",ROUND($C19*$D19,2))</f>
        <v/>
      </c>
    </row>
    <row r="20" spans="2:8" ht="19" customHeight="1"/>
    <row r="21" spans="2:8" ht="19" customHeight="1">
      <c r="D21" s="106" t="s">
        <v>444</v>
      </c>
      <c r="E21" s="106"/>
      <c r="F21" s="107">
        <f>ROUND(SUM($F$12:$F$19),2)</f>
        <v/>
      </c>
    </row>
    <row r="22" spans="2:8" ht="19" customHeight="1">
      <c r="D22" s="106" t="s">
        <v>445</v>
      </c>
      <c r="E22" s="106"/>
      <c r="F22" s="68"/>
    </row>
    <row r="23" spans="2:8" ht="19" customHeight="1">
      <c r="D23" s="106" t="s">
        <v>446</v>
      </c>
      <c r="E23" s="106"/>
      <c r="F23" s="107">
        <f>ROUND($F$21-IF($F$22="",0,$F$22),2)</f>
        <v/>
      </c>
    </row>
    <row r="24" spans="2:8" ht="19" customHeight="1">
      <c r="D24" s="106" t="str">
        <f>"Tax ("&amp;TEXT(TaxRate,"0.0%")&amp;" - from Setup)"</f>
        <v>Tax (0.0% - from Setup)</v>
      </c>
      <c r="E24" s="106"/>
      <c r="F24" s="107">
        <f>ROUND($F$23*TaxRate,2)</f>
        <v/>
      </c>
    </row>
    <row r="25" spans="2:8" ht="19" customHeight="1">
      <c r="D25" s="108" t="s">
        <v>448</v>
      </c>
      <c r="E25" s="108"/>
      <c r="F25" s="97">
        <f>ROUND($F$23+$F$24,2)</f>
        <v/>
      </c>
    </row>
    <row r="26" spans="2:8" ht="19" customHeight="1">
      <c r="D26" s="106" t="str">
        <f>"Deposit to confirm ("&amp;TEXT(DepositPct,"0%")&amp;" - from Setup)"</f>
        <v>Deposit to confirm (40% - from Setup)</v>
      </c>
      <c r="E26" s="106"/>
      <c r="F26" s="107">
        <f>ROUND($F$25*DepositPct,2)</f>
        <v/>
      </c>
    </row>
    <row r="27" spans="2:8" ht="19" customHeight="1">
      <c r="D27" s="106" t="s">
        <v>253</v>
      </c>
      <c r="E27" s="106"/>
      <c r="F27" s="107">
        <f>ROUND($F$25-$F$26,2)</f>
        <v/>
      </c>
    </row>
    <row r="28" spans="2:8" ht="19" customHeight="1"/>
    <row r="29" spans="2:8" ht="19" customHeight="1">
      <c r="B29" s="15" t="s">
        <v>450</v>
      </c>
      <c r="C29" s="15"/>
      <c r="D29" s="15"/>
      <c r="E29" s="15"/>
      <c r="F29" s="15" t="s">
        <v>451</v>
      </c>
      <c r="G29" s="15"/>
      <c r="H29" s="15"/>
    </row>
    <row r="30" spans="2:8" ht="19" customHeight="1">
      <c r="B30" s="22" t="s">
        <v>452</v>
      </c>
      <c r="C30" s="22"/>
      <c r="D30" s="22"/>
      <c r="E30" s="22"/>
    </row>
    <row r="31" spans="2:8" ht="19" customHeight="1">
      <c r="B31" s="22"/>
      <c r="C31" s="22"/>
      <c r="D31" s="22"/>
      <c r="E31" s="22"/>
      <c r="F31" s="9"/>
      <c r="G31" s="9"/>
      <c r="H31" s="9"/>
    </row>
    <row r="32" spans="2:8" ht="19" customHeight="1">
      <c r="B32" s="22"/>
      <c r="C32" s="22"/>
      <c r="D32" s="22"/>
      <c r="E32" s="22"/>
      <c r="F32" s="49" t="s">
        <v>453</v>
      </c>
      <c r="H32" s="49" t="s">
        <v>454</v>
      </c>
    </row>
    <row r="33" spans="1:8" ht="19" customHeight="1">
      <c r="B33" s="22"/>
      <c r="C33" s="22"/>
      <c r="D33" s="22"/>
      <c r="E33" s="22"/>
      <c r="F33" s="9"/>
      <c r="G33" s="9"/>
      <c r="H33" s="9"/>
    </row>
    <row r="34" spans="1:8" ht="19" customHeight="1">
      <c r="F34" s="49" t="s">
        <v>224</v>
      </c>
      <c r="H34" s="49" t="s">
        <v>454</v>
      </c>
    </row>
    <row r="35" spans="1:8" ht="19" customHeight="1"/>
    <row r="36" spans="1:8" ht="6" customHeight="1">
      <c r="A36" s="4"/>
      <c r="B36" s="4"/>
      <c r="C36" s="4"/>
      <c r="D36" s="4"/>
      <c r="E36" s="4"/>
      <c r="F36" s="4"/>
      <c r="G36" s="4"/>
      <c r="H36" s="4"/>
    </row>
    <row r="37" spans="1:8" ht="22" customHeight="1">
      <c r="B37" s="49" t="s">
        <v>455</v>
      </c>
      <c r="C37" s="49"/>
      <c r="D37" s="49"/>
      <c r="E37" s="49"/>
      <c r="F37" s="49"/>
      <c r="G37" s="49"/>
      <c r="H37" s="49"/>
    </row>
    <row r="39" spans="1:8">
      <c r="B39" s="23" t="s">
        <v>202</v>
      </c>
      <c r="C39" s="24" t="s">
        <v>164</v>
      </c>
      <c r="D39" s="25" t="s">
        <v>165</v>
      </c>
      <c r="E39" s="26" t="s">
        <v>17</v>
      </c>
      <c r="F39" s="27" t="s">
        <v>166</v>
      </c>
      <c r="G39" s="28" t="s">
        <v>167</v>
      </c>
      <c r="H39" s="29" t="s">
        <v>168</v>
      </c>
    </row>
    <row r="40" spans="1:8" ht="24" customHeight="1">
      <c r="B40" s="30" t="s">
        <v>169</v>
      </c>
      <c r="C40" s="24" t="s">
        <v>170</v>
      </c>
      <c r="D40" s="26" t="s">
        <v>171</v>
      </c>
      <c r="E40" s="23" t="s">
        <v>172</v>
      </c>
      <c r="F40" s="24" t="s">
        <v>173</v>
      </c>
      <c r="G40" s="25" t="s">
        <v>174</v>
      </c>
      <c r="H40" s="26" t="s">
        <v>175</v>
      </c>
    </row>
    <row r="41" spans="1:8" ht="24" customHeight="1">
      <c r="B41" s="27" t="s">
        <v>176</v>
      </c>
      <c r="C41" s="28" t="s">
        <v>177</v>
      </c>
      <c r="D41" s="29" t="s">
        <v>178</v>
      </c>
      <c r="E41" s="30" t="s">
        <v>456</v>
      </c>
      <c r="F41" s="24" t="s">
        <v>180</v>
      </c>
    </row>
  </sheetData>
  <mergeCells count="24">
    <mergeCell ref="B2:E2"/>
    <mergeCell ref="F2:H2"/>
    <mergeCell ref="B7:D7"/>
    <mergeCell ref="F7:H7"/>
    <mergeCell ref="B8:D8"/>
    <mergeCell ref="F8:H8"/>
    <mergeCell ref="B9:D9"/>
    <mergeCell ref="F9:H9"/>
    <mergeCell ref="B10:D10"/>
    <mergeCell ref="F10:H10"/>
    <mergeCell ref="B11:E11"/>
    <mergeCell ref="D21:E21"/>
    <mergeCell ref="D22:E22"/>
    <mergeCell ref="D23:E23"/>
    <mergeCell ref="D24:E24"/>
    <mergeCell ref="D25:E25"/>
    <mergeCell ref="D26:E26"/>
    <mergeCell ref="D27:E27"/>
    <mergeCell ref="B29:E29"/>
    <mergeCell ref="F29:H29"/>
    <mergeCell ref="B30:E33"/>
    <mergeCell ref="F31:G31"/>
    <mergeCell ref="F33:G33"/>
    <mergeCell ref="B37:H37"/>
  </mergeCells>
  <dataValidations count="3">
    <dataValidation type="list" allowBlank="1" showInputMessage="1" showErrorMessage="1" promptTitle="Client" prompt="Pick a client from the Clients tab (or type the details)." sqref="B8">
      <formula1>ClientsList</formula1>
    </dataValidation>
    <dataValidation type="decimal" errorStyle="warning" allowBlank="1" showInputMessage="1" showErrorMessage="1" errorTitle="Quantity" error="Enter a positive number." sqref="C12:C19">
      <formula1>0</formula1>
      <formula2>1000000</formula2>
    </dataValidation>
    <dataValidation type="decimal" errorStyle="warning" allowBlank="1" showInputMessage="1" showErrorMessage="1" errorTitle="Unit price" error="Enter a positive number - no currency symbol." sqref="D12:D19">
      <formula1>0</formula1>
      <formula2>1000000</formula2>
    </dataValidation>
  </dataValidations>
  <hyperlinks>
    <hyperlink ref="B39" location="'⚙️ Setup'!A1" display="Setup"/>
    <hyperlink ref="C39" location="'📊 Dashboard'!A1" display="🏠 Home"/>
    <hyperlink ref="D39" location="'👥 Clients'!A1" display="Clients"/>
    <hyperlink ref="E39" location="'📅 Events'!A1" display="Events"/>
    <hyperlink ref="F39" location="'🧮 Quote Calculator'!A1" display="Quote"/>
    <hyperlink ref="G39" location="'🍽️ Menu Costing'!A1" display="Menu"/>
    <hyperlink ref="H39" location="'📦 Inventory'!A1" display="Stock"/>
    <hyperlink ref="B40" location="'🛒 Shopping List'!A1" display="Shop"/>
    <hyperlink ref="C40" location="'💸 Expenses'!A1" display="Expenses"/>
    <hyperlink ref="D40" location="'💰 Payments'!A1" display="Payments"/>
    <hyperlink ref="E40" location="'👷 Staff &amp; Labor'!A1" display="Staff"/>
    <hyperlink ref="F40" location="'🍳 Equipment'!A1" display="Equip"/>
    <hyperlink ref="G40" location="'🚚 Suppliers'!A1" display="Suppliers"/>
    <hyperlink ref="H40" location="'📆 Event Calendar'!A1" display="Calendar"/>
    <hyperlink ref="B41" location="'📈 P&amp;L &amp; Reports'!A1" display="P&amp;L"/>
    <hyperlink ref="C41" location="'🧾 Tax Tracker'!A1" display="Tax"/>
    <hyperlink ref="D41" location="'✅ Checklists'!A1" display="Checks"/>
    <hyperlink ref="E41" location="'🖨️ Invoice &amp; Proposal'!A1" display="▶ Invoice"/>
    <hyperlink ref="F41" location="'📖 Start Here'!A1" display="Help"/>
  </hyperlinks>
  <pageMargins left="0.4" right="0.4" top="0.5" bottom="0.5" header="0.3" footer="0.3"/>
  <pageSetup paperSize="9" fitToHeight="0" orientation="portrait"/>
  <headerFooter>
    <oddHeader>&amp;L&amp;"Calibri,Bold"&amp;11Catering Business Manager&amp;R&amp;"Calibri,Italic"&amp;9Page &amp;P of &amp;N</oddHeader>
    <oddFooter>&amp;C&amp;"Calibri,Italic"&amp;8&amp;A  •  Ultimate Catering Business Spreadsheet v1.0  •  personal licence</oddFooter>
  </headerFooter>
</worksheet>
</file>

<file path=xl/worksheets/sheet20.xml><?xml version="1.0" encoding="utf-8"?>
<worksheet xmlns="http://schemas.openxmlformats.org/spreadsheetml/2006/main" xmlns:r="http://schemas.openxmlformats.org/officeDocument/2006/relationships">
  <sheetPr>
    <tabColor rgb="FF7C8A82"/>
    <pageSetUpPr fitToPage="1"/>
  </sheetPr>
  <dimension ref="A1:H96"/>
  <sheetViews>
    <sheetView showGridLines="0" workbookViewId="0"/>
  </sheetViews>
  <sheetFormatPr defaultRowHeight="15"/>
  <cols>
    <col min="1" max="1" width="2.85546875" customWidth="1"/>
    <col min="2" max="3" width="15.7109375" customWidth="1"/>
    <col min="4" max="8" width="14.7109375" customWidth="1"/>
    <col min="9" max="9" width="3.7109375" customWidth="1"/>
  </cols>
  <sheetData>
    <row r="1" spans="2:8" ht="26" customHeight="1"/>
    <row r="2" spans="2:8" ht="26" customHeight="1"/>
    <row r="3" spans="2:8" ht="26" customHeight="1"/>
    <row r="4" spans="2:8" ht="26" customHeight="1"/>
    <row r="5" spans="2:8" ht="26" customHeight="1">
      <c r="B5" s="109" t="s">
        <v>457</v>
      </c>
      <c r="C5" s="109"/>
      <c r="D5" s="109"/>
      <c r="E5" s="109"/>
      <c r="F5" s="109"/>
      <c r="G5" s="109"/>
      <c r="H5" s="109"/>
    </row>
    <row r="6" spans="2:8" ht="26" customHeight="1">
      <c r="B6" s="109"/>
      <c r="C6" s="109"/>
      <c r="D6" s="109"/>
      <c r="E6" s="109"/>
      <c r="F6" s="109"/>
      <c r="G6" s="109"/>
      <c r="H6" s="109"/>
    </row>
    <row r="7" spans="2:8" ht="26" customHeight="1">
      <c r="B7" s="109"/>
      <c r="C7" s="109"/>
      <c r="D7" s="109"/>
      <c r="E7" s="109"/>
      <c r="F7" s="109"/>
      <c r="G7" s="109"/>
      <c r="H7" s="109"/>
    </row>
    <row r="8" spans="2:8" ht="26" customHeight="1">
      <c r="B8" s="110" t="s">
        <v>458</v>
      </c>
      <c r="C8" s="110"/>
      <c r="D8" s="110"/>
      <c r="E8" s="110"/>
      <c r="F8" s="110"/>
      <c r="G8" s="110"/>
      <c r="H8" s="110"/>
    </row>
    <row r="9" spans="2:8" ht="26" customHeight="1">
      <c r="B9" s="110"/>
      <c r="C9" s="110"/>
      <c r="D9" s="110"/>
      <c r="E9" s="110"/>
      <c r="F9" s="110"/>
      <c r="G9" s="110"/>
      <c r="H9" s="110"/>
    </row>
    <row r="10" spans="2:8" ht="26" customHeight="1"/>
    <row r="11" spans="2:8" ht="26" customHeight="1">
      <c r="B11" s="111" t="s">
        <v>459</v>
      </c>
      <c r="C11" s="111"/>
      <c r="D11" s="111"/>
      <c r="E11" s="111"/>
      <c r="F11" s="111"/>
    </row>
    <row r="12" spans="2:8" ht="26" customHeight="1">
      <c r="B12" s="111"/>
      <c r="C12" s="111"/>
      <c r="D12" s="111"/>
      <c r="E12" s="111"/>
      <c r="F12" s="111"/>
    </row>
    <row r="13" spans="2:8" ht="26" customHeight="1"/>
    <row r="14" spans="2:8" ht="26" customHeight="1"/>
    <row r="15" spans="2:8" ht="26" customHeight="1"/>
    <row r="16" spans="2:8" ht="19" customHeight="1"/>
    <row r="17" spans="2:8" ht="19" customHeight="1">
      <c r="B17" s="7" t="s">
        <v>460</v>
      </c>
      <c r="C17" s="7"/>
      <c r="D17" s="7"/>
      <c r="E17" s="7"/>
      <c r="F17" s="7"/>
      <c r="G17" s="7"/>
      <c r="H17" s="7"/>
    </row>
    <row r="18" spans="2:8" ht="51.8" customHeight="1">
      <c r="B18" s="112" t="s">
        <v>461</v>
      </c>
      <c r="C18" s="112"/>
      <c r="D18" s="112"/>
      <c r="E18" s="112"/>
      <c r="F18" s="112"/>
      <c r="G18" s="112"/>
      <c r="H18" s="112"/>
    </row>
    <row r="19" spans="2:8" ht="19" customHeight="1"/>
    <row r="20" spans="2:8" ht="19" customHeight="1">
      <c r="B20" s="7" t="s">
        <v>462</v>
      </c>
      <c r="C20" s="7"/>
      <c r="D20" s="7"/>
      <c r="E20" s="7"/>
      <c r="F20" s="7"/>
      <c r="G20" s="7"/>
      <c r="H20" s="7"/>
    </row>
    <row r="21" spans="2:8" ht="37.2" customHeight="1">
      <c r="B21" s="113" t="s">
        <v>463</v>
      </c>
      <c r="C21" s="112" t="s">
        <v>464</v>
      </c>
      <c r="D21" s="112"/>
      <c r="E21" s="112"/>
      <c r="F21" s="112"/>
      <c r="G21" s="112"/>
      <c r="H21" s="112"/>
    </row>
    <row r="22" spans="2:8" ht="19" customHeight="1">
      <c r="B22" s="113"/>
    </row>
    <row r="23" spans="2:8" ht="37.2" customHeight="1">
      <c r="B23" s="113" t="s">
        <v>465</v>
      </c>
      <c r="C23" s="112" t="s">
        <v>466</v>
      </c>
      <c r="D23" s="112"/>
      <c r="E23" s="112"/>
      <c r="F23" s="112"/>
      <c r="G23" s="112"/>
      <c r="H23" s="112"/>
    </row>
    <row r="24" spans="2:8" ht="19" customHeight="1">
      <c r="B24" s="113"/>
    </row>
    <row r="25" spans="2:8" ht="37.2" customHeight="1">
      <c r="B25" s="113" t="s">
        <v>467</v>
      </c>
      <c r="C25" s="112" t="s">
        <v>468</v>
      </c>
      <c r="D25" s="112"/>
      <c r="E25" s="112"/>
      <c r="F25" s="112"/>
      <c r="G25" s="112"/>
      <c r="H25" s="112"/>
    </row>
    <row r="26" spans="2:8" ht="19" customHeight="1">
      <c r="B26" s="113"/>
    </row>
    <row r="27" spans="2:8" ht="19" customHeight="1"/>
    <row r="28" spans="2:8" ht="19" customHeight="1">
      <c r="B28" s="7" t="s">
        <v>469</v>
      </c>
      <c r="C28" s="7"/>
      <c r="D28" s="7"/>
      <c r="E28" s="7"/>
      <c r="F28" s="7"/>
      <c r="G28" s="7"/>
      <c r="H28" s="7"/>
    </row>
    <row r="29" spans="2:8" ht="37.2" customHeight="1">
      <c r="B29" s="114" t="s">
        <v>470</v>
      </c>
      <c r="C29" s="114"/>
      <c r="D29" s="115" t="s">
        <v>471</v>
      </c>
      <c r="E29" s="115"/>
      <c r="F29" s="115"/>
      <c r="G29" s="115"/>
      <c r="H29" s="115"/>
    </row>
    <row r="30" spans="2:8" ht="37.2" customHeight="1">
      <c r="B30" s="116" t="s">
        <v>472</v>
      </c>
      <c r="C30" s="116"/>
      <c r="D30" s="115" t="s">
        <v>473</v>
      </c>
      <c r="E30" s="115"/>
      <c r="F30" s="115"/>
      <c r="G30" s="115"/>
      <c r="H30" s="115"/>
    </row>
    <row r="31" spans="2:8" ht="22.6" customHeight="1">
      <c r="B31" s="117" t="s">
        <v>474</v>
      </c>
      <c r="C31" s="117"/>
      <c r="D31" s="115" t="s">
        <v>475</v>
      </c>
      <c r="E31" s="115"/>
      <c r="F31" s="115"/>
      <c r="G31" s="115"/>
      <c r="H31" s="115"/>
    </row>
    <row r="32" spans="2:8" ht="37.2" customHeight="1">
      <c r="B32" s="118" t="s">
        <v>476</v>
      </c>
      <c r="C32" s="118"/>
      <c r="D32" s="115" t="s">
        <v>477</v>
      </c>
      <c r="E32" s="115"/>
      <c r="F32" s="115"/>
      <c r="G32" s="115"/>
      <c r="H32" s="115"/>
    </row>
    <row r="33" spans="2:8" ht="37.2" customHeight="1">
      <c r="B33" s="119" t="s">
        <v>478</v>
      </c>
      <c r="C33" s="119"/>
      <c r="D33" s="115" t="s">
        <v>479</v>
      </c>
      <c r="E33" s="115"/>
      <c r="F33" s="115"/>
      <c r="G33" s="115"/>
      <c r="H33" s="115"/>
    </row>
    <row r="34" spans="2:8" ht="22.6" customHeight="1">
      <c r="B34" s="120" t="s">
        <v>480</v>
      </c>
      <c r="C34" s="120"/>
      <c r="D34" s="115" t="s">
        <v>481</v>
      </c>
      <c r="E34" s="115"/>
      <c r="F34" s="115"/>
      <c r="G34" s="115"/>
      <c r="H34" s="115"/>
    </row>
    <row r="35" spans="2:8" ht="22.6" customHeight="1">
      <c r="B35" s="121" t="s">
        <v>482</v>
      </c>
      <c r="C35" s="121"/>
      <c r="D35" s="115" t="s">
        <v>483</v>
      </c>
      <c r="E35" s="115"/>
      <c r="F35" s="115"/>
      <c r="G35" s="115"/>
      <c r="H35" s="115"/>
    </row>
    <row r="36" spans="2:8" ht="22.6" customHeight="1">
      <c r="B36" s="122" t="s">
        <v>484</v>
      </c>
      <c r="C36" s="122"/>
      <c r="D36" s="115" t="s">
        <v>485</v>
      </c>
      <c r="E36" s="115"/>
      <c r="F36" s="115"/>
      <c r="G36" s="115"/>
      <c r="H36" s="115"/>
    </row>
    <row r="37" spans="2:8" ht="37.2" customHeight="1">
      <c r="B37" s="120" t="s">
        <v>486</v>
      </c>
      <c r="C37" s="120"/>
      <c r="D37" s="115" t="s">
        <v>487</v>
      </c>
      <c r="E37" s="115"/>
      <c r="F37" s="115"/>
      <c r="G37" s="115"/>
      <c r="H37" s="115"/>
    </row>
    <row r="38" spans="2:8" ht="22.6" customHeight="1">
      <c r="B38" s="121" t="s">
        <v>488</v>
      </c>
      <c r="C38" s="121"/>
      <c r="D38" s="115" t="s">
        <v>489</v>
      </c>
      <c r="E38" s="115"/>
      <c r="F38" s="115"/>
      <c r="G38" s="115"/>
      <c r="H38" s="115"/>
    </row>
    <row r="39" spans="2:8" ht="22.6" customHeight="1">
      <c r="B39" s="123" t="s">
        <v>490</v>
      </c>
      <c r="C39" s="123"/>
      <c r="D39" s="115" t="s">
        <v>491</v>
      </c>
      <c r="E39" s="115"/>
      <c r="F39" s="115"/>
      <c r="G39" s="115"/>
      <c r="H39" s="115"/>
    </row>
    <row r="40" spans="2:8" ht="22.6" customHeight="1">
      <c r="B40" s="119" t="s">
        <v>492</v>
      </c>
      <c r="C40" s="119"/>
      <c r="D40" s="115" t="s">
        <v>493</v>
      </c>
      <c r="E40" s="115"/>
      <c r="F40" s="115"/>
      <c r="G40" s="115"/>
      <c r="H40" s="115"/>
    </row>
    <row r="41" spans="2:8" ht="22.6" customHeight="1">
      <c r="B41" s="124" t="s">
        <v>494</v>
      </c>
      <c r="C41" s="124"/>
      <c r="D41" s="115" t="s">
        <v>495</v>
      </c>
      <c r="E41" s="115"/>
      <c r="F41" s="115"/>
      <c r="G41" s="115"/>
      <c r="H41" s="115"/>
    </row>
    <row r="42" spans="2:8" ht="37.2" customHeight="1">
      <c r="B42" s="118" t="s">
        <v>496</v>
      </c>
      <c r="C42" s="118"/>
      <c r="D42" s="115" t="s">
        <v>497</v>
      </c>
      <c r="E42" s="115"/>
      <c r="F42" s="115"/>
      <c r="G42" s="115"/>
      <c r="H42" s="115"/>
    </row>
    <row r="43" spans="2:8" ht="22.6" customHeight="1">
      <c r="B43" s="114" t="s">
        <v>498</v>
      </c>
      <c r="C43" s="114"/>
      <c r="D43" s="115" t="s">
        <v>499</v>
      </c>
      <c r="E43" s="115"/>
      <c r="F43" s="115"/>
      <c r="G43" s="115"/>
      <c r="H43" s="115"/>
    </row>
    <row r="44" spans="2:8" ht="22.6" customHeight="1">
      <c r="B44" s="123" t="s">
        <v>500</v>
      </c>
      <c r="C44" s="123"/>
      <c r="D44" s="115" t="s">
        <v>501</v>
      </c>
      <c r="E44" s="115"/>
      <c r="F44" s="115"/>
      <c r="G44" s="115"/>
      <c r="H44" s="115"/>
    </row>
    <row r="45" spans="2:8" ht="37.2" customHeight="1">
      <c r="B45" s="121" t="s">
        <v>502</v>
      </c>
      <c r="C45" s="121"/>
      <c r="D45" s="115" t="s">
        <v>503</v>
      </c>
      <c r="E45" s="115"/>
      <c r="F45" s="115"/>
      <c r="G45" s="115"/>
      <c r="H45" s="115"/>
    </row>
    <row r="46" spans="2:8" ht="22.6" customHeight="1">
      <c r="B46" s="117" t="s">
        <v>504</v>
      </c>
      <c r="C46" s="117"/>
      <c r="D46" s="115" t="s">
        <v>505</v>
      </c>
      <c r="E46" s="115"/>
      <c r="F46" s="115"/>
      <c r="G46" s="115"/>
      <c r="H46" s="115"/>
    </row>
    <row r="47" spans="2:8" ht="22.6" customHeight="1">
      <c r="B47" s="125" t="s">
        <v>506</v>
      </c>
      <c r="C47" s="125"/>
      <c r="D47" s="115" t="s">
        <v>507</v>
      </c>
      <c r="E47" s="115"/>
      <c r="F47" s="115"/>
      <c r="G47" s="115"/>
      <c r="H47" s="115"/>
    </row>
    <row r="48" spans="2:8" ht="19" customHeight="1"/>
    <row r="49" spans="1:8" ht="19" customHeight="1">
      <c r="B49" s="7" t="s">
        <v>508</v>
      </c>
      <c r="C49" s="7"/>
      <c r="D49" s="7"/>
      <c r="E49" s="7"/>
      <c r="F49" s="7"/>
      <c r="G49" s="7"/>
      <c r="H49" s="7"/>
    </row>
    <row r="50" spans="1:8" ht="37.2" customHeight="1">
      <c r="B50" s="126"/>
      <c r="C50" s="112" t="s">
        <v>509</v>
      </c>
      <c r="D50" s="112"/>
      <c r="E50" s="112"/>
      <c r="F50" s="112"/>
      <c r="G50" s="112"/>
      <c r="H50" s="112"/>
    </row>
    <row r="51" spans="1:8" ht="51.8" customHeight="1">
      <c r="B51" s="126"/>
      <c r="C51" s="112" t="s">
        <v>510</v>
      </c>
      <c r="D51" s="112"/>
      <c r="E51" s="112"/>
      <c r="F51" s="112"/>
      <c r="G51" s="112"/>
      <c r="H51" s="112"/>
    </row>
    <row r="52" spans="1:8" ht="37.2" customHeight="1">
      <c r="B52" s="126"/>
      <c r="C52" s="112" t="s">
        <v>511</v>
      </c>
      <c r="D52" s="112"/>
      <c r="E52" s="112"/>
      <c r="F52" s="112"/>
      <c r="G52" s="112"/>
      <c r="H52" s="112"/>
    </row>
    <row r="53" spans="1:8" ht="37.2" customHeight="1">
      <c r="B53" s="126"/>
      <c r="C53" s="112" t="s">
        <v>512</v>
      </c>
      <c r="D53" s="112"/>
      <c r="E53" s="112"/>
      <c r="F53" s="112"/>
      <c r="G53" s="112"/>
      <c r="H53" s="112"/>
    </row>
    <row r="54" spans="1:8" ht="37.2" customHeight="1">
      <c r="B54" s="126"/>
      <c r="C54" s="112" t="s">
        <v>513</v>
      </c>
      <c r="D54" s="112"/>
      <c r="E54" s="112"/>
      <c r="F54" s="112"/>
      <c r="G54" s="112"/>
      <c r="H54" s="112"/>
    </row>
    <row r="55" spans="1:8" ht="37.2" customHeight="1">
      <c r="B55" s="126"/>
      <c r="C55" s="112" t="s">
        <v>514</v>
      </c>
      <c r="D55" s="112"/>
      <c r="E55" s="112"/>
      <c r="F55" s="112"/>
      <c r="G55" s="112"/>
      <c r="H55" s="112"/>
    </row>
    <row r="56" spans="1:8" ht="19" customHeight="1"/>
    <row r="57" spans="1:8" ht="19" customHeight="1">
      <c r="B57" s="7" t="s">
        <v>515</v>
      </c>
      <c r="C57" s="7"/>
      <c r="D57" s="7"/>
      <c r="E57" s="7"/>
      <c r="F57" s="7"/>
      <c r="G57" s="7"/>
      <c r="H57" s="7"/>
    </row>
    <row r="58" spans="1:8" ht="51.8" customHeight="1">
      <c r="B58" s="112" t="s">
        <v>516</v>
      </c>
      <c r="C58" s="112"/>
      <c r="D58" s="112"/>
      <c r="E58" s="112"/>
      <c r="F58" s="112"/>
      <c r="G58" s="112"/>
      <c r="H58" s="112"/>
    </row>
    <row r="59" spans="1:8" ht="19" customHeight="1"/>
    <row r="60" spans="1:8" ht="8" customHeight="1">
      <c r="A60" s="4"/>
      <c r="B60" s="4"/>
      <c r="C60" s="4"/>
      <c r="D60" s="4"/>
      <c r="E60" s="4"/>
      <c r="F60" s="4"/>
      <c r="G60" s="4"/>
      <c r="H60" s="4"/>
    </row>
    <row r="61" spans="1:8" ht="19" customHeight="1"/>
    <row r="62" spans="1:8" ht="19" customHeight="1">
      <c r="B62" s="23" t="s">
        <v>202</v>
      </c>
      <c r="C62" s="23"/>
      <c r="D62" s="24" t="s">
        <v>164</v>
      </c>
      <c r="E62" s="24"/>
      <c r="F62" s="25" t="s">
        <v>165</v>
      </c>
      <c r="G62" s="25"/>
    </row>
    <row r="63" spans="1:8" ht="24" customHeight="1">
      <c r="B63" s="26" t="s">
        <v>17</v>
      </c>
      <c r="C63" s="26"/>
      <c r="D63" s="27" t="s">
        <v>166</v>
      </c>
      <c r="E63" s="27"/>
      <c r="F63" s="28" t="s">
        <v>167</v>
      </c>
      <c r="G63" s="28"/>
    </row>
    <row r="64" spans="1:8" ht="24" customHeight="1">
      <c r="B64" s="29" t="s">
        <v>168</v>
      </c>
      <c r="C64" s="29"/>
      <c r="D64" s="30" t="s">
        <v>169</v>
      </c>
      <c r="E64" s="30"/>
      <c r="F64" s="24" t="s">
        <v>170</v>
      </c>
      <c r="G64" s="24"/>
    </row>
    <row r="65" spans="2:7" ht="24" customHeight="1">
      <c r="B65" s="26" t="s">
        <v>171</v>
      </c>
      <c r="C65" s="26"/>
      <c r="D65" s="23" t="s">
        <v>172</v>
      </c>
      <c r="E65" s="23"/>
      <c r="F65" s="24" t="s">
        <v>173</v>
      </c>
      <c r="G65" s="24"/>
    </row>
    <row r="66" spans="2:7" ht="24" customHeight="1">
      <c r="B66" s="25" t="s">
        <v>174</v>
      </c>
      <c r="C66" s="25"/>
      <c r="D66" s="26" t="s">
        <v>175</v>
      </c>
      <c r="E66" s="26"/>
      <c r="F66" s="27" t="s">
        <v>176</v>
      </c>
      <c r="G66" s="27"/>
    </row>
    <row r="67" spans="2:7" ht="24" customHeight="1">
      <c r="B67" s="28" t="s">
        <v>177</v>
      </c>
      <c r="C67" s="28"/>
      <c r="D67" s="29" t="s">
        <v>178</v>
      </c>
      <c r="E67" s="29"/>
      <c r="F67" s="30" t="s">
        <v>179</v>
      </c>
      <c r="G67" s="30"/>
    </row>
    <row r="68" spans="2:7" ht="24" customHeight="1">
      <c r="B68" s="24" t="s">
        <v>517</v>
      </c>
      <c r="C68" s="24"/>
    </row>
    <row r="69" spans="2:7" ht="19" customHeight="1"/>
    <row r="70" spans="2:7" ht="19" customHeight="1"/>
    <row r="71" spans="2:7" ht="19" customHeight="1"/>
    <row r="72" spans="2:7" ht="19" customHeight="1"/>
    <row r="73" spans="2:7" ht="19" customHeight="1"/>
    <row r="74" spans="2:7" ht="19" customHeight="1"/>
    <row r="75" spans="2:7" ht="19" customHeight="1"/>
    <row r="76" spans="2:7" ht="19" customHeight="1"/>
    <row r="77" spans="2:7" ht="19" customHeight="1"/>
    <row r="78" spans="2:7" ht="19" customHeight="1"/>
    <row r="79" spans="2:7" ht="19" customHeight="1"/>
    <row r="80" spans="2:7" ht="19" customHeight="1"/>
    <row r="81" ht="19" customHeight="1"/>
    <row r="82" ht="19" customHeight="1"/>
    <row r="83" ht="19" customHeight="1"/>
    <row r="84" ht="19" customHeight="1"/>
    <row r="85" ht="19" customHeight="1"/>
    <row r="86" ht="19" customHeight="1"/>
    <row r="87" ht="19" customHeight="1"/>
    <row r="88" ht="19" customHeight="1"/>
    <row r="89" ht="19" customHeight="1"/>
    <row r="90" ht="19" customHeight="1"/>
    <row r="91" ht="19" customHeight="1"/>
    <row r="92" ht="19" customHeight="1"/>
    <row r="93" ht="19" customHeight="1"/>
    <row r="94" ht="19" customHeight="1"/>
    <row r="95" ht="19" customHeight="1"/>
    <row r="96" ht="19" customHeight="1"/>
  </sheetData>
  <mergeCells count="79">
    <mergeCell ref="B5:H7"/>
    <mergeCell ref="B8:H9"/>
    <mergeCell ref="B11:F12"/>
    <mergeCell ref="B17:H17"/>
    <mergeCell ref="B18:H18"/>
    <mergeCell ref="B20:H20"/>
    <mergeCell ref="B21:B22"/>
    <mergeCell ref="C21:H21"/>
    <mergeCell ref="B23:B24"/>
    <mergeCell ref="C23:H23"/>
    <mergeCell ref="B25:B26"/>
    <mergeCell ref="C25:H25"/>
    <mergeCell ref="B28:H28"/>
    <mergeCell ref="B29:C29"/>
    <mergeCell ref="D29:H29"/>
    <mergeCell ref="B30:C30"/>
    <mergeCell ref="D30:H30"/>
    <mergeCell ref="B31:C31"/>
    <mergeCell ref="D31:H31"/>
    <mergeCell ref="B32:C32"/>
    <mergeCell ref="D32:H32"/>
    <mergeCell ref="B33:C33"/>
    <mergeCell ref="D33:H33"/>
    <mergeCell ref="B34:C34"/>
    <mergeCell ref="D34:H34"/>
    <mergeCell ref="B35:C35"/>
    <mergeCell ref="D35:H35"/>
    <mergeCell ref="B36:C36"/>
    <mergeCell ref="D36:H36"/>
    <mergeCell ref="B37:C37"/>
    <mergeCell ref="D37:H37"/>
    <mergeCell ref="B38:C38"/>
    <mergeCell ref="D38:H38"/>
    <mergeCell ref="B39:C39"/>
    <mergeCell ref="D39:H39"/>
    <mergeCell ref="B40:C40"/>
    <mergeCell ref="D40:H40"/>
    <mergeCell ref="B41:C41"/>
    <mergeCell ref="D41:H41"/>
    <mergeCell ref="B42:C42"/>
    <mergeCell ref="D42:H42"/>
    <mergeCell ref="B43:C43"/>
    <mergeCell ref="D43:H43"/>
    <mergeCell ref="B44:C44"/>
    <mergeCell ref="D44:H44"/>
    <mergeCell ref="B45:C45"/>
    <mergeCell ref="D45:H45"/>
    <mergeCell ref="B46:C46"/>
    <mergeCell ref="D46:H46"/>
    <mergeCell ref="B47:C47"/>
    <mergeCell ref="D47:H47"/>
    <mergeCell ref="B49:H49"/>
    <mergeCell ref="C50:H50"/>
    <mergeCell ref="C51:H51"/>
    <mergeCell ref="C52:H52"/>
    <mergeCell ref="C53:H53"/>
    <mergeCell ref="C54:H54"/>
    <mergeCell ref="C55:H55"/>
    <mergeCell ref="B57:H57"/>
    <mergeCell ref="B58:H58"/>
    <mergeCell ref="B62:C62"/>
    <mergeCell ref="D62:E62"/>
    <mergeCell ref="F62:G62"/>
    <mergeCell ref="B63:C63"/>
    <mergeCell ref="D63:E63"/>
    <mergeCell ref="F63:G63"/>
    <mergeCell ref="B64:C64"/>
    <mergeCell ref="D64:E64"/>
    <mergeCell ref="F64:G64"/>
    <mergeCell ref="B65:C65"/>
    <mergeCell ref="D65:E65"/>
    <mergeCell ref="F65:G65"/>
    <mergeCell ref="B66:C66"/>
    <mergeCell ref="D66:E66"/>
    <mergeCell ref="F66:G66"/>
    <mergeCell ref="B67:C67"/>
    <mergeCell ref="D67:E67"/>
    <mergeCell ref="F67:G67"/>
    <mergeCell ref="B68:C68"/>
  </mergeCells>
  <hyperlinks>
    <hyperlink ref="B29" location="'📊 Dashboard'!A1" display="📊 Dashboard"/>
    <hyperlink ref="B30" location="'⚙️ Setup'!A1" display="⚙️ Setup"/>
    <hyperlink ref="B31" location="'👥 Clients'!A1" display="👥 Clients"/>
    <hyperlink ref="B32" location="'📅 Events'!A1" display="📅 Events"/>
    <hyperlink ref="B33" location="'🧮 Quote Calculator'!A1" display="🧮 Quote Calculator"/>
    <hyperlink ref="B34" location="'🍽️ Menu Costing'!A1" display="🍽️ Menu Costing"/>
    <hyperlink ref="B35" location="'📦 Inventory'!A1" display="📦 Inventory"/>
    <hyperlink ref="B36" location="'🛒 Shopping List'!A1" display="🛒 Shopping List"/>
    <hyperlink ref="B37" location="'💸 Expenses'!A1" display="💸 Expenses"/>
    <hyperlink ref="B38" location="'💰 Payments'!A1" display="💰 Payments"/>
    <hyperlink ref="B39" location="'👷 Staff &amp; Labor'!A1" display="👷 Staff &amp; Labor"/>
    <hyperlink ref="B40" location="'🍳 Equipment'!A1" display="🍳 Equipment"/>
    <hyperlink ref="B41" location="'🚚 Suppliers'!A1" display="🚚 Suppliers"/>
    <hyperlink ref="B42" location="'📆 Event Calendar'!A1" display="📆 Event Calendar"/>
    <hyperlink ref="B43" location="'📈 P&amp;L &amp; Reports'!A1" display="📈 P&amp;L &amp; Reports"/>
    <hyperlink ref="B44" location="'🧾 Tax Tracker'!A1" display="🧾 Tax Tracker"/>
    <hyperlink ref="B45" location="'✅ Checklists'!A1" display="✅ Checklists"/>
    <hyperlink ref="B46" location="'🖨️ Invoice &amp; Proposal'!A1" display="🖨️ Invoice &amp; Proposal"/>
    <hyperlink ref="B47" location="'📖 Start Here'!A1" display="📖 Start Here"/>
    <hyperlink ref="B62" location="'⚙️ Setup'!A1" display="Setup"/>
    <hyperlink ref="D62" location="'📊 Dashboard'!A1" display="🏠 Home"/>
    <hyperlink ref="F62" location="'👥 Clients'!A1" display="Clients"/>
    <hyperlink ref="B63" location="'📅 Events'!A1" display="Events"/>
    <hyperlink ref="D63" location="'🧮 Quote Calculator'!A1" display="Quote"/>
    <hyperlink ref="F63" location="'🍽️ Menu Costing'!A1" display="Menu"/>
    <hyperlink ref="B64" location="'📦 Inventory'!A1" display="Stock"/>
    <hyperlink ref="D64" location="'🛒 Shopping List'!A1" display="Shop"/>
    <hyperlink ref="F64" location="'💸 Expenses'!A1" display="Expenses"/>
    <hyperlink ref="B65" location="'💰 Payments'!A1" display="Payments"/>
    <hyperlink ref="D65" location="'👷 Staff &amp; Labor'!A1" display="Staff"/>
    <hyperlink ref="F65" location="'🍳 Equipment'!A1" display="Equip"/>
    <hyperlink ref="B66" location="'🚚 Suppliers'!A1" display="Suppliers"/>
    <hyperlink ref="D66" location="'📆 Event Calendar'!A1" display="Calendar"/>
    <hyperlink ref="F66" location="'📈 P&amp;L &amp; Reports'!A1" display="P&amp;L"/>
    <hyperlink ref="B67" location="'🧾 Tax Tracker'!A1" display="Tax"/>
    <hyperlink ref="D67" location="'✅ Checklists'!A1" display="Checks"/>
    <hyperlink ref="F67" location="'🖨️ Invoice &amp; Proposal'!A1" display="Invoice"/>
    <hyperlink ref="B68" location="'📖 Start Here'!A1" display="▶ Help"/>
  </hyperlinks>
  <pageMargins left="0.4" right="0.4" top="0.5" bottom="0.5" header="0.3" footer="0.3"/>
  <pageSetup paperSize="9" fitToHeight="0" orientation="portrait"/>
  <headerFooter>
    <oddHeader>&amp;L&amp;"Calibri,Bold"&amp;11Catering Business Manager&amp;R&amp;"Calibri,Italic"&amp;9Page &amp;P of &amp;N</oddHeader>
    <oddFooter>&amp;C&amp;"Calibri,Italic"&amp;8&amp;A  •  Ultimate Catering Business Spreadsheet v1.0  •  personal licence</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52</vt:i4>
      </vt:variant>
    </vt:vector>
  </HeadingPairs>
  <TitlesOfParts>
    <vt:vector size="72" baseType="lpstr">
      <vt:lpstr>_Data</vt:lpstr>
      <vt:lpstr>⚙️ Setup</vt:lpstr>
      <vt:lpstr>📊 Dashboard</vt:lpstr>
      <vt:lpstr>👥 Clients</vt:lpstr>
      <vt:lpstr>📅 Events</vt:lpstr>
      <vt:lpstr>🧮 Quote Calculator</vt:lpstr>
      <vt:lpstr>🍽️ Menu Costing</vt:lpstr>
      <vt:lpstr>📦 Inventory</vt:lpstr>
      <vt:lpstr>🛒 Shopping List</vt:lpstr>
      <vt:lpstr>💸 Expenses</vt:lpstr>
      <vt:lpstr>💰 Payments</vt:lpstr>
      <vt:lpstr>👷 Staff &amp; Labor</vt:lpstr>
      <vt:lpstr>🍳 Equipment</vt:lpstr>
      <vt:lpstr>🚚 Suppliers</vt:lpstr>
      <vt:lpstr>📆 Event Calendar</vt:lpstr>
      <vt:lpstr>📈 P&amp;L &amp; Reports</vt:lpstr>
      <vt:lpstr>🧾 Tax Tracker</vt:lpstr>
      <vt:lpstr>✅ Checklists</vt:lpstr>
      <vt:lpstr>🖨️ Invoice &amp; Proposal</vt:lpstr>
      <vt:lpstr>📖 Start Here</vt:lpstr>
      <vt:lpstr>BusinessName</vt:lpstr>
      <vt:lpstr>CalMonth</vt:lpstr>
      <vt:lpstr>CalYear</vt:lpstr>
      <vt:lpstr>ClientsList</vt:lpstr>
      <vt:lpstr>Currency</vt:lpstr>
      <vt:lpstr>DefaultMargin</vt:lpstr>
      <vt:lpstr>DepositPct</vt:lpstr>
      <vt:lpstr>DueSoonDays</vt:lpstr>
      <vt:lpstr>EventList</vt:lpstr>
      <vt:lpstr>EventStatuses</vt:lpstr>
      <vt:lpstr>EventTypes</vt:lpstr>
      <vt:lpstr>ExpenseCategories</vt:lpstr>
      <vt:lpstr>IngredientCategories</vt:lpstr>
      <vt:lpstr>MenuCategories</vt:lpstr>
      <vt:lpstr>MenuItems</vt:lpstr>
      <vt:lpstr>PaymentMethods</vt:lpstr>
      <vt:lpstr>PaymentStatuses</vt:lpstr>
      <vt:lpstr>_Data!Print_Area</vt:lpstr>
      <vt:lpstr>'⚙️ Setup'!Print_Area</vt:lpstr>
      <vt:lpstr>'✅ Checklists'!Print_Area</vt:lpstr>
      <vt:lpstr>'🍳 Equipment'!Print_Area</vt:lpstr>
      <vt:lpstr>'🍽️ Menu Costing'!Print_Area</vt:lpstr>
      <vt:lpstr>'👥 Clients'!Print_Area</vt:lpstr>
      <vt:lpstr>'👷 Staff &amp; Labor'!Print_Area</vt:lpstr>
      <vt:lpstr>'💰 Payments'!Print_Area</vt:lpstr>
      <vt:lpstr>'💸 Expenses'!Print_Area</vt:lpstr>
      <vt:lpstr>'📅 Events'!Print_Area</vt:lpstr>
      <vt:lpstr>'📆 Event Calendar'!Print_Area</vt:lpstr>
      <vt:lpstr>'📈 P&amp;L &amp; Reports'!Print_Area</vt:lpstr>
      <vt:lpstr>'📊 Dashboard'!Print_Area</vt:lpstr>
      <vt:lpstr>'📖 Start Here'!Print_Area</vt:lpstr>
      <vt:lpstr>'📦 Inventory'!Print_Area</vt:lpstr>
      <vt:lpstr>'🖨️ Invoice &amp; Proposal'!Print_Area</vt:lpstr>
      <vt:lpstr>'🚚 Suppliers'!Print_Area</vt:lpstr>
      <vt:lpstr>'🛒 Shopping List'!Print_Area</vt:lpstr>
      <vt:lpstr>'🧮 Quote Calculator'!Print_Area</vt:lpstr>
      <vt:lpstr>'🧾 Tax Tracker'!Print_Area</vt:lpstr>
      <vt:lpstr>'🍳 Equipment'!Print_Titles</vt:lpstr>
      <vt:lpstr>'🍽️ Menu Costing'!Print_Titles</vt:lpstr>
      <vt:lpstr>'👥 Clients'!Print_Titles</vt:lpstr>
      <vt:lpstr>'👷 Staff &amp; Labor'!Print_Titles</vt:lpstr>
      <vt:lpstr>'💰 Payments'!Print_Titles</vt:lpstr>
      <vt:lpstr>'💸 Expenses'!Print_Titles</vt:lpstr>
      <vt:lpstr>'📅 Events'!Print_Titles</vt:lpstr>
      <vt:lpstr>'📦 Inventory'!Print_Titles</vt:lpstr>
      <vt:lpstr>'🚚 Suppliers'!Print_Titles</vt:lpstr>
      <vt:lpstr>'🛒 Shopping List'!Print_Titles</vt:lpstr>
      <vt:lpstr>ReportYear</vt:lpstr>
      <vt:lpstr>StaffRoles</vt:lpstr>
      <vt:lpstr>SuppliersList</vt:lpstr>
      <vt:lpstr>TaxRate</vt:lpstr>
      <vt:lpstr>Tick</vt:lpstr>
    </vt:vector>
  </TitlesOfParts>
  <Manager>Novality Store</Manager>
  <Company>Novality Store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Ultimate Catering Business Spreadsheet</dc:title>
  <dc:subject>Events • Clients • Quotes • Food Cost • Profit</dc:subject>
  <dc:creator>Novality Store</dc:creator>
  <cp:keywords>catering business, catering planner, food cost calculator, event tracker, client tracker, quote calculator, recipe costing, inventory, profit dashboard, excel template, google sheets, etsy spreadsheet</cp:keywords>
  <dc:description>Ultimate Catering Business Spreadsheet v1.0 - Events • Clients • Quotes • Food Cost • Profit. Works in Excel 2016+ and Google Sheets. No macros, nothing to install.</dc:description>
  <cp:lastModifiedBy>Novality Store</cp:lastModifiedBy>
  <dcterms:created xsi:type="dcterms:W3CDTF">2026-09-20T06:32:58Z</dcterms:created>
  <dcterms:modified xsi:type="dcterms:W3CDTF">2026-09-20T06:32:58Z</dcterms:modified>
  <cp:category>Catering Business Management Spreadsheet</cp:category>
</cp:coreProperties>
</file>